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S:\FERC-REG\FERC\FERC Contract &amp; Cost Analysis\2016 FERC Rate Case (Formula 4th True Up) TO10\6-June 15-Draft Informational Filing\Workpapers\"/>
    </mc:Choice>
  </mc:AlternateContent>
  <bookViews>
    <workbookView xWindow="15" yWindow="75" windowWidth="24240" windowHeight="6240" tabRatio="695"/>
  </bookViews>
  <sheets>
    <sheet name="Net Plant" sheetId="13" r:id="rId1"/>
    <sheet name="Load Summary" sheetId="14" r:id="rId2"/>
    <sheet name="Non-Inc Plant" sheetId="15" r:id="rId3"/>
    <sheet name="Inc CWIP &amp; Plant" sheetId="16" r:id="rId4"/>
    <sheet name="Inc CWIP &amp; Plant Summary" sheetId="17" r:id="rId5"/>
    <sheet name="Incentive CWIP" sheetId="18" r:id="rId6"/>
  </sheets>
  <externalReferences>
    <externalReference r:id="rId7"/>
  </externalReferences>
  <definedNames>
    <definedName name="_Fill" localSheetId="4" hidden="1">#REF!</definedName>
    <definedName name="_Fill" hidden="1">#REF!</definedName>
    <definedName name="_xlnm._FilterDatabase" localSheetId="3" hidden="1">'Inc CWIP &amp; Plant'!$A$11:$AQ$404</definedName>
    <definedName name="_xlnm._FilterDatabase" localSheetId="4" hidden="1">'Inc CWIP &amp; Plant Summary'!$A$2:$B$30</definedName>
    <definedName name="_xlnm._FilterDatabase" localSheetId="5" hidden="1">'Incentive CWIP'!#REF!</definedName>
    <definedName name="_xlnm._FilterDatabase" localSheetId="1" hidden="1">'Load Summary'!#REF!</definedName>
    <definedName name="_xlnm._FilterDatabase" localSheetId="0" hidden="1">'Net Plant'!#REF!</definedName>
    <definedName name="_xlnm._FilterDatabase" localSheetId="2" hidden="1">'Non-Inc Plant'!$A$8:$AR$135</definedName>
    <definedName name="_Key2" localSheetId="4" hidden="1">[1]ACCT_106!#REF!</definedName>
    <definedName name="_Key2" hidden="1">[1]ACCT_106!#REF!</definedName>
    <definedName name="_Order1" hidden="1">255</definedName>
    <definedName name="_Order2" hidden="1">255</definedName>
    <definedName name="_xlnm.Print_Area" localSheetId="3">'Inc CWIP &amp; Plant'!$A$1:$AP$376</definedName>
    <definedName name="_xlnm.Print_Titles" localSheetId="3">'Inc CWIP &amp; Plant'!$C:$E</definedName>
    <definedName name="_xlnm.Print_Titles" localSheetId="2">'Non-Inc Plant'!$A:$H</definedName>
    <definedName name="Reference_2" localSheetId="3" hidden="1">{#N/A,#N/A,FALSE,"AD PG 1 OF 2";#N/A,#N/A,FALSE,"AD PG 2 OF 2"}</definedName>
    <definedName name="Reference_2" hidden="1">{#N/A,#N/A,FALSE,"AD PG 1 OF 2";#N/A,#N/A,FALSE,"AD PG 2 OF 2"}</definedName>
    <definedName name="Test" localSheetId="3" hidden="1">{#N/A,#N/A,FALSE,"AD PG 1 OF 2";#N/A,#N/A,FALSE,"AD PG 2 OF 2"}</definedName>
    <definedName name="Test" hidden="1">{#N/A,#N/A,FALSE,"AD PG 1 OF 2";#N/A,#N/A,FALSE,"AD PG 2 OF 2"}</definedName>
    <definedName name="wrn.Statement._.AD." localSheetId="3" hidden="1">{#N/A,#N/A,FALSE,"AD PG 1 OF 2";#N/A,#N/A,FALSE,"AD PG 2 OF 2"}</definedName>
    <definedName name="wrn.Statement._.AD." hidden="1">{#N/A,#N/A,FALSE,"AD PG 1 OF 2";#N/A,#N/A,FALSE,"AD PG 2 OF 2"}</definedName>
    <definedName name="wrn.statement._.AD.old" localSheetId="3" hidden="1">{#N/A,#N/A,FALSE,"AD PG 1 OF 2";#N/A,#N/A,FALSE,"AD PG 2 OF 2"}</definedName>
    <definedName name="wrn.statement._.AD.old" hidden="1">{#N/A,#N/A,FALSE,"AD PG 1 OF 2";#N/A,#N/A,FALSE,"AD PG 2 OF 2"}</definedName>
    <definedName name="wrn.Statement._.AD2." localSheetId="3" hidden="1">{#N/A,#N/A,FALSE,"AD PG 1 OF 2";#N/A,#N/A,FALSE,"AD PG 2 OF 2"}</definedName>
    <definedName name="wrn.Statement._.AD2." hidden="1">{#N/A,#N/A,FALSE,"AD PG 1 OF 2";#N/A,#N/A,FALSE,"AD PG 2 OF 2"}</definedName>
    <definedName name="wrn.statement._.AD3." localSheetId="3" hidden="1">{#N/A,#N/A,FALSE,"AD PG 1 OF 2";#N/A,#N/A,FALSE,"AD PG 2 OF 2"}</definedName>
    <definedName name="wrn.statement._.AD3." hidden="1">{#N/A,#N/A,FALSE,"AD PG 1 OF 2";#N/A,#N/A,FALSE,"AD PG 2 OF 2"}</definedName>
  </definedNames>
  <calcPr calcId="152511"/>
</workbook>
</file>

<file path=xl/calcChain.xml><?xml version="1.0" encoding="utf-8"?>
<calcChain xmlns="http://schemas.openxmlformats.org/spreadsheetml/2006/main">
  <c r="A26" i="18" l="1"/>
  <c r="A27" i="18" s="1"/>
  <c r="A28" i="18" s="1"/>
  <c r="A29" i="18" s="1"/>
  <c r="A30" i="18" s="1"/>
  <c r="A31" i="18" s="1"/>
  <c r="A32" i="18" s="1"/>
  <c r="A33" i="18" s="1"/>
  <c r="A34" i="18" s="1"/>
  <c r="A35" i="18" s="1"/>
  <c r="A36" i="18" s="1"/>
  <c r="A37" i="18" s="1"/>
  <c r="A38" i="18" s="1"/>
  <c r="M26" i="18"/>
  <c r="M27" i="18"/>
  <c r="M28" i="18"/>
  <c r="M29" i="18"/>
  <c r="M30" i="18"/>
  <c r="M31" i="18"/>
  <c r="M32" i="18"/>
  <c r="M33" i="18"/>
  <c r="M34" i="18"/>
  <c r="M35" i="18"/>
  <c r="M36" i="18"/>
  <c r="M37" i="18"/>
  <c r="M38" i="18"/>
  <c r="A44" i="18"/>
  <c r="A45" i="18" s="1"/>
  <c r="A46" i="18" s="1"/>
  <c r="A47" i="18" s="1"/>
  <c r="A48" i="18" s="1"/>
  <c r="A49" i="18" s="1"/>
  <c r="A50" i="18" s="1"/>
  <c r="A51" i="18" s="1"/>
  <c r="A52" i="18" s="1"/>
  <c r="A53" i="18" s="1"/>
  <c r="A54" i="18" s="1"/>
  <c r="A55" i="18" s="1"/>
  <c r="A56" i="18" s="1"/>
  <c r="AP287" i="16" l="1"/>
  <c r="AO287" i="16"/>
  <c r="AN287" i="16"/>
  <c r="AM287" i="16"/>
  <c r="AL287" i="16"/>
  <c r="AK287" i="16"/>
  <c r="AJ287" i="16"/>
  <c r="AI287" i="16"/>
  <c r="AH287" i="16"/>
  <c r="AG287" i="16"/>
  <c r="AF287" i="16"/>
  <c r="AE287" i="16"/>
  <c r="AD287" i="16"/>
  <c r="AC287" i="16"/>
  <c r="AB287" i="16"/>
  <c r="AA287" i="16"/>
  <c r="Z287" i="16"/>
  <c r="Y287" i="16"/>
  <c r="X287" i="16"/>
  <c r="W287" i="16"/>
  <c r="V287" i="16"/>
  <c r="U287" i="16"/>
  <c r="T287" i="16"/>
  <c r="S287" i="16"/>
  <c r="J17" i="18" l="1"/>
  <c r="J16" i="18"/>
  <c r="J15" i="18"/>
  <c r="J14" i="18"/>
  <c r="J13" i="18"/>
  <c r="J12" i="18"/>
  <c r="J11" i="18"/>
  <c r="J10" i="18"/>
  <c r="J9" i="18"/>
  <c r="J8" i="18"/>
  <c r="J7" i="18"/>
  <c r="J6" i="18"/>
  <c r="J5" i="18"/>
  <c r="P23" i="16" l="1"/>
  <c r="O23" i="16"/>
  <c r="N23" i="16"/>
  <c r="Q23" i="16" s="1"/>
  <c r="M23" i="16"/>
  <c r="O22" i="16"/>
  <c r="N22" i="16"/>
  <c r="Q22" i="16" s="1"/>
  <c r="M22" i="16"/>
  <c r="P22" i="16" s="1"/>
  <c r="L286" i="16"/>
  <c r="N271" i="16"/>
  <c r="M271" i="16"/>
  <c r="O286" i="16"/>
  <c r="O271" i="16"/>
  <c r="Q270" i="16"/>
  <c r="N270" i="16"/>
  <c r="M270" i="16"/>
  <c r="P270" i="16" s="1"/>
  <c r="J286" i="16"/>
  <c r="I286" i="16"/>
  <c r="H286" i="16"/>
  <c r="G286" i="16"/>
  <c r="F286" i="16"/>
  <c r="E286" i="16"/>
  <c r="D286" i="16"/>
  <c r="C286" i="16"/>
  <c r="A286" i="16"/>
  <c r="A271" i="16"/>
  <c r="C285" i="16"/>
  <c r="P271" i="16" l="1"/>
  <c r="M286" i="16"/>
  <c r="P286" i="16" s="1"/>
  <c r="Q271" i="16"/>
  <c r="N286" i="16"/>
  <c r="Q286" i="16" s="1"/>
  <c r="N123" i="16"/>
  <c r="Q123" i="16" s="1"/>
  <c r="M123" i="16"/>
  <c r="P123" i="16" s="1"/>
  <c r="N122" i="16"/>
  <c r="Q122" i="16" s="1"/>
  <c r="M122" i="16"/>
  <c r="P122" i="16" s="1"/>
  <c r="N121" i="16"/>
  <c r="N171" i="16" s="1"/>
  <c r="M121" i="16"/>
  <c r="M171" i="16" s="1"/>
  <c r="O123" i="16"/>
  <c r="L172" i="16"/>
  <c r="L171" i="16"/>
  <c r="A123" i="16"/>
  <c r="A122" i="16"/>
  <c r="A121" i="16"/>
  <c r="J173" i="16"/>
  <c r="I173" i="16"/>
  <c r="H173" i="16"/>
  <c r="G173" i="16"/>
  <c r="F173" i="16"/>
  <c r="E173" i="16"/>
  <c r="D173" i="16"/>
  <c r="C173" i="16"/>
  <c r="A173" i="16"/>
  <c r="J172" i="16"/>
  <c r="I172" i="16"/>
  <c r="H172" i="16"/>
  <c r="G172" i="16"/>
  <c r="F172" i="16"/>
  <c r="E172" i="16"/>
  <c r="D172" i="16"/>
  <c r="C172" i="16"/>
  <c r="A172" i="16"/>
  <c r="J171" i="16"/>
  <c r="I171" i="16"/>
  <c r="H171" i="16"/>
  <c r="G171" i="16"/>
  <c r="F171" i="16"/>
  <c r="E171" i="16"/>
  <c r="D171" i="16"/>
  <c r="C171" i="16"/>
  <c r="A171" i="16"/>
  <c r="O172" i="16" l="1"/>
  <c r="Q171" i="16"/>
  <c r="N172" i="16"/>
  <c r="Q172" i="16" s="1"/>
  <c r="O171" i="16"/>
  <c r="P171" i="16"/>
  <c r="L173" i="16"/>
  <c r="O173" i="16" s="1"/>
  <c r="O121" i="16"/>
  <c r="M172" i="16"/>
  <c r="P172" i="16" s="1"/>
  <c r="O122" i="16"/>
  <c r="M173" i="16"/>
  <c r="P173" i="16" s="1"/>
  <c r="N173" i="16"/>
  <c r="Q173" i="16" s="1"/>
  <c r="P121" i="16"/>
  <c r="Q121" i="16"/>
  <c r="A285" i="16" l="1"/>
  <c r="N285" i="16"/>
  <c r="M285" i="16"/>
  <c r="A43" i="16" l="1"/>
  <c r="C43" i="16"/>
  <c r="D43" i="16"/>
  <c r="E43" i="16"/>
  <c r="F43" i="16"/>
  <c r="G43" i="16"/>
  <c r="H43" i="16"/>
  <c r="I43" i="16"/>
  <c r="M43" i="16"/>
  <c r="N43" i="16"/>
  <c r="L43" i="16"/>
  <c r="A22" i="16"/>
  <c r="L119" i="16"/>
  <c r="G33" i="16"/>
  <c r="G34" i="16"/>
  <c r="G35" i="16"/>
  <c r="G36" i="16"/>
  <c r="G37" i="16"/>
  <c r="G38" i="16"/>
  <c r="G39" i="16"/>
  <c r="G40" i="16"/>
  <c r="G41" i="16"/>
  <c r="G42" i="16"/>
  <c r="G44" i="16"/>
  <c r="G71" i="16"/>
  <c r="G72" i="16"/>
  <c r="G73" i="16"/>
  <c r="G74" i="16"/>
  <c r="G75" i="16"/>
  <c r="G76" i="16"/>
  <c r="G77" i="16"/>
  <c r="L221" i="16"/>
  <c r="L220" i="16"/>
  <c r="L190" i="16"/>
  <c r="L124" i="16"/>
  <c r="L117" i="16"/>
  <c r="L115" i="16"/>
  <c r="L102" i="16"/>
  <c r="L91" i="16"/>
  <c r="L61" i="16"/>
  <c r="L60" i="16"/>
  <c r="L57" i="16"/>
  <c r="E285" i="16"/>
  <c r="J285" i="16"/>
  <c r="I285" i="16"/>
  <c r="H285" i="16"/>
  <c r="G285" i="16"/>
  <c r="F285" i="16"/>
  <c r="D285" i="16"/>
  <c r="L270" i="16"/>
  <c r="A270" i="16"/>
  <c r="L332" i="16"/>
  <c r="L360" i="16"/>
  <c r="L272" i="16" l="1"/>
  <c r="O270" i="16"/>
  <c r="L285" i="16"/>
  <c r="Q285" i="16"/>
  <c r="P285" i="16"/>
  <c r="J43" i="16"/>
  <c r="P43" i="16" s="1"/>
  <c r="O285" i="16"/>
  <c r="O43" i="16" l="1"/>
  <c r="Q43" i="16"/>
  <c r="L129" i="16" l="1"/>
  <c r="A361" i="16" l="1"/>
  <c r="O120" i="15" l="1"/>
  <c r="N120" i="15"/>
  <c r="M120" i="15"/>
  <c r="O119" i="15"/>
  <c r="N119" i="15"/>
  <c r="M119" i="15"/>
  <c r="O118" i="15"/>
  <c r="N118" i="15"/>
  <c r="M118" i="15"/>
  <c r="O117" i="15"/>
  <c r="N117" i="15"/>
  <c r="M117" i="15"/>
  <c r="O116" i="15"/>
  <c r="N116" i="15"/>
  <c r="M116" i="15"/>
  <c r="O115" i="15"/>
  <c r="N115" i="15"/>
  <c r="M115" i="15"/>
  <c r="O114" i="15"/>
  <c r="N114" i="15"/>
  <c r="M114" i="15"/>
  <c r="O113" i="15"/>
  <c r="N113" i="15"/>
  <c r="M113" i="15"/>
  <c r="O112" i="15"/>
  <c r="N112" i="15"/>
  <c r="M112" i="15"/>
  <c r="O111" i="15"/>
  <c r="N111" i="15"/>
  <c r="M111" i="15"/>
  <c r="O110" i="15"/>
  <c r="N110" i="15"/>
  <c r="M110" i="15"/>
  <c r="O109" i="15"/>
  <c r="N109" i="15"/>
  <c r="M109" i="15"/>
  <c r="O108" i="15"/>
  <c r="N108" i="15"/>
  <c r="M108" i="15"/>
  <c r="O107" i="15"/>
  <c r="N107" i="15"/>
  <c r="M107" i="15"/>
  <c r="O106" i="15"/>
  <c r="N106" i="15"/>
  <c r="M106" i="15"/>
  <c r="O105" i="15"/>
  <c r="N105" i="15"/>
  <c r="M105" i="15"/>
  <c r="O104" i="15"/>
  <c r="N104" i="15"/>
  <c r="M104" i="15"/>
  <c r="O103" i="15"/>
  <c r="N103" i="15"/>
  <c r="M103" i="15"/>
  <c r="O102" i="15"/>
  <c r="N102" i="15"/>
  <c r="M102" i="15"/>
  <c r="O101" i="15"/>
  <c r="N101" i="15"/>
  <c r="M101" i="15"/>
  <c r="O100" i="15"/>
  <c r="N100" i="15"/>
  <c r="M100" i="15"/>
  <c r="O99" i="15"/>
  <c r="N99" i="15"/>
  <c r="M99" i="15"/>
  <c r="O98" i="15"/>
  <c r="N98" i="15"/>
  <c r="M98" i="15"/>
  <c r="O97" i="15"/>
  <c r="N97" i="15"/>
  <c r="M97" i="15"/>
  <c r="O96" i="15"/>
  <c r="N96" i="15"/>
  <c r="M96" i="15"/>
  <c r="O95" i="15"/>
  <c r="N95" i="15"/>
  <c r="M95" i="15"/>
  <c r="O94" i="15"/>
  <c r="N94" i="15"/>
  <c r="M94" i="15"/>
  <c r="O93" i="15"/>
  <c r="N93" i="15"/>
  <c r="M93" i="15"/>
  <c r="O92" i="15"/>
  <c r="N92" i="15"/>
  <c r="M92" i="15"/>
  <c r="O91" i="15"/>
  <c r="N91" i="15"/>
  <c r="M91" i="15"/>
  <c r="O90" i="15"/>
  <c r="N90" i="15"/>
  <c r="M90" i="15"/>
  <c r="O89" i="15"/>
  <c r="N89" i="15"/>
  <c r="M89" i="15"/>
  <c r="O88" i="15"/>
  <c r="N88" i="15"/>
  <c r="M88" i="15"/>
  <c r="O87" i="15"/>
  <c r="N87" i="15"/>
  <c r="M87" i="15"/>
  <c r="O86" i="15"/>
  <c r="N86" i="15"/>
  <c r="M86" i="15"/>
  <c r="O85" i="15"/>
  <c r="N85" i="15"/>
  <c r="M85" i="15"/>
  <c r="O84" i="15"/>
  <c r="N84" i="15"/>
  <c r="M84" i="15"/>
  <c r="O83" i="15"/>
  <c r="N83" i="15"/>
  <c r="M83" i="15"/>
  <c r="O82" i="15"/>
  <c r="N82" i="15"/>
  <c r="M82" i="15"/>
  <c r="O81" i="15"/>
  <c r="N81" i="15"/>
  <c r="M81" i="15"/>
  <c r="O80" i="15"/>
  <c r="N80" i="15"/>
  <c r="M80" i="15"/>
  <c r="O79" i="15"/>
  <c r="N79" i="15"/>
  <c r="M79" i="15"/>
  <c r="O78" i="15"/>
  <c r="N78" i="15"/>
  <c r="M78" i="15"/>
  <c r="O77" i="15"/>
  <c r="N77" i="15"/>
  <c r="M77" i="15"/>
  <c r="O76" i="15"/>
  <c r="N76" i="15"/>
  <c r="M76" i="15"/>
  <c r="O75" i="15"/>
  <c r="N75" i="15"/>
  <c r="M75" i="15"/>
  <c r="O74" i="15"/>
  <c r="N74" i="15"/>
  <c r="M74" i="15"/>
  <c r="O73" i="15"/>
  <c r="N73" i="15"/>
  <c r="M73" i="15"/>
  <c r="O72" i="15"/>
  <c r="N72" i="15"/>
  <c r="M72" i="15"/>
  <c r="O71" i="15"/>
  <c r="N71" i="15"/>
  <c r="M71" i="15"/>
  <c r="O70" i="15"/>
  <c r="N70" i="15"/>
  <c r="M70" i="15"/>
  <c r="O69" i="15"/>
  <c r="N69" i="15"/>
  <c r="M69" i="15"/>
  <c r="O68" i="15"/>
  <c r="N68" i="15"/>
  <c r="M68" i="15"/>
  <c r="O67" i="15"/>
  <c r="N67" i="15"/>
  <c r="M67" i="15"/>
  <c r="O66" i="15"/>
  <c r="N66" i="15"/>
  <c r="M66" i="15"/>
  <c r="O65" i="15"/>
  <c r="N65" i="15"/>
  <c r="M65" i="15"/>
  <c r="O64" i="15"/>
  <c r="N64" i="15"/>
  <c r="M64" i="15"/>
  <c r="O63" i="15"/>
  <c r="N63" i="15"/>
  <c r="M63" i="15"/>
  <c r="O62" i="15"/>
  <c r="N62" i="15"/>
  <c r="M62" i="15"/>
  <c r="O61" i="15"/>
  <c r="N61" i="15"/>
  <c r="M61" i="15"/>
  <c r="O60" i="15"/>
  <c r="N60" i="15"/>
  <c r="M60" i="15"/>
  <c r="O59" i="15"/>
  <c r="N59" i="15"/>
  <c r="M59" i="15"/>
  <c r="O58" i="15"/>
  <c r="N58" i="15"/>
  <c r="M58" i="15"/>
  <c r="O57" i="15"/>
  <c r="N57" i="15"/>
  <c r="M57" i="15"/>
  <c r="O56" i="15"/>
  <c r="N56" i="15"/>
  <c r="M56" i="15"/>
  <c r="O55" i="15"/>
  <c r="N55" i="15"/>
  <c r="M55" i="15"/>
  <c r="O54" i="15"/>
  <c r="N54" i="15"/>
  <c r="M54" i="15"/>
  <c r="O53" i="15"/>
  <c r="N53" i="15"/>
  <c r="M53" i="15"/>
  <c r="O52" i="15"/>
  <c r="N52" i="15"/>
  <c r="M52" i="15"/>
  <c r="O51" i="15"/>
  <c r="N51" i="15"/>
  <c r="M51" i="15"/>
  <c r="O50" i="15"/>
  <c r="N50" i="15"/>
  <c r="M50" i="15"/>
  <c r="O49" i="15"/>
  <c r="N49" i="15"/>
  <c r="M49" i="15"/>
  <c r="O38" i="15"/>
  <c r="N38" i="15"/>
  <c r="O37" i="15"/>
  <c r="N37" i="15"/>
  <c r="O36" i="15"/>
  <c r="N36" i="15"/>
  <c r="O35" i="15"/>
  <c r="N35" i="15"/>
  <c r="O34" i="15"/>
  <c r="N34" i="15"/>
  <c r="O33" i="15"/>
  <c r="N33" i="15"/>
  <c r="O32" i="15"/>
  <c r="N32" i="15"/>
  <c r="O31" i="15"/>
  <c r="N31" i="15"/>
  <c r="O30" i="15"/>
  <c r="N30" i="15"/>
  <c r="O29" i="15"/>
  <c r="N29" i="15"/>
  <c r="O28" i="15"/>
  <c r="N28" i="15"/>
  <c r="O27" i="15"/>
  <c r="N27" i="15"/>
  <c r="O26" i="15"/>
  <c r="N26" i="15"/>
  <c r="O25" i="15"/>
  <c r="N25" i="15"/>
  <c r="O24" i="15"/>
  <c r="N24" i="15"/>
  <c r="O23" i="15"/>
  <c r="N23" i="15"/>
  <c r="O22" i="15"/>
  <c r="N22" i="15"/>
  <c r="O21" i="15"/>
  <c r="N21" i="15"/>
  <c r="O20" i="15"/>
  <c r="N20" i="15"/>
  <c r="O19" i="15"/>
  <c r="N19" i="15"/>
  <c r="O18" i="15"/>
  <c r="N18" i="15"/>
  <c r="O17" i="15"/>
  <c r="N17" i="15"/>
  <c r="O16" i="15"/>
  <c r="N16" i="15"/>
  <c r="O15" i="15"/>
  <c r="N15" i="15"/>
  <c r="O14" i="15"/>
  <c r="N14" i="15"/>
  <c r="O13" i="15"/>
  <c r="N13" i="15"/>
  <c r="O12" i="15"/>
  <c r="N12" i="15"/>
  <c r="O11" i="15"/>
  <c r="N11" i="15"/>
  <c r="O10" i="15"/>
  <c r="N10" i="15"/>
  <c r="O9" i="15"/>
  <c r="N9" i="15"/>
  <c r="O361" i="16" l="1"/>
  <c r="L374" i="16"/>
  <c r="J374" i="16"/>
  <c r="I374" i="16"/>
  <c r="H374" i="16"/>
  <c r="G374" i="16"/>
  <c r="F374" i="16"/>
  <c r="E374" i="16"/>
  <c r="D374" i="16"/>
  <c r="C374" i="16"/>
  <c r="A374" i="16"/>
  <c r="L321" i="16"/>
  <c r="L320" i="16"/>
  <c r="L319" i="16"/>
  <c r="L318" i="16"/>
  <c r="L317" i="16"/>
  <c r="L316" i="16"/>
  <c r="J320" i="16"/>
  <c r="I320" i="16"/>
  <c r="H320" i="16"/>
  <c r="G320" i="16"/>
  <c r="F320" i="16"/>
  <c r="E320" i="16"/>
  <c r="D320" i="16"/>
  <c r="C320" i="16"/>
  <c r="J319" i="16"/>
  <c r="I319" i="16"/>
  <c r="H319" i="16"/>
  <c r="G319" i="16"/>
  <c r="F319" i="16"/>
  <c r="E319" i="16"/>
  <c r="D319" i="16"/>
  <c r="C319" i="16"/>
  <c r="J318" i="16"/>
  <c r="I318" i="16"/>
  <c r="H318" i="16"/>
  <c r="G318" i="16"/>
  <c r="F318" i="16"/>
  <c r="E318" i="16"/>
  <c r="D318" i="16"/>
  <c r="C318" i="16"/>
  <c r="J317" i="16"/>
  <c r="I317" i="16"/>
  <c r="H317" i="16"/>
  <c r="G317" i="16"/>
  <c r="F317" i="16"/>
  <c r="E317" i="16"/>
  <c r="D317" i="16"/>
  <c r="C317" i="16"/>
  <c r="J316" i="16"/>
  <c r="I316" i="16"/>
  <c r="H316" i="16"/>
  <c r="G316" i="16"/>
  <c r="F316" i="16"/>
  <c r="E316" i="16"/>
  <c r="D316" i="16"/>
  <c r="C316" i="16"/>
  <c r="O304" i="16"/>
  <c r="O303" i="16"/>
  <c r="O302" i="16"/>
  <c r="O301" i="16"/>
  <c r="O300" i="16"/>
  <c r="O299" i="16"/>
  <c r="A303" i="16"/>
  <c r="A302" i="16"/>
  <c r="A301" i="16"/>
  <c r="A300" i="16"/>
  <c r="A299" i="16"/>
  <c r="A320" i="16"/>
  <c r="A319" i="16"/>
  <c r="A318" i="16"/>
  <c r="A317" i="16"/>
  <c r="A316" i="16"/>
  <c r="E221" i="16"/>
  <c r="E220" i="16"/>
  <c r="E219" i="16"/>
  <c r="E218" i="16"/>
  <c r="A59" i="16"/>
  <c r="A60" i="16"/>
  <c r="O59" i="16"/>
  <c r="L75" i="16"/>
  <c r="J75" i="16"/>
  <c r="I75" i="16"/>
  <c r="H75" i="16"/>
  <c r="F75" i="16"/>
  <c r="E75" i="16"/>
  <c r="D75" i="16"/>
  <c r="C75" i="16"/>
  <c r="A75" i="16"/>
  <c r="O316" i="16" l="1"/>
  <c r="O320" i="16"/>
  <c r="O317" i="16"/>
  <c r="O319" i="16"/>
  <c r="O374" i="16"/>
  <c r="O318" i="16"/>
  <c r="O75" i="16"/>
  <c r="L4" i="18" l="1"/>
  <c r="K4" i="18"/>
  <c r="J4" i="18"/>
  <c r="J21" i="18" s="1"/>
  <c r="I4" i="18"/>
  <c r="H4" i="18"/>
  <c r="G4" i="18"/>
  <c r="F4" i="18"/>
  <c r="E4" i="18"/>
  <c r="D4" i="18"/>
  <c r="C4" i="18"/>
  <c r="B4" i="18"/>
  <c r="B7" i="17" l="1"/>
  <c r="B8" i="17" l="1"/>
  <c r="O20" i="16"/>
  <c r="B9" i="17" l="1"/>
  <c r="B10" i="17" l="1"/>
  <c r="A6" i="18"/>
  <c r="A7" i="18" s="1"/>
  <c r="A8" i="18" s="1"/>
  <c r="A9" i="18" s="1"/>
  <c r="A10" i="18" s="1"/>
  <c r="A11" i="18" s="1"/>
  <c r="A12" i="18" s="1"/>
  <c r="A13" i="18" s="1"/>
  <c r="A14" i="18" s="1"/>
  <c r="A15" i="18" s="1"/>
  <c r="A16" i="18" s="1"/>
  <c r="A17" i="18" s="1"/>
  <c r="B11" i="17" l="1"/>
  <c r="B12" i="17" l="1"/>
  <c r="A120" i="16"/>
  <c r="A77" i="16"/>
  <c r="A61" i="16"/>
  <c r="B13" i="17" l="1"/>
  <c r="L77" i="16"/>
  <c r="C77" i="16"/>
  <c r="D77" i="16"/>
  <c r="E77" i="16"/>
  <c r="F77" i="16"/>
  <c r="H77" i="16"/>
  <c r="I77" i="16"/>
  <c r="J77" i="16"/>
  <c r="O61" i="16"/>
  <c r="B14" i="17" l="1"/>
  <c r="O77" i="16"/>
  <c r="B15" i="17" l="1"/>
  <c r="B16" i="17" l="1"/>
  <c r="O120" i="16"/>
  <c r="O12" i="16"/>
  <c r="O13" i="16"/>
  <c r="O14" i="16"/>
  <c r="O15" i="16"/>
  <c r="O16" i="16"/>
  <c r="O17" i="16"/>
  <c r="O18" i="16"/>
  <c r="O19" i="16"/>
  <c r="B17" i="17" l="1"/>
  <c r="O48" i="15"/>
  <c r="N48" i="15"/>
  <c r="M48" i="15"/>
  <c r="B18" i="17" l="1"/>
  <c r="L194" i="16"/>
  <c r="L62" i="16"/>
  <c r="L24" i="16"/>
  <c r="B19" i="17" l="1"/>
  <c r="B20" i="17" l="1"/>
  <c r="M32" i="16"/>
  <c r="L32" i="16"/>
  <c r="N32" i="16"/>
  <c r="O32" i="16"/>
  <c r="P32" i="16"/>
  <c r="Q32" i="16"/>
  <c r="A346" i="16"/>
  <c r="A347" i="16"/>
  <c r="C346" i="16"/>
  <c r="D346" i="16"/>
  <c r="F346" i="16"/>
  <c r="G346" i="16"/>
  <c r="H346" i="16"/>
  <c r="I346" i="16"/>
  <c r="J346" i="16"/>
  <c r="L346" i="16"/>
  <c r="C347" i="16"/>
  <c r="D347" i="16"/>
  <c r="F347" i="16"/>
  <c r="G347" i="16"/>
  <c r="H347" i="16"/>
  <c r="I347" i="16"/>
  <c r="J347" i="16"/>
  <c r="L347" i="16"/>
  <c r="C348" i="16"/>
  <c r="D348" i="16"/>
  <c r="F348" i="16"/>
  <c r="G348" i="16"/>
  <c r="H348" i="16"/>
  <c r="I348" i="16"/>
  <c r="J348" i="16"/>
  <c r="L348" i="16"/>
  <c r="O333" i="16"/>
  <c r="O334" i="16"/>
  <c r="O335" i="16"/>
  <c r="E348" i="16"/>
  <c r="E347" i="16"/>
  <c r="E346" i="16"/>
  <c r="A333" i="16"/>
  <c r="A334" i="16"/>
  <c r="O298" i="16"/>
  <c r="A315" i="16"/>
  <c r="A298" i="16"/>
  <c r="C315" i="16"/>
  <c r="D315" i="16"/>
  <c r="E315" i="16"/>
  <c r="F315" i="16"/>
  <c r="G315" i="16"/>
  <c r="H315" i="16"/>
  <c r="I315" i="16"/>
  <c r="J315" i="16"/>
  <c r="L315" i="16"/>
  <c r="O267" i="16"/>
  <c r="O268" i="16"/>
  <c r="O269" i="16"/>
  <c r="A266" i="16"/>
  <c r="A267" i="16"/>
  <c r="A268" i="16"/>
  <c r="A269" i="16"/>
  <c r="A375" i="16"/>
  <c r="A373" i="16"/>
  <c r="A372" i="16"/>
  <c r="A360" i="16"/>
  <c r="A362" i="16"/>
  <c r="A359" i="16"/>
  <c r="A348" i="16"/>
  <c r="A345" i="16"/>
  <c r="A335" i="16"/>
  <c r="A332" i="16"/>
  <c r="A321" i="16"/>
  <c r="A314" i="16"/>
  <c r="A304" i="16"/>
  <c r="A297" i="16"/>
  <c r="A284" i="16"/>
  <c r="A283" i="16"/>
  <c r="A282" i="16"/>
  <c r="A281" i="16"/>
  <c r="A245" i="16"/>
  <c r="A255" i="16" s="1"/>
  <c r="A234" i="16"/>
  <c r="A233" i="16"/>
  <c r="A232" i="16"/>
  <c r="A231" i="16"/>
  <c r="A219" i="16"/>
  <c r="A220" i="16"/>
  <c r="A221" i="16"/>
  <c r="A218" i="16"/>
  <c r="A207" i="16"/>
  <c r="A206" i="16"/>
  <c r="A205" i="16"/>
  <c r="A204" i="16"/>
  <c r="A203" i="16"/>
  <c r="A190" i="16"/>
  <c r="A191" i="16"/>
  <c r="A192" i="16"/>
  <c r="A193" i="16"/>
  <c r="A189" i="16"/>
  <c r="A178" i="16"/>
  <c r="A177" i="16"/>
  <c r="A176" i="16"/>
  <c r="A175" i="16"/>
  <c r="A174" i="16"/>
  <c r="A170" i="16"/>
  <c r="A169" i="16"/>
  <c r="A168" i="16"/>
  <c r="A167" i="16"/>
  <c r="A166" i="16"/>
  <c r="A165" i="16"/>
  <c r="A164" i="16"/>
  <c r="A163" i="16"/>
  <c r="A162" i="16"/>
  <c r="A161" i="16"/>
  <c r="A160" i="16"/>
  <c r="A159" i="16"/>
  <c r="A158" i="16"/>
  <c r="A157" i="16"/>
  <c r="A156" i="16"/>
  <c r="A155" i="16"/>
  <c r="A154" i="16"/>
  <c r="A153" i="16"/>
  <c r="A152" i="16"/>
  <c r="A151" i="16"/>
  <c r="A150" i="16"/>
  <c r="A149" i="16"/>
  <c r="A148" i="16"/>
  <c r="A147" i="16"/>
  <c r="A146" i="16"/>
  <c r="A145" i="16"/>
  <c r="A144" i="16"/>
  <c r="A143" i="16"/>
  <c r="A142" i="16"/>
  <c r="A141" i="16"/>
  <c r="A140" i="16"/>
  <c r="A139" i="16"/>
  <c r="A138" i="16"/>
  <c r="A128" i="16"/>
  <c r="A127" i="16"/>
  <c r="A126" i="16"/>
  <c r="A125" i="16"/>
  <c r="A124" i="16"/>
  <c r="A119" i="16"/>
  <c r="A118" i="16"/>
  <c r="A117" i="16"/>
  <c r="A116" i="16"/>
  <c r="A115" i="16"/>
  <c r="A114" i="16"/>
  <c r="A113" i="16"/>
  <c r="A112" i="16"/>
  <c r="A111" i="16"/>
  <c r="A110" i="16"/>
  <c r="A109" i="16"/>
  <c r="A108" i="16"/>
  <c r="A107" i="16"/>
  <c r="A106" i="16"/>
  <c r="A105" i="16"/>
  <c r="A104" i="16"/>
  <c r="A103" i="16"/>
  <c r="A102" i="16"/>
  <c r="A101" i="16"/>
  <c r="A100" i="16"/>
  <c r="A99" i="16"/>
  <c r="A98" i="16"/>
  <c r="A97" i="16"/>
  <c r="A96" i="16"/>
  <c r="A95" i="16"/>
  <c r="A94" i="16"/>
  <c r="A93" i="16"/>
  <c r="A92" i="16"/>
  <c r="A91" i="16"/>
  <c r="A90" i="16"/>
  <c r="A89" i="16"/>
  <c r="A88" i="16"/>
  <c r="A76" i="16"/>
  <c r="A74" i="16"/>
  <c r="A73" i="16"/>
  <c r="A72" i="16"/>
  <c r="A71" i="16"/>
  <c r="A58" i="16"/>
  <c r="A57" i="16"/>
  <c r="A56" i="16"/>
  <c r="A55" i="16"/>
  <c r="B21" i="17" l="1"/>
  <c r="O347" i="16"/>
  <c r="O348" i="16"/>
  <c r="O346" i="16"/>
  <c r="O315" i="16"/>
  <c r="B22" i="17" l="1"/>
  <c r="A34" i="16"/>
  <c r="A35" i="16"/>
  <c r="A36" i="16"/>
  <c r="A37" i="16"/>
  <c r="A38" i="16"/>
  <c r="A39" i="16"/>
  <c r="A40" i="16"/>
  <c r="A41" i="16"/>
  <c r="A42" i="16"/>
  <c r="A44" i="16"/>
  <c r="A33" i="16"/>
  <c r="A13" i="16"/>
  <c r="A14" i="16"/>
  <c r="A15" i="16"/>
  <c r="A16" i="16"/>
  <c r="A17" i="16"/>
  <c r="A18" i="16"/>
  <c r="A19" i="16"/>
  <c r="A20" i="16"/>
  <c r="A21" i="16"/>
  <c r="A23" i="16"/>
  <c r="A12" i="16"/>
  <c r="D33" i="16"/>
  <c r="B23" i="17" l="1"/>
  <c r="B24" i="17" l="1"/>
  <c r="B25" i="17" l="1"/>
  <c r="L375" i="16"/>
  <c r="J375" i="16"/>
  <c r="I375" i="16"/>
  <c r="H375" i="16"/>
  <c r="G375" i="16"/>
  <c r="F375" i="16"/>
  <c r="E375" i="16"/>
  <c r="D375" i="16"/>
  <c r="C375" i="16"/>
  <c r="L373" i="16"/>
  <c r="J373" i="16"/>
  <c r="I373" i="16"/>
  <c r="H373" i="16"/>
  <c r="G373" i="16"/>
  <c r="F373" i="16"/>
  <c r="E373" i="16"/>
  <c r="D373" i="16"/>
  <c r="C373" i="16"/>
  <c r="L372" i="16"/>
  <c r="J372" i="16"/>
  <c r="I372" i="16"/>
  <c r="H372" i="16"/>
  <c r="G372" i="16"/>
  <c r="F372" i="16"/>
  <c r="E372" i="16"/>
  <c r="D372" i="16"/>
  <c r="C372" i="16"/>
  <c r="S371" i="16"/>
  <c r="T371" i="16" s="1"/>
  <c r="U371" i="16" s="1"/>
  <c r="V371" i="16" s="1"/>
  <c r="W371" i="16" s="1"/>
  <c r="X371" i="16" s="1"/>
  <c r="Y371" i="16" s="1"/>
  <c r="Z371" i="16" s="1"/>
  <c r="AA371" i="16" s="1"/>
  <c r="AB371" i="16" s="1"/>
  <c r="AC371" i="16" s="1"/>
  <c r="AD371" i="16" s="1"/>
  <c r="AE371" i="16" s="1"/>
  <c r="AF371" i="16" s="1"/>
  <c r="AG371" i="16" s="1"/>
  <c r="AH371" i="16" s="1"/>
  <c r="AI371" i="16" s="1"/>
  <c r="AJ371" i="16" s="1"/>
  <c r="AK371" i="16" s="1"/>
  <c r="AL371" i="16" s="1"/>
  <c r="AM371" i="16" s="1"/>
  <c r="AN371" i="16" s="1"/>
  <c r="AO371" i="16" s="1"/>
  <c r="AP371" i="16" s="1"/>
  <c r="Q371" i="16"/>
  <c r="P371" i="16"/>
  <c r="O371" i="16"/>
  <c r="N371" i="16"/>
  <c r="M371" i="16"/>
  <c r="L371" i="16"/>
  <c r="C365" i="16"/>
  <c r="L363" i="16"/>
  <c r="O362" i="16"/>
  <c r="O360" i="16"/>
  <c r="O359" i="16"/>
  <c r="S358" i="16"/>
  <c r="T358" i="16" s="1"/>
  <c r="U358" i="16" s="1"/>
  <c r="V358" i="16" s="1"/>
  <c r="W358" i="16" s="1"/>
  <c r="X358" i="16" s="1"/>
  <c r="Y358" i="16" s="1"/>
  <c r="Z358" i="16" s="1"/>
  <c r="AA358" i="16" s="1"/>
  <c r="AB358" i="16" s="1"/>
  <c r="AC358" i="16" s="1"/>
  <c r="AD358" i="16" s="1"/>
  <c r="AE358" i="16" s="1"/>
  <c r="AF358" i="16" s="1"/>
  <c r="AG358" i="16" s="1"/>
  <c r="AH358" i="16" s="1"/>
  <c r="AI358" i="16" s="1"/>
  <c r="AJ358" i="16" s="1"/>
  <c r="AK358" i="16" s="1"/>
  <c r="AL358" i="16" s="1"/>
  <c r="AM358" i="16" s="1"/>
  <c r="AN358" i="16" s="1"/>
  <c r="AO358" i="16" s="1"/>
  <c r="AP358" i="16" s="1"/>
  <c r="Q358" i="16"/>
  <c r="P358" i="16"/>
  <c r="O358" i="16"/>
  <c r="N358" i="16"/>
  <c r="M358" i="16"/>
  <c r="L358" i="16"/>
  <c r="J345" i="16"/>
  <c r="I345" i="16"/>
  <c r="H345" i="16"/>
  <c r="G345" i="16"/>
  <c r="F345" i="16"/>
  <c r="E345" i="16"/>
  <c r="D345" i="16"/>
  <c r="C345" i="16"/>
  <c r="S344" i="16"/>
  <c r="T344" i="16" s="1"/>
  <c r="U344" i="16" s="1"/>
  <c r="V344" i="16" s="1"/>
  <c r="W344" i="16" s="1"/>
  <c r="X344" i="16" s="1"/>
  <c r="Y344" i="16" s="1"/>
  <c r="Z344" i="16" s="1"/>
  <c r="AA344" i="16" s="1"/>
  <c r="AB344" i="16" s="1"/>
  <c r="AC344" i="16" s="1"/>
  <c r="AD344" i="16" s="1"/>
  <c r="AE344" i="16" s="1"/>
  <c r="AF344" i="16" s="1"/>
  <c r="AG344" i="16" s="1"/>
  <c r="AH344" i="16" s="1"/>
  <c r="AI344" i="16" s="1"/>
  <c r="AJ344" i="16" s="1"/>
  <c r="AK344" i="16" s="1"/>
  <c r="AL344" i="16" s="1"/>
  <c r="AM344" i="16" s="1"/>
  <c r="AN344" i="16" s="1"/>
  <c r="AO344" i="16" s="1"/>
  <c r="AP344" i="16" s="1"/>
  <c r="Q344" i="16"/>
  <c r="P344" i="16"/>
  <c r="O344" i="16"/>
  <c r="N344" i="16"/>
  <c r="M344" i="16"/>
  <c r="L344" i="16"/>
  <c r="C338" i="16"/>
  <c r="O332" i="16"/>
  <c r="O336" i="16" s="1"/>
  <c r="L345" i="16"/>
  <c r="S331" i="16"/>
  <c r="T331" i="16" s="1"/>
  <c r="U331" i="16" s="1"/>
  <c r="V331" i="16" s="1"/>
  <c r="W331" i="16" s="1"/>
  <c r="X331" i="16" s="1"/>
  <c r="Y331" i="16" s="1"/>
  <c r="Z331" i="16" s="1"/>
  <c r="AA331" i="16" s="1"/>
  <c r="AB331" i="16" s="1"/>
  <c r="AC331" i="16" s="1"/>
  <c r="AD331" i="16" s="1"/>
  <c r="AE331" i="16" s="1"/>
  <c r="AF331" i="16" s="1"/>
  <c r="AG331" i="16" s="1"/>
  <c r="AH331" i="16" s="1"/>
  <c r="AI331" i="16" s="1"/>
  <c r="AJ331" i="16" s="1"/>
  <c r="AK331" i="16" s="1"/>
  <c r="AL331" i="16" s="1"/>
  <c r="AM331" i="16" s="1"/>
  <c r="AN331" i="16" s="1"/>
  <c r="AO331" i="16" s="1"/>
  <c r="AP331" i="16" s="1"/>
  <c r="Q331" i="16"/>
  <c r="P331" i="16"/>
  <c r="O331" i="16"/>
  <c r="N331" i="16"/>
  <c r="M331" i="16"/>
  <c r="L331" i="16"/>
  <c r="J321" i="16"/>
  <c r="I321" i="16"/>
  <c r="H321" i="16"/>
  <c r="G321" i="16"/>
  <c r="F321" i="16"/>
  <c r="E321" i="16"/>
  <c r="D321" i="16"/>
  <c r="C321" i="16"/>
  <c r="L314" i="16"/>
  <c r="J314" i="16"/>
  <c r="I314" i="16"/>
  <c r="H314" i="16"/>
  <c r="G314" i="16"/>
  <c r="F314" i="16"/>
  <c r="E314" i="16"/>
  <c r="D314" i="16"/>
  <c r="C314" i="16"/>
  <c r="S313" i="16"/>
  <c r="T313" i="16" s="1"/>
  <c r="U313" i="16" s="1"/>
  <c r="V313" i="16" s="1"/>
  <c r="W313" i="16" s="1"/>
  <c r="X313" i="16" s="1"/>
  <c r="Y313" i="16" s="1"/>
  <c r="Z313" i="16" s="1"/>
  <c r="AA313" i="16" s="1"/>
  <c r="AB313" i="16" s="1"/>
  <c r="AC313" i="16" s="1"/>
  <c r="AD313" i="16" s="1"/>
  <c r="AE313" i="16" s="1"/>
  <c r="AF313" i="16" s="1"/>
  <c r="AG313" i="16" s="1"/>
  <c r="AH313" i="16" s="1"/>
  <c r="AI313" i="16" s="1"/>
  <c r="AJ313" i="16" s="1"/>
  <c r="AK313" i="16" s="1"/>
  <c r="AL313" i="16" s="1"/>
  <c r="AM313" i="16" s="1"/>
  <c r="AN313" i="16" s="1"/>
  <c r="AO313" i="16" s="1"/>
  <c r="AP313" i="16" s="1"/>
  <c r="Q313" i="16"/>
  <c r="P313" i="16"/>
  <c r="O313" i="16"/>
  <c r="N313" i="16"/>
  <c r="M313" i="16"/>
  <c r="L313" i="16"/>
  <c r="C307" i="16"/>
  <c r="L305" i="16"/>
  <c r="O297" i="16"/>
  <c r="S296" i="16"/>
  <c r="T296" i="16" s="1"/>
  <c r="U296" i="16" s="1"/>
  <c r="V296" i="16" s="1"/>
  <c r="W296" i="16" s="1"/>
  <c r="X296" i="16" s="1"/>
  <c r="Y296" i="16" s="1"/>
  <c r="Z296" i="16" s="1"/>
  <c r="AA296" i="16" s="1"/>
  <c r="AB296" i="16" s="1"/>
  <c r="AC296" i="16" s="1"/>
  <c r="AD296" i="16" s="1"/>
  <c r="AE296" i="16" s="1"/>
  <c r="AF296" i="16" s="1"/>
  <c r="AG296" i="16" s="1"/>
  <c r="AH296" i="16" s="1"/>
  <c r="AI296" i="16" s="1"/>
  <c r="AJ296" i="16" s="1"/>
  <c r="AK296" i="16" s="1"/>
  <c r="AL296" i="16" s="1"/>
  <c r="AM296" i="16" s="1"/>
  <c r="AN296" i="16" s="1"/>
  <c r="AO296" i="16" s="1"/>
  <c r="AP296" i="16" s="1"/>
  <c r="Q296" i="16"/>
  <c r="P296" i="16"/>
  <c r="O296" i="16"/>
  <c r="N296" i="16"/>
  <c r="M296" i="16"/>
  <c r="L296" i="16"/>
  <c r="L284" i="16"/>
  <c r="J284" i="16"/>
  <c r="I284" i="16"/>
  <c r="H284" i="16"/>
  <c r="G284" i="16"/>
  <c r="F284" i="16"/>
  <c r="E284" i="16"/>
  <c r="D284" i="16"/>
  <c r="C284" i="16"/>
  <c r="L283" i="16"/>
  <c r="J283" i="16"/>
  <c r="I283" i="16"/>
  <c r="H283" i="16"/>
  <c r="G283" i="16"/>
  <c r="F283" i="16"/>
  <c r="E283" i="16"/>
  <c r="D283" i="16"/>
  <c r="C283" i="16"/>
  <c r="L282" i="16"/>
  <c r="J282" i="16"/>
  <c r="I282" i="16"/>
  <c r="H282" i="16"/>
  <c r="G282" i="16"/>
  <c r="F282" i="16"/>
  <c r="E282" i="16"/>
  <c r="D282" i="16"/>
  <c r="C282" i="16"/>
  <c r="L281" i="16"/>
  <c r="J281" i="16"/>
  <c r="I281" i="16"/>
  <c r="H281" i="16"/>
  <c r="G281" i="16"/>
  <c r="F281" i="16"/>
  <c r="E281" i="16"/>
  <c r="D281" i="16"/>
  <c r="C281" i="16"/>
  <c r="S280" i="16"/>
  <c r="T280" i="16" s="1"/>
  <c r="U280" i="16" s="1"/>
  <c r="V280" i="16" s="1"/>
  <c r="W280" i="16" s="1"/>
  <c r="X280" i="16" s="1"/>
  <c r="Y280" i="16" s="1"/>
  <c r="Z280" i="16" s="1"/>
  <c r="AA280" i="16" s="1"/>
  <c r="AB280" i="16" s="1"/>
  <c r="AC280" i="16" s="1"/>
  <c r="AD280" i="16" s="1"/>
  <c r="AE280" i="16" s="1"/>
  <c r="AF280" i="16" s="1"/>
  <c r="AG280" i="16" s="1"/>
  <c r="AH280" i="16" s="1"/>
  <c r="AI280" i="16" s="1"/>
  <c r="AJ280" i="16" s="1"/>
  <c r="AK280" i="16" s="1"/>
  <c r="AL280" i="16" s="1"/>
  <c r="AM280" i="16" s="1"/>
  <c r="AN280" i="16" s="1"/>
  <c r="AO280" i="16" s="1"/>
  <c r="AP280" i="16" s="1"/>
  <c r="Q280" i="16"/>
  <c r="P280" i="16"/>
  <c r="O280" i="16"/>
  <c r="N280" i="16"/>
  <c r="M280" i="16"/>
  <c r="L280" i="16"/>
  <c r="C274" i="16"/>
  <c r="O266" i="16"/>
  <c r="O272" i="16" s="1"/>
  <c r="S265" i="16"/>
  <c r="T265" i="16" s="1"/>
  <c r="U265" i="16" s="1"/>
  <c r="V265" i="16" s="1"/>
  <c r="W265" i="16" s="1"/>
  <c r="X265" i="16" s="1"/>
  <c r="Y265" i="16" s="1"/>
  <c r="Z265" i="16" s="1"/>
  <c r="AA265" i="16" s="1"/>
  <c r="AB265" i="16" s="1"/>
  <c r="AC265" i="16" s="1"/>
  <c r="AD265" i="16" s="1"/>
  <c r="AE265" i="16" s="1"/>
  <c r="AF265" i="16" s="1"/>
  <c r="AG265" i="16" s="1"/>
  <c r="AH265" i="16" s="1"/>
  <c r="AI265" i="16" s="1"/>
  <c r="AJ265" i="16" s="1"/>
  <c r="AK265" i="16" s="1"/>
  <c r="AL265" i="16" s="1"/>
  <c r="AM265" i="16" s="1"/>
  <c r="AN265" i="16" s="1"/>
  <c r="AO265" i="16" s="1"/>
  <c r="AP265" i="16" s="1"/>
  <c r="Q265" i="16"/>
  <c r="P265" i="16"/>
  <c r="O265" i="16"/>
  <c r="N265" i="16"/>
  <c r="M265" i="16"/>
  <c r="L265" i="16"/>
  <c r="J255" i="16"/>
  <c r="I255" i="16"/>
  <c r="H255" i="16"/>
  <c r="G255" i="16"/>
  <c r="F255" i="16"/>
  <c r="E255" i="16"/>
  <c r="D255" i="16"/>
  <c r="C255" i="16"/>
  <c r="S254" i="16"/>
  <c r="T254" i="16" s="1"/>
  <c r="U254" i="16" s="1"/>
  <c r="V254" i="16" s="1"/>
  <c r="W254" i="16" s="1"/>
  <c r="X254" i="16" s="1"/>
  <c r="Y254" i="16" s="1"/>
  <c r="Z254" i="16" s="1"/>
  <c r="AA254" i="16" s="1"/>
  <c r="AB254" i="16" s="1"/>
  <c r="AC254" i="16" s="1"/>
  <c r="AD254" i="16" s="1"/>
  <c r="AE254" i="16" s="1"/>
  <c r="AF254" i="16" s="1"/>
  <c r="AG254" i="16" s="1"/>
  <c r="AH254" i="16" s="1"/>
  <c r="AI254" i="16" s="1"/>
  <c r="AJ254" i="16" s="1"/>
  <c r="AK254" i="16" s="1"/>
  <c r="AL254" i="16" s="1"/>
  <c r="AM254" i="16" s="1"/>
  <c r="AN254" i="16" s="1"/>
  <c r="AO254" i="16" s="1"/>
  <c r="AP254" i="16" s="1"/>
  <c r="Q254" i="16"/>
  <c r="P254" i="16"/>
  <c r="O254" i="16"/>
  <c r="N254" i="16"/>
  <c r="M254" i="16"/>
  <c r="L254" i="16"/>
  <c r="C248" i="16"/>
  <c r="L255" i="16"/>
  <c r="S244" i="16"/>
  <c r="S270" i="16" s="1"/>
  <c r="Q244" i="16"/>
  <c r="P244" i="16"/>
  <c r="O244" i="16"/>
  <c r="N244" i="16"/>
  <c r="M244" i="16"/>
  <c r="L244" i="16"/>
  <c r="L234" i="16"/>
  <c r="J234" i="16"/>
  <c r="I234" i="16"/>
  <c r="H234" i="16"/>
  <c r="G234" i="16"/>
  <c r="F234" i="16"/>
  <c r="E234" i="16"/>
  <c r="D234" i="16"/>
  <c r="C234" i="16"/>
  <c r="L233" i="16"/>
  <c r="J233" i="16"/>
  <c r="I233" i="16"/>
  <c r="H233" i="16"/>
  <c r="G233" i="16"/>
  <c r="F233" i="16"/>
  <c r="E233" i="16"/>
  <c r="D233" i="16"/>
  <c r="C233" i="16"/>
  <c r="L232" i="16"/>
  <c r="J232" i="16"/>
  <c r="I232" i="16"/>
  <c r="H232" i="16"/>
  <c r="G232" i="16"/>
  <c r="F232" i="16"/>
  <c r="E232" i="16"/>
  <c r="D232" i="16"/>
  <c r="C232" i="16"/>
  <c r="L231" i="16"/>
  <c r="J231" i="16"/>
  <c r="I231" i="16"/>
  <c r="H231" i="16"/>
  <c r="G231" i="16"/>
  <c r="F231" i="16"/>
  <c r="E231" i="16"/>
  <c r="D231" i="16"/>
  <c r="C231" i="16"/>
  <c r="S230" i="16"/>
  <c r="T230" i="16" s="1"/>
  <c r="U230" i="16" s="1"/>
  <c r="V230" i="16" s="1"/>
  <c r="W230" i="16" s="1"/>
  <c r="X230" i="16" s="1"/>
  <c r="Y230" i="16" s="1"/>
  <c r="Z230" i="16" s="1"/>
  <c r="AA230" i="16" s="1"/>
  <c r="AB230" i="16" s="1"/>
  <c r="AC230" i="16" s="1"/>
  <c r="AD230" i="16" s="1"/>
  <c r="AE230" i="16" s="1"/>
  <c r="AF230" i="16" s="1"/>
  <c r="AG230" i="16" s="1"/>
  <c r="AH230" i="16" s="1"/>
  <c r="AI230" i="16" s="1"/>
  <c r="AJ230" i="16" s="1"/>
  <c r="AK230" i="16" s="1"/>
  <c r="AL230" i="16" s="1"/>
  <c r="AM230" i="16" s="1"/>
  <c r="AN230" i="16" s="1"/>
  <c r="AO230" i="16" s="1"/>
  <c r="AP230" i="16" s="1"/>
  <c r="Q230" i="16"/>
  <c r="P230" i="16"/>
  <c r="O230" i="16"/>
  <c r="N230" i="16"/>
  <c r="M230" i="16"/>
  <c r="L230" i="16"/>
  <c r="C224" i="16"/>
  <c r="L222" i="16"/>
  <c r="O221" i="16"/>
  <c r="O220" i="16"/>
  <c r="O219" i="16"/>
  <c r="O218" i="16"/>
  <c r="S217" i="16"/>
  <c r="Q217" i="16"/>
  <c r="P217" i="16"/>
  <c r="O217" i="16"/>
  <c r="N217" i="16"/>
  <c r="M217" i="16"/>
  <c r="L217" i="16"/>
  <c r="L207" i="16"/>
  <c r="J207" i="16"/>
  <c r="I207" i="16"/>
  <c r="H207" i="16"/>
  <c r="G207" i="16"/>
  <c r="F207" i="16"/>
  <c r="E207" i="16"/>
  <c r="D207" i="16"/>
  <c r="C207" i="16"/>
  <c r="L206" i="16"/>
  <c r="J206" i="16"/>
  <c r="I206" i="16"/>
  <c r="H206" i="16"/>
  <c r="G206" i="16"/>
  <c r="F206" i="16"/>
  <c r="E206" i="16"/>
  <c r="D206" i="16"/>
  <c r="C206" i="16"/>
  <c r="L205" i="16"/>
  <c r="J205" i="16"/>
  <c r="I205" i="16"/>
  <c r="H205" i="16"/>
  <c r="G205" i="16"/>
  <c r="F205" i="16"/>
  <c r="E205" i="16"/>
  <c r="D205" i="16"/>
  <c r="C205" i="16"/>
  <c r="L204" i="16"/>
  <c r="J204" i="16"/>
  <c r="I204" i="16"/>
  <c r="H204" i="16"/>
  <c r="G204" i="16"/>
  <c r="F204" i="16"/>
  <c r="E204" i="16"/>
  <c r="D204" i="16"/>
  <c r="C204" i="16"/>
  <c r="L203" i="16"/>
  <c r="J203" i="16"/>
  <c r="I203" i="16"/>
  <c r="H203" i="16"/>
  <c r="G203" i="16"/>
  <c r="F203" i="16"/>
  <c r="E203" i="16"/>
  <c r="D203" i="16"/>
  <c r="C203" i="16"/>
  <c r="S202" i="16"/>
  <c r="T202" i="16" s="1"/>
  <c r="U202" i="16" s="1"/>
  <c r="V202" i="16" s="1"/>
  <c r="W202" i="16" s="1"/>
  <c r="X202" i="16" s="1"/>
  <c r="Y202" i="16" s="1"/>
  <c r="Z202" i="16" s="1"/>
  <c r="AA202" i="16" s="1"/>
  <c r="AB202" i="16" s="1"/>
  <c r="AC202" i="16" s="1"/>
  <c r="AD202" i="16" s="1"/>
  <c r="AE202" i="16" s="1"/>
  <c r="AF202" i="16" s="1"/>
  <c r="AG202" i="16" s="1"/>
  <c r="AH202" i="16" s="1"/>
  <c r="AI202" i="16" s="1"/>
  <c r="AJ202" i="16" s="1"/>
  <c r="AK202" i="16" s="1"/>
  <c r="AL202" i="16" s="1"/>
  <c r="AM202" i="16" s="1"/>
  <c r="AN202" i="16" s="1"/>
  <c r="AO202" i="16" s="1"/>
  <c r="AP202" i="16" s="1"/>
  <c r="Q202" i="16"/>
  <c r="P202" i="16"/>
  <c r="O202" i="16"/>
  <c r="N202" i="16"/>
  <c r="M202" i="16"/>
  <c r="L202" i="16"/>
  <c r="C196" i="16"/>
  <c r="O193" i="16"/>
  <c r="O192" i="16"/>
  <c r="O191" i="16"/>
  <c r="O190" i="16"/>
  <c r="O189" i="16"/>
  <c r="S188" i="16"/>
  <c r="Q188" i="16"/>
  <c r="P188" i="16"/>
  <c r="O188" i="16"/>
  <c r="N188" i="16"/>
  <c r="M188" i="16"/>
  <c r="L188" i="16"/>
  <c r="L178" i="16"/>
  <c r="J178" i="16"/>
  <c r="I178" i="16"/>
  <c r="H178" i="16"/>
  <c r="G178" i="16"/>
  <c r="F178" i="16"/>
  <c r="E178" i="16"/>
  <c r="D178" i="16"/>
  <c r="C178" i="16"/>
  <c r="L177" i="16"/>
  <c r="J177" i="16"/>
  <c r="I177" i="16"/>
  <c r="H177" i="16"/>
  <c r="G177" i="16"/>
  <c r="F177" i="16"/>
  <c r="E177" i="16"/>
  <c r="D177" i="16"/>
  <c r="C177" i="16"/>
  <c r="L176" i="16"/>
  <c r="J176" i="16"/>
  <c r="I176" i="16"/>
  <c r="H176" i="16"/>
  <c r="G176" i="16"/>
  <c r="F176" i="16"/>
  <c r="E176" i="16"/>
  <c r="D176" i="16"/>
  <c r="C176" i="16"/>
  <c r="L175" i="16"/>
  <c r="J175" i="16"/>
  <c r="I175" i="16"/>
  <c r="H175" i="16"/>
  <c r="G175" i="16"/>
  <c r="F175" i="16"/>
  <c r="E175" i="16"/>
  <c r="D175" i="16"/>
  <c r="C175" i="16"/>
  <c r="L174" i="16"/>
  <c r="J174" i="16"/>
  <c r="I174" i="16"/>
  <c r="H174" i="16"/>
  <c r="G174" i="16"/>
  <c r="F174" i="16"/>
  <c r="E174" i="16"/>
  <c r="D174" i="16"/>
  <c r="C174" i="16"/>
  <c r="L170" i="16"/>
  <c r="J170" i="16"/>
  <c r="I170" i="16"/>
  <c r="H170" i="16"/>
  <c r="G170" i="16"/>
  <c r="F170" i="16"/>
  <c r="E170" i="16"/>
  <c r="D170" i="16"/>
  <c r="C170" i="16"/>
  <c r="L169" i="16"/>
  <c r="J169" i="16"/>
  <c r="I169" i="16"/>
  <c r="H169" i="16"/>
  <c r="G169" i="16"/>
  <c r="F169" i="16"/>
  <c r="E169" i="16"/>
  <c r="D169" i="16"/>
  <c r="C169" i="16"/>
  <c r="L168" i="16"/>
  <c r="J168" i="16"/>
  <c r="I168" i="16"/>
  <c r="H168" i="16"/>
  <c r="G168" i="16"/>
  <c r="F168" i="16"/>
  <c r="E168" i="16"/>
  <c r="D168" i="16"/>
  <c r="C168" i="16"/>
  <c r="L167" i="16"/>
  <c r="J167" i="16"/>
  <c r="I167" i="16"/>
  <c r="H167" i="16"/>
  <c r="G167" i="16"/>
  <c r="F167" i="16"/>
  <c r="E167" i="16"/>
  <c r="D167" i="16"/>
  <c r="C167" i="16"/>
  <c r="L166" i="16"/>
  <c r="J166" i="16"/>
  <c r="I166" i="16"/>
  <c r="H166" i="16"/>
  <c r="G166" i="16"/>
  <c r="F166" i="16"/>
  <c r="E166" i="16"/>
  <c r="D166" i="16"/>
  <c r="C166" i="16"/>
  <c r="L165" i="16"/>
  <c r="J165" i="16"/>
  <c r="I165" i="16"/>
  <c r="H165" i="16"/>
  <c r="G165" i="16"/>
  <c r="F165" i="16"/>
  <c r="E165" i="16"/>
  <c r="D165" i="16"/>
  <c r="C165" i="16"/>
  <c r="L164" i="16"/>
  <c r="J164" i="16"/>
  <c r="I164" i="16"/>
  <c r="H164" i="16"/>
  <c r="G164" i="16"/>
  <c r="F164" i="16"/>
  <c r="E164" i="16"/>
  <c r="D164" i="16"/>
  <c r="C164" i="16"/>
  <c r="L163" i="16"/>
  <c r="J163" i="16"/>
  <c r="I163" i="16"/>
  <c r="H163" i="16"/>
  <c r="G163" i="16"/>
  <c r="F163" i="16"/>
  <c r="E163" i="16"/>
  <c r="D163" i="16"/>
  <c r="C163" i="16"/>
  <c r="L162" i="16"/>
  <c r="J162" i="16"/>
  <c r="I162" i="16"/>
  <c r="H162" i="16"/>
  <c r="G162" i="16"/>
  <c r="F162" i="16"/>
  <c r="E162" i="16"/>
  <c r="D162" i="16"/>
  <c r="C162" i="16"/>
  <c r="L161" i="16"/>
  <c r="J161" i="16"/>
  <c r="I161" i="16"/>
  <c r="H161" i="16"/>
  <c r="G161" i="16"/>
  <c r="F161" i="16"/>
  <c r="E161" i="16"/>
  <c r="D161" i="16"/>
  <c r="C161" i="16"/>
  <c r="L160" i="16"/>
  <c r="J160" i="16"/>
  <c r="I160" i="16"/>
  <c r="H160" i="16"/>
  <c r="G160" i="16"/>
  <c r="F160" i="16"/>
  <c r="E160" i="16"/>
  <c r="D160" i="16"/>
  <c r="C160" i="16"/>
  <c r="L159" i="16"/>
  <c r="J159" i="16"/>
  <c r="I159" i="16"/>
  <c r="H159" i="16"/>
  <c r="G159" i="16"/>
  <c r="F159" i="16"/>
  <c r="E159" i="16"/>
  <c r="D159" i="16"/>
  <c r="C159" i="16"/>
  <c r="L158" i="16"/>
  <c r="J158" i="16"/>
  <c r="I158" i="16"/>
  <c r="H158" i="16"/>
  <c r="G158" i="16"/>
  <c r="F158" i="16"/>
  <c r="E158" i="16"/>
  <c r="D158" i="16"/>
  <c r="C158" i="16"/>
  <c r="L157" i="16"/>
  <c r="J157" i="16"/>
  <c r="I157" i="16"/>
  <c r="H157" i="16"/>
  <c r="G157" i="16"/>
  <c r="F157" i="16"/>
  <c r="E157" i="16"/>
  <c r="D157" i="16"/>
  <c r="C157" i="16"/>
  <c r="L156" i="16"/>
  <c r="J156" i="16"/>
  <c r="I156" i="16"/>
  <c r="H156" i="16"/>
  <c r="G156" i="16"/>
  <c r="F156" i="16"/>
  <c r="E156" i="16"/>
  <c r="D156" i="16"/>
  <c r="C156" i="16"/>
  <c r="L155" i="16"/>
  <c r="J155" i="16"/>
  <c r="I155" i="16"/>
  <c r="H155" i="16"/>
  <c r="G155" i="16"/>
  <c r="F155" i="16"/>
  <c r="E155" i="16"/>
  <c r="D155" i="16"/>
  <c r="C155" i="16"/>
  <c r="L154" i="16"/>
  <c r="J154" i="16"/>
  <c r="I154" i="16"/>
  <c r="H154" i="16"/>
  <c r="G154" i="16"/>
  <c r="F154" i="16"/>
  <c r="E154" i="16"/>
  <c r="D154" i="16"/>
  <c r="C154" i="16"/>
  <c r="L153" i="16"/>
  <c r="J153" i="16"/>
  <c r="I153" i="16"/>
  <c r="H153" i="16"/>
  <c r="G153" i="16"/>
  <c r="F153" i="16"/>
  <c r="E153" i="16"/>
  <c r="D153" i="16"/>
  <c r="C153" i="16"/>
  <c r="L152" i="16"/>
  <c r="J152" i="16"/>
  <c r="I152" i="16"/>
  <c r="H152" i="16"/>
  <c r="G152" i="16"/>
  <c r="F152" i="16"/>
  <c r="E152" i="16"/>
  <c r="D152" i="16"/>
  <c r="C152" i="16"/>
  <c r="L151" i="16"/>
  <c r="J151" i="16"/>
  <c r="I151" i="16"/>
  <c r="H151" i="16"/>
  <c r="G151" i="16"/>
  <c r="F151" i="16"/>
  <c r="E151" i="16"/>
  <c r="D151" i="16"/>
  <c r="C151" i="16"/>
  <c r="L150" i="16"/>
  <c r="J150" i="16"/>
  <c r="I150" i="16"/>
  <c r="H150" i="16"/>
  <c r="G150" i="16"/>
  <c r="F150" i="16"/>
  <c r="E150" i="16"/>
  <c r="D150" i="16"/>
  <c r="C150" i="16"/>
  <c r="L149" i="16"/>
  <c r="J149" i="16"/>
  <c r="I149" i="16"/>
  <c r="H149" i="16"/>
  <c r="G149" i="16"/>
  <c r="F149" i="16"/>
  <c r="E149" i="16"/>
  <c r="D149" i="16"/>
  <c r="C149" i="16"/>
  <c r="L148" i="16"/>
  <c r="J148" i="16"/>
  <c r="I148" i="16"/>
  <c r="H148" i="16"/>
  <c r="G148" i="16"/>
  <c r="F148" i="16"/>
  <c r="E148" i="16"/>
  <c r="D148" i="16"/>
  <c r="C148" i="16"/>
  <c r="L147" i="16"/>
  <c r="J147" i="16"/>
  <c r="I147" i="16"/>
  <c r="H147" i="16"/>
  <c r="G147" i="16"/>
  <c r="F147" i="16"/>
  <c r="E147" i="16"/>
  <c r="D147" i="16"/>
  <c r="C147" i="16"/>
  <c r="L146" i="16"/>
  <c r="J146" i="16"/>
  <c r="I146" i="16"/>
  <c r="H146" i="16"/>
  <c r="G146" i="16"/>
  <c r="F146" i="16"/>
  <c r="E146" i="16"/>
  <c r="D146" i="16"/>
  <c r="C146" i="16"/>
  <c r="L145" i="16"/>
  <c r="J145" i="16"/>
  <c r="I145" i="16"/>
  <c r="H145" i="16"/>
  <c r="G145" i="16"/>
  <c r="F145" i="16"/>
  <c r="E145" i="16"/>
  <c r="D145" i="16"/>
  <c r="C145" i="16"/>
  <c r="L144" i="16"/>
  <c r="J144" i="16"/>
  <c r="I144" i="16"/>
  <c r="H144" i="16"/>
  <c r="G144" i="16"/>
  <c r="F144" i="16"/>
  <c r="E144" i="16"/>
  <c r="D144" i="16"/>
  <c r="C144" i="16"/>
  <c r="L143" i="16"/>
  <c r="J143" i="16"/>
  <c r="I143" i="16"/>
  <c r="H143" i="16"/>
  <c r="G143" i="16"/>
  <c r="F143" i="16"/>
  <c r="E143" i="16"/>
  <c r="D143" i="16"/>
  <c r="C143" i="16"/>
  <c r="L142" i="16"/>
  <c r="J142" i="16"/>
  <c r="I142" i="16"/>
  <c r="H142" i="16"/>
  <c r="G142" i="16"/>
  <c r="F142" i="16"/>
  <c r="E142" i="16"/>
  <c r="D142" i="16"/>
  <c r="C142" i="16"/>
  <c r="L141" i="16"/>
  <c r="J141" i="16"/>
  <c r="I141" i="16"/>
  <c r="H141" i="16"/>
  <c r="G141" i="16"/>
  <c r="F141" i="16"/>
  <c r="E141" i="16"/>
  <c r="D141" i="16"/>
  <c r="C141" i="16"/>
  <c r="L140" i="16"/>
  <c r="J140" i="16"/>
  <c r="I140" i="16"/>
  <c r="H140" i="16"/>
  <c r="G140" i="16"/>
  <c r="F140" i="16"/>
  <c r="E140" i="16"/>
  <c r="D140" i="16"/>
  <c r="C140" i="16"/>
  <c r="L139" i="16"/>
  <c r="J139" i="16"/>
  <c r="I139" i="16"/>
  <c r="H139" i="16"/>
  <c r="G139" i="16"/>
  <c r="F139" i="16"/>
  <c r="E139" i="16"/>
  <c r="D139" i="16"/>
  <c r="C139" i="16"/>
  <c r="L138" i="16"/>
  <c r="J138" i="16"/>
  <c r="I138" i="16"/>
  <c r="H138" i="16"/>
  <c r="G138" i="16"/>
  <c r="F138" i="16"/>
  <c r="E138" i="16"/>
  <c r="D138" i="16"/>
  <c r="C138" i="16"/>
  <c r="S137" i="16"/>
  <c r="T137" i="16" s="1"/>
  <c r="U137" i="16" s="1"/>
  <c r="V137" i="16" s="1"/>
  <c r="W137" i="16" s="1"/>
  <c r="X137" i="16" s="1"/>
  <c r="Y137" i="16" s="1"/>
  <c r="Z137" i="16" s="1"/>
  <c r="AA137" i="16" s="1"/>
  <c r="AB137" i="16" s="1"/>
  <c r="AC137" i="16" s="1"/>
  <c r="AD137" i="16" s="1"/>
  <c r="AE137" i="16" s="1"/>
  <c r="AF137" i="16" s="1"/>
  <c r="AG137" i="16" s="1"/>
  <c r="AH137" i="16" s="1"/>
  <c r="AI137" i="16" s="1"/>
  <c r="AJ137" i="16" s="1"/>
  <c r="AK137" i="16" s="1"/>
  <c r="AL137" i="16" s="1"/>
  <c r="AM137" i="16" s="1"/>
  <c r="AN137" i="16" s="1"/>
  <c r="AO137" i="16" s="1"/>
  <c r="AP137" i="16" s="1"/>
  <c r="Q137" i="16"/>
  <c r="P137" i="16"/>
  <c r="O137" i="16"/>
  <c r="N137" i="16"/>
  <c r="M137" i="16"/>
  <c r="L137" i="16"/>
  <c r="C131" i="16"/>
  <c r="O128" i="16"/>
  <c r="O127" i="16"/>
  <c r="O126" i="16"/>
  <c r="O125" i="16"/>
  <c r="O124" i="16"/>
  <c r="O119" i="16"/>
  <c r="O118" i="16"/>
  <c r="O117" i="16"/>
  <c r="O116" i="16"/>
  <c r="O115" i="16"/>
  <c r="O114" i="16"/>
  <c r="O113" i="16"/>
  <c r="O112" i="16"/>
  <c r="O111" i="16"/>
  <c r="O110" i="16"/>
  <c r="O109" i="16"/>
  <c r="O108" i="16"/>
  <c r="O107" i="16"/>
  <c r="O106" i="16"/>
  <c r="O105" i="16"/>
  <c r="O104" i="16"/>
  <c r="O103" i="16"/>
  <c r="O102" i="16"/>
  <c r="O101" i="16"/>
  <c r="O100" i="16"/>
  <c r="O99" i="16"/>
  <c r="O98" i="16"/>
  <c r="O97" i="16"/>
  <c r="O96" i="16"/>
  <c r="O95" i="16"/>
  <c r="O94" i="16"/>
  <c r="O93" i="16"/>
  <c r="O92" i="16"/>
  <c r="O91" i="16"/>
  <c r="O90" i="16"/>
  <c r="O89" i="16"/>
  <c r="O88" i="16"/>
  <c r="S87" i="16"/>
  <c r="Q87" i="16"/>
  <c r="P87" i="16"/>
  <c r="O87" i="16"/>
  <c r="N87" i="16"/>
  <c r="M87" i="16"/>
  <c r="L87" i="16"/>
  <c r="L76" i="16"/>
  <c r="J76" i="16"/>
  <c r="I76" i="16"/>
  <c r="H76" i="16"/>
  <c r="F76" i="16"/>
  <c r="E76" i="16"/>
  <c r="D76" i="16"/>
  <c r="C76" i="16"/>
  <c r="L74" i="16"/>
  <c r="J74" i="16"/>
  <c r="I74" i="16"/>
  <c r="H74" i="16"/>
  <c r="F74" i="16"/>
  <c r="E74" i="16"/>
  <c r="D74" i="16"/>
  <c r="C74" i="16"/>
  <c r="L73" i="16"/>
  <c r="J73" i="16"/>
  <c r="I73" i="16"/>
  <c r="H73" i="16"/>
  <c r="F73" i="16"/>
  <c r="E73" i="16"/>
  <c r="D73" i="16"/>
  <c r="C73" i="16"/>
  <c r="L72" i="16"/>
  <c r="J72" i="16"/>
  <c r="I72" i="16"/>
  <c r="H72" i="16"/>
  <c r="F72" i="16"/>
  <c r="E72" i="16"/>
  <c r="D72" i="16"/>
  <c r="C72" i="16"/>
  <c r="L71" i="16"/>
  <c r="J71" i="16"/>
  <c r="I71" i="16"/>
  <c r="H71" i="16"/>
  <c r="F71" i="16"/>
  <c r="E71" i="16"/>
  <c r="D71" i="16"/>
  <c r="C71" i="16"/>
  <c r="S70" i="16"/>
  <c r="T70" i="16" s="1"/>
  <c r="U70" i="16" s="1"/>
  <c r="V70" i="16" s="1"/>
  <c r="W70" i="16" s="1"/>
  <c r="X70" i="16" s="1"/>
  <c r="Y70" i="16" s="1"/>
  <c r="Z70" i="16" s="1"/>
  <c r="AA70" i="16" s="1"/>
  <c r="AB70" i="16" s="1"/>
  <c r="AC70" i="16" s="1"/>
  <c r="AD70" i="16" s="1"/>
  <c r="AE70" i="16" s="1"/>
  <c r="AF70" i="16" s="1"/>
  <c r="AG70" i="16" s="1"/>
  <c r="AH70" i="16" s="1"/>
  <c r="AI70" i="16" s="1"/>
  <c r="AJ70" i="16" s="1"/>
  <c r="AK70" i="16" s="1"/>
  <c r="AL70" i="16" s="1"/>
  <c r="AM70" i="16" s="1"/>
  <c r="AN70" i="16" s="1"/>
  <c r="AO70" i="16" s="1"/>
  <c r="AP70" i="16" s="1"/>
  <c r="Q70" i="16"/>
  <c r="P70" i="16"/>
  <c r="O70" i="16"/>
  <c r="N70" i="16"/>
  <c r="M70" i="16"/>
  <c r="L70" i="16"/>
  <c r="C64" i="16"/>
  <c r="O60" i="16"/>
  <c r="O58" i="16"/>
  <c r="O57" i="16"/>
  <c r="O56" i="16"/>
  <c r="O55" i="16"/>
  <c r="S54" i="16"/>
  <c r="Q54" i="16"/>
  <c r="P54" i="16"/>
  <c r="O54" i="16"/>
  <c r="N54" i="16"/>
  <c r="M54" i="16"/>
  <c r="L54" i="16"/>
  <c r="L44" i="16"/>
  <c r="J44" i="16"/>
  <c r="I44" i="16"/>
  <c r="H44" i="16"/>
  <c r="F44" i="16"/>
  <c r="E44" i="16"/>
  <c r="D44" i="16"/>
  <c r="C44" i="16"/>
  <c r="L42" i="16"/>
  <c r="J42" i="16"/>
  <c r="I42" i="16"/>
  <c r="H42" i="16"/>
  <c r="F42" i="16"/>
  <c r="E42" i="16"/>
  <c r="D42" i="16"/>
  <c r="C42" i="16"/>
  <c r="L41" i="16"/>
  <c r="J41" i="16"/>
  <c r="I41" i="16"/>
  <c r="H41" i="16"/>
  <c r="F41" i="16"/>
  <c r="E41" i="16"/>
  <c r="D41" i="16"/>
  <c r="C41" i="16"/>
  <c r="L40" i="16"/>
  <c r="J40" i="16"/>
  <c r="I40" i="16"/>
  <c r="H40" i="16"/>
  <c r="F40" i="16"/>
  <c r="E40" i="16"/>
  <c r="D40" i="16"/>
  <c r="C40" i="16"/>
  <c r="L39" i="16"/>
  <c r="J39" i="16"/>
  <c r="I39" i="16"/>
  <c r="H39" i="16"/>
  <c r="F39" i="16"/>
  <c r="E39" i="16"/>
  <c r="D39" i="16"/>
  <c r="C39" i="16"/>
  <c r="L38" i="16"/>
  <c r="J38" i="16"/>
  <c r="I38" i="16"/>
  <c r="H38" i="16"/>
  <c r="F38" i="16"/>
  <c r="E38" i="16"/>
  <c r="D38" i="16"/>
  <c r="C38" i="16"/>
  <c r="L37" i="16"/>
  <c r="J37" i="16"/>
  <c r="I37" i="16"/>
  <c r="H37" i="16"/>
  <c r="F37" i="16"/>
  <c r="E37" i="16"/>
  <c r="D37" i="16"/>
  <c r="C37" i="16"/>
  <c r="L36" i="16"/>
  <c r="J36" i="16"/>
  <c r="I36" i="16"/>
  <c r="H36" i="16"/>
  <c r="F36" i="16"/>
  <c r="E36" i="16"/>
  <c r="D36" i="16"/>
  <c r="C36" i="16"/>
  <c r="L35" i="16"/>
  <c r="J35" i="16"/>
  <c r="I35" i="16"/>
  <c r="H35" i="16"/>
  <c r="F35" i="16"/>
  <c r="E35" i="16"/>
  <c r="D35" i="16"/>
  <c r="C35" i="16"/>
  <c r="L34" i="16"/>
  <c r="J34" i="16"/>
  <c r="I34" i="16"/>
  <c r="H34" i="16"/>
  <c r="F34" i="16"/>
  <c r="E34" i="16"/>
  <c r="D34" i="16"/>
  <c r="C34" i="16"/>
  <c r="L33" i="16"/>
  <c r="J33" i="16"/>
  <c r="I33" i="16"/>
  <c r="H33" i="16"/>
  <c r="F33" i="16"/>
  <c r="E33" i="16"/>
  <c r="C33" i="16"/>
  <c r="S32" i="16"/>
  <c r="C26" i="16"/>
  <c r="O21" i="16"/>
  <c r="S11" i="16"/>
  <c r="L121" i="15"/>
  <c r="K121" i="15"/>
  <c r="J121" i="15"/>
  <c r="Q47" i="15"/>
  <c r="M39" i="15"/>
  <c r="L39" i="15"/>
  <c r="K39" i="15"/>
  <c r="J39" i="15"/>
  <c r="Q8" i="15"/>
  <c r="O8" i="15"/>
  <c r="O47" i="15" s="1"/>
  <c r="N8" i="15"/>
  <c r="N47" i="15" s="1"/>
  <c r="M8" i="15"/>
  <c r="M47" i="15" s="1"/>
  <c r="L8" i="15"/>
  <c r="L47" i="15" s="1"/>
  <c r="K8" i="15"/>
  <c r="K47" i="15" s="1"/>
  <c r="J8" i="15"/>
  <c r="J47" i="15" s="1"/>
  <c r="A5" i="14"/>
  <c r="A5" i="13"/>
  <c r="C5" i="13" s="1"/>
  <c r="I4" i="13"/>
  <c r="H4" i="13"/>
  <c r="F4" i="13"/>
  <c r="E4" i="13"/>
  <c r="S96" i="16" l="1"/>
  <c r="L287" i="16"/>
  <c r="S99" i="16"/>
  <c r="S93" i="16"/>
  <c r="S90" i="16"/>
  <c r="S88" i="16"/>
  <c r="S115" i="16"/>
  <c r="S112" i="16"/>
  <c r="S94" i="16"/>
  <c r="S89" i="16"/>
  <c r="S95" i="16"/>
  <c r="S111" i="16"/>
  <c r="S103" i="16"/>
  <c r="S92" i="16"/>
  <c r="S91" i="16"/>
  <c r="S102" i="16"/>
  <c r="S98" i="16"/>
  <c r="S101" i="16"/>
  <c r="S105" i="16"/>
  <c r="S100" i="16"/>
  <c r="S110" i="16"/>
  <c r="S116" i="16"/>
  <c r="S117" i="16"/>
  <c r="S118" i="16"/>
  <c r="S124" i="16"/>
  <c r="S125" i="16"/>
  <c r="S104" i="16"/>
  <c r="S107" i="16"/>
  <c r="S120" i="16"/>
  <c r="S121" i="16"/>
  <c r="S126" i="16"/>
  <c r="S106" i="16"/>
  <c r="S114" i="16"/>
  <c r="S122" i="16"/>
  <c r="S108" i="16"/>
  <c r="S127" i="16"/>
  <c r="S113" i="16"/>
  <c r="S109" i="16"/>
  <c r="S128" i="16"/>
  <c r="S123" i="16"/>
  <c r="S119" i="16"/>
  <c r="S97" i="16"/>
  <c r="Q120" i="15"/>
  <c r="Q111" i="15"/>
  <c r="Q104" i="15"/>
  <c r="Q100" i="15"/>
  <c r="Q96" i="15"/>
  <c r="Q92" i="15"/>
  <c r="Q88" i="15"/>
  <c r="Q84" i="15"/>
  <c r="Q80" i="15"/>
  <c r="Q76" i="15"/>
  <c r="Q68" i="15"/>
  <c r="Q62" i="15"/>
  <c r="Q58" i="15"/>
  <c r="Q50" i="15"/>
  <c r="Q119" i="15"/>
  <c r="Q110" i="15"/>
  <c r="Q103" i="15"/>
  <c r="Q99" i="15"/>
  <c r="Q95" i="15"/>
  <c r="Q91" i="15"/>
  <c r="Q87" i="15"/>
  <c r="Q83" i="15"/>
  <c r="Q79" i="15"/>
  <c r="Q75" i="15"/>
  <c r="Q67" i="15"/>
  <c r="Q61" i="15"/>
  <c r="Q57" i="15"/>
  <c r="Q49" i="15"/>
  <c r="Q118" i="15"/>
  <c r="Q106" i="15"/>
  <c r="Q102" i="15"/>
  <c r="Q98" i="15"/>
  <c r="Q94" i="15"/>
  <c r="Q90" i="15"/>
  <c r="Q86" i="15"/>
  <c r="Q82" i="15"/>
  <c r="Q78" i="15"/>
  <c r="Q74" i="15"/>
  <c r="Q64" i="15"/>
  <c r="Q60" i="15"/>
  <c r="Q52" i="15"/>
  <c r="Q48" i="15"/>
  <c r="Q112" i="15"/>
  <c r="Q105" i="15"/>
  <c r="Q101" i="15"/>
  <c r="Q97" i="15"/>
  <c r="Q93" i="15"/>
  <c r="Q89" i="15"/>
  <c r="Q85" i="15"/>
  <c r="Q81" i="15"/>
  <c r="Q77" i="15"/>
  <c r="Q73" i="15"/>
  <c r="Q63" i="15"/>
  <c r="Q59" i="15"/>
  <c r="Q51" i="15"/>
  <c r="Q54" i="15"/>
  <c r="Q65" i="15"/>
  <c r="Q117" i="15"/>
  <c r="Q116" i="15"/>
  <c r="Q115" i="15"/>
  <c r="Q114" i="15"/>
  <c r="Q66" i="15"/>
  <c r="Q69" i="15"/>
  <c r="Q56" i="15"/>
  <c r="Q55" i="15"/>
  <c r="Q70" i="15"/>
  <c r="Q109" i="15"/>
  <c r="Q72" i="15"/>
  <c r="Q71" i="15"/>
  <c r="Q53" i="15"/>
  <c r="Q113" i="15"/>
  <c r="Q108" i="15"/>
  <c r="Q107" i="15"/>
  <c r="S23" i="16"/>
  <c r="S22" i="16"/>
  <c r="S189" i="16"/>
  <c r="S221" i="16"/>
  <c r="S218" i="16"/>
  <c r="T32" i="16"/>
  <c r="S361" i="16"/>
  <c r="S59" i="16"/>
  <c r="S61" i="16"/>
  <c r="S55" i="16"/>
  <c r="S60" i="16"/>
  <c r="S20" i="16"/>
  <c r="S191" i="16"/>
  <c r="S219" i="16"/>
  <c r="S17" i="16"/>
  <c r="S21" i="16"/>
  <c r="S302" i="16"/>
  <c r="S301" i="16"/>
  <c r="S299" i="16"/>
  <c r="S303" i="16"/>
  <c r="S300" i="16"/>
  <c r="R47" i="15"/>
  <c r="S47" i="15" s="1"/>
  <c r="Q25" i="15"/>
  <c r="Q30" i="15"/>
  <c r="Q22" i="15"/>
  <c r="Q26" i="15"/>
  <c r="Q27" i="15"/>
  <c r="Q24" i="15"/>
  <c r="Q29" i="15"/>
  <c r="Q23" i="15"/>
  <c r="Q28" i="15"/>
  <c r="O321" i="16"/>
  <c r="B26" i="17"/>
  <c r="T54" i="16"/>
  <c r="S269" i="16"/>
  <c r="S333" i="16"/>
  <c r="S334" i="16"/>
  <c r="S335" i="16"/>
  <c r="S298" i="16"/>
  <c r="S245" i="16"/>
  <c r="S246" i="16" s="1"/>
  <c r="S248" i="16" s="1"/>
  <c r="T217" i="16"/>
  <c r="A6" i="13"/>
  <c r="Q19" i="15"/>
  <c r="Q17" i="15"/>
  <c r="Q20" i="15"/>
  <c r="Q16" i="15"/>
  <c r="Q21" i="15"/>
  <c r="Q12" i="15"/>
  <c r="Q13" i="15"/>
  <c r="Q15" i="15"/>
  <c r="Q18" i="15"/>
  <c r="Q14" i="15"/>
  <c r="R8" i="15"/>
  <c r="R33" i="15" s="1"/>
  <c r="F5" i="13"/>
  <c r="O129" i="16"/>
  <c r="L78" i="16"/>
  <c r="L45" i="16"/>
  <c r="O363" i="16"/>
  <c r="O314" i="16"/>
  <c r="O37" i="16"/>
  <c r="O40" i="16"/>
  <c r="O233" i="16"/>
  <c r="O234" i="16"/>
  <c r="O38" i="16"/>
  <c r="O24" i="16"/>
  <c r="O36" i="16"/>
  <c r="O62" i="16"/>
  <c r="O76" i="16"/>
  <c r="O206" i="16"/>
  <c r="L208" i="16"/>
  <c r="L235" i="16"/>
  <c r="O232" i="16"/>
  <c r="L322" i="16"/>
  <c r="O305" i="16"/>
  <c r="O375" i="16"/>
  <c r="O372" i="16"/>
  <c r="O373" i="16"/>
  <c r="O282" i="16"/>
  <c r="O283" i="16"/>
  <c r="O281" i="16"/>
  <c r="O284" i="16"/>
  <c r="O222" i="16"/>
  <c r="O205" i="16"/>
  <c r="O194" i="16"/>
  <c r="O204" i="16"/>
  <c r="O207" i="16"/>
  <c r="O138" i="16"/>
  <c r="O139" i="16"/>
  <c r="O142" i="16"/>
  <c r="O143" i="16"/>
  <c r="O146" i="16"/>
  <c r="O147" i="16"/>
  <c r="O150" i="16"/>
  <c r="O151" i="16"/>
  <c r="O154" i="16"/>
  <c r="O155" i="16"/>
  <c r="O158" i="16"/>
  <c r="O159" i="16"/>
  <c r="O162" i="16"/>
  <c r="O163" i="16"/>
  <c r="O166" i="16"/>
  <c r="O167" i="16"/>
  <c r="O170" i="16"/>
  <c r="O174" i="16"/>
  <c r="O177" i="16"/>
  <c r="O140" i="16"/>
  <c r="O141" i="16"/>
  <c r="O144" i="16"/>
  <c r="O145" i="16"/>
  <c r="O148" i="16"/>
  <c r="O149" i="16"/>
  <c r="O152" i="16"/>
  <c r="O153" i="16"/>
  <c r="O156" i="16"/>
  <c r="O157" i="16"/>
  <c r="O160" i="16"/>
  <c r="O161" i="16"/>
  <c r="O164" i="16"/>
  <c r="O165" i="16"/>
  <c r="O168" i="16"/>
  <c r="O169" i="16"/>
  <c r="O175" i="16"/>
  <c r="O176" i="16"/>
  <c r="O178" i="16"/>
  <c r="O72" i="16"/>
  <c r="O71" i="16"/>
  <c r="O73" i="16"/>
  <c r="O34" i="16"/>
  <c r="O44" i="16"/>
  <c r="O35" i="16"/>
  <c r="O41" i="16"/>
  <c r="O42" i="16"/>
  <c r="T244" i="16"/>
  <c r="T270" i="16" s="1"/>
  <c r="N39" i="15"/>
  <c r="O39" i="15"/>
  <c r="A6" i="14"/>
  <c r="A7" i="14" s="1"/>
  <c r="A8" i="14" s="1"/>
  <c r="N121" i="15"/>
  <c r="Q10" i="15"/>
  <c r="Q32" i="15"/>
  <c r="Q34" i="15"/>
  <c r="Q36" i="15"/>
  <c r="Q37" i="15"/>
  <c r="O121" i="15"/>
  <c r="Q9" i="15"/>
  <c r="Q11" i="15"/>
  <c r="Q31" i="15"/>
  <c r="Q33" i="15"/>
  <c r="Q35" i="15"/>
  <c r="Q38" i="15"/>
  <c r="M121" i="15"/>
  <c r="O33" i="16"/>
  <c r="O39" i="16"/>
  <c r="T11" i="16"/>
  <c r="S58" i="16"/>
  <c r="T87" i="16"/>
  <c r="O74" i="16"/>
  <c r="L179" i="16"/>
  <c r="S360" i="16"/>
  <c r="S362" i="16"/>
  <c r="T188" i="16"/>
  <c r="O203" i="16"/>
  <c r="S193" i="16"/>
  <c r="L349" i="16"/>
  <c r="O345" i="16"/>
  <c r="O255" i="16"/>
  <c r="O256" i="16" s="1"/>
  <c r="L256" i="16"/>
  <c r="O231" i="16"/>
  <c r="S304" i="16"/>
  <c r="L336" i="16"/>
  <c r="L246" i="16"/>
  <c r="S268" i="16"/>
  <c r="L376" i="16"/>
  <c r="O245" i="16"/>
  <c r="O246" i="16" s="1"/>
  <c r="S297" i="16"/>
  <c r="S266" i="16"/>
  <c r="S267" i="16"/>
  <c r="C6" i="13" l="1"/>
  <c r="S129" i="16"/>
  <c r="T23" i="16"/>
  <c r="T22" i="16"/>
  <c r="O287" i="16"/>
  <c r="S272" i="16"/>
  <c r="T97" i="16"/>
  <c r="T92" i="16"/>
  <c r="T93" i="16"/>
  <c r="T96" i="16"/>
  <c r="T94" i="16"/>
  <c r="T88" i="16"/>
  <c r="T98" i="16"/>
  <c r="T99" i="16"/>
  <c r="T101" i="16"/>
  <c r="T103" i="16"/>
  <c r="T105" i="16"/>
  <c r="T106" i="16"/>
  <c r="T104" i="16"/>
  <c r="T107" i="16"/>
  <c r="T112" i="16"/>
  <c r="T119" i="16"/>
  <c r="T120" i="16"/>
  <c r="T121" i="16"/>
  <c r="T126" i="16"/>
  <c r="T95" i="16"/>
  <c r="T102" i="16"/>
  <c r="T108" i="16"/>
  <c r="T111" i="16"/>
  <c r="T114" i="16"/>
  <c r="T115" i="16"/>
  <c r="T122" i="16"/>
  <c r="T127" i="16"/>
  <c r="T89" i="16"/>
  <c r="T123" i="16"/>
  <c r="T109" i="16"/>
  <c r="T128" i="16"/>
  <c r="T117" i="16"/>
  <c r="T124" i="16"/>
  <c r="T90" i="16"/>
  <c r="T100" i="16"/>
  <c r="T110" i="16"/>
  <c r="T113" i="16"/>
  <c r="T116" i="16"/>
  <c r="T118" i="16"/>
  <c r="T125" i="16"/>
  <c r="T91" i="16"/>
  <c r="T129" i="16" s="1"/>
  <c r="R120" i="15"/>
  <c r="R119" i="15"/>
  <c r="R104" i="15"/>
  <c r="R103" i="15"/>
  <c r="R102" i="15"/>
  <c r="R101" i="15"/>
  <c r="R100" i="15"/>
  <c r="R99" i="15"/>
  <c r="R98" i="15"/>
  <c r="R97" i="15"/>
  <c r="R89" i="15"/>
  <c r="R118" i="15"/>
  <c r="R112" i="15"/>
  <c r="R110" i="15"/>
  <c r="R106" i="15"/>
  <c r="R91" i="15"/>
  <c r="R87" i="15"/>
  <c r="R83" i="15"/>
  <c r="R82" i="15"/>
  <c r="R78" i="15"/>
  <c r="R74" i="15"/>
  <c r="R73" i="15"/>
  <c r="R60" i="15"/>
  <c r="R96" i="15"/>
  <c r="R92" i="15"/>
  <c r="R90" i="15"/>
  <c r="R76" i="15"/>
  <c r="R75" i="15"/>
  <c r="R63" i="15"/>
  <c r="R50" i="15"/>
  <c r="R49" i="15"/>
  <c r="R111" i="15"/>
  <c r="R105" i="15"/>
  <c r="R94" i="15"/>
  <c r="R86" i="15"/>
  <c r="R80" i="15"/>
  <c r="R79" i="15"/>
  <c r="R68" i="15"/>
  <c r="R61" i="15"/>
  <c r="R57" i="15"/>
  <c r="R114" i="15"/>
  <c r="R95" i="15"/>
  <c r="R85" i="15"/>
  <c r="R84" i="15"/>
  <c r="R77" i="15"/>
  <c r="R88" i="15"/>
  <c r="R64" i="15"/>
  <c r="R59" i="15"/>
  <c r="R48" i="15"/>
  <c r="R52" i="15"/>
  <c r="R93" i="15"/>
  <c r="R81" i="15"/>
  <c r="R67" i="15"/>
  <c r="R58" i="15"/>
  <c r="R62" i="15"/>
  <c r="R51" i="15"/>
  <c r="R107" i="15"/>
  <c r="R115" i="15"/>
  <c r="R54" i="15"/>
  <c r="R53" i="15"/>
  <c r="R113" i="15"/>
  <c r="R56" i="15"/>
  <c r="R116" i="15"/>
  <c r="R70" i="15"/>
  <c r="R69" i="15"/>
  <c r="R72" i="15"/>
  <c r="R65" i="15"/>
  <c r="R109" i="15"/>
  <c r="R117" i="15"/>
  <c r="R108" i="15"/>
  <c r="R55" i="15"/>
  <c r="R71" i="15"/>
  <c r="R66" i="15"/>
  <c r="S114" i="15"/>
  <c r="S112" i="15"/>
  <c r="S111" i="15"/>
  <c r="S110" i="15"/>
  <c r="S119" i="15"/>
  <c r="S105" i="15"/>
  <c r="S90" i="15"/>
  <c r="S120" i="15"/>
  <c r="S96" i="15"/>
  <c r="S95" i="15"/>
  <c r="S94" i="15"/>
  <c r="S93" i="15"/>
  <c r="S92" i="15"/>
  <c r="S88" i="15"/>
  <c r="S84" i="15"/>
  <c r="S79" i="15"/>
  <c r="S75" i="15"/>
  <c r="S64" i="15"/>
  <c r="S63" i="15"/>
  <c r="S62" i="15"/>
  <c r="S61" i="15"/>
  <c r="S106" i="15"/>
  <c r="S104" i="15"/>
  <c r="S102" i="15"/>
  <c r="S100" i="15"/>
  <c r="S98" i="15"/>
  <c r="S82" i="15"/>
  <c r="S81" i="15"/>
  <c r="S74" i="15"/>
  <c r="S52" i="15"/>
  <c r="S51" i="15"/>
  <c r="S103" i="15"/>
  <c r="S101" i="15"/>
  <c r="S99" i="15"/>
  <c r="S97" i="15"/>
  <c r="S91" i="15"/>
  <c r="S89" i="15"/>
  <c r="S85" i="15"/>
  <c r="S78" i="15"/>
  <c r="S77" i="15"/>
  <c r="S67" i="15"/>
  <c r="S60" i="15"/>
  <c r="S59" i="15"/>
  <c r="S58" i="15"/>
  <c r="S48" i="15"/>
  <c r="S83" i="15"/>
  <c r="S76" i="15"/>
  <c r="S80" i="15"/>
  <c r="S50" i="15"/>
  <c r="S57" i="15"/>
  <c r="S73" i="15"/>
  <c r="S86" i="15"/>
  <c r="S68" i="15"/>
  <c r="S49" i="15"/>
  <c r="S87" i="15"/>
  <c r="S65" i="15"/>
  <c r="S109" i="15"/>
  <c r="S113" i="15"/>
  <c r="S56" i="15"/>
  <c r="S72" i="15"/>
  <c r="S108" i="15"/>
  <c r="S71" i="15"/>
  <c r="S107" i="15"/>
  <c r="S118" i="15"/>
  <c r="S69" i="15"/>
  <c r="S54" i="15"/>
  <c r="S66" i="15"/>
  <c r="S70" i="15"/>
  <c r="S53" i="15"/>
  <c r="S55" i="15"/>
  <c r="S117" i="15"/>
  <c r="S116" i="15"/>
  <c r="S115" i="15"/>
  <c r="T332" i="16"/>
  <c r="T220" i="16"/>
  <c r="T57" i="16"/>
  <c r="T55" i="16"/>
  <c r="T19" i="16"/>
  <c r="T18" i="16"/>
  <c r="T15" i="16"/>
  <c r="T14" i="16"/>
  <c r="T256" i="16"/>
  <c r="T190" i="16"/>
  <c r="T192" i="16"/>
  <c r="T221" i="16"/>
  <c r="T218" i="16"/>
  <c r="T191" i="16"/>
  <c r="T21" i="16"/>
  <c r="T219" i="16"/>
  <c r="T56" i="16"/>
  <c r="T60" i="16"/>
  <c r="S274" i="16"/>
  <c r="S256" i="16"/>
  <c r="U32" i="16"/>
  <c r="T359" i="16"/>
  <c r="T361" i="16"/>
  <c r="S14" i="16"/>
  <c r="S45" i="16"/>
  <c r="S349" i="16"/>
  <c r="S13" i="16"/>
  <c r="S376" i="16"/>
  <c r="S78" i="16"/>
  <c r="S322" i="16"/>
  <c r="S57" i="16"/>
  <c r="S19" i="16"/>
  <c r="S208" i="16"/>
  <c r="S190" i="16"/>
  <c r="S15" i="16"/>
  <c r="S332" i="16"/>
  <c r="S336" i="16" s="1"/>
  <c r="S338" i="16" s="1"/>
  <c r="S359" i="16"/>
  <c r="S363" i="16" s="1"/>
  <c r="S365" i="16" s="1"/>
  <c r="S18" i="16"/>
  <c r="S12" i="16"/>
  <c r="S235" i="16"/>
  <c r="S192" i="16"/>
  <c r="U244" i="16"/>
  <c r="T303" i="16"/>
  <c r="T302" i="16"/>
  <c r="T301" i="16"/>
  <c r="T300" i="16"/>
  <c r="T299" i="16"/>
  <c r="S179" i="16"/>
  <c r="S56" i="16"/>
  <c r="S16" i="16"/>
  <c r="S220" i="16"/>
  <c r="S222" i="16" s="1"/>
  <c r="S224" i="16" s="1"/>
  <c r="R11" i="15"/>
  <c r="R30" i="15"/>
  <c r="R28" i="15"/>
  <c r="R27" i="15"/>
  <c r="R25" i="15"/>
  <c r="R23" i="15"/>
  <c r="R22" i="15"/>
  <c r="R29" i="15"/>
  <c r="R26" i="15"/>
  <c r="R24" i="15"/>
  <c r="R34" i="15"/>
  <c r="B27" i="17"/>
  <c r="M37" i="17"/>
  <c r="L37" i="17"/>
  <c r="O37" i="17"/>
  <c r="I37" i="17"/>
  <c r="H37" i="17"/>
  <c r="K37" i="17"/>
  <c r="G37" i="17"/>
  <c r="J37" i="17"/>
  <c r="E37" i="17"/>
  <c r="P37" i="17"/>
  <c r="F37" i="17"/>
  <c r="N37" i="17"/>
  <c r="R10" i="15"/>
  <c r="R32" i="15"/>
  <c r="R35" i="15"/>
  <c r="R9" i="15"/>
  <c r="R37" i="15"/>
  <c r="R31" i="15"/>
  <c r="R36" i="15"/>
  <c r="R38" i="15"/>
  <c r="T58" i="16"/>
  <c r="U54" i="16"/>
  <c r="T13" i="16"/>
  <c r="T12" i="16"/>
  <c r="T17" i="16"/>
  <c r="T245" i="16"/>
  <c r="T246" i="16" s="1"/>
  <c r="T248" i="16" s="1"/>
  <c r="U217" i="16"/>
  <c r="A7" i="13"/>
  <c r="F6" i="13"/>
  <c r="S8" i="15"/>
  <c r="R12" i="15"/>
  <c r="R14" i="15"/>
  <c r="R19" i="15"/>
  <c r="R15" i="15"/>
  <c r="R17" i="15"/>
  <c r="R20" i="15"/>
  <c r="R18" i="15"/>
  <c r="R16" i="15"/>
  <c r="R21" i="15"/>
  <c r="R13" i="15"/>
  <c r="T333" i="16"/>
  <c r="T298" i="16"/>
  <c r="T334" i="16"/>
  <c r="T335" i="16"/>
  <c r="T268" i="16"/>
  <c r="T267" i="16"/>
  <c r="O349" i="16"/>
  <c r="O322" i="16"/>
  <c r="O78" i="16"/>
  <c r="O208" i="16"/>
  <c r="O376" i="16"/>
  <c r="O235" i="16"/>
  <c r="O179" i="16"/>
  <c r="O45" i="16"/>
  <c r="T269" i="16"/>
  <c r="T297" i="16"/>
  <c r="T304" i="16"/>
  <c r="S305" i="16"/>
  <c r="S307" i="16" s="1"/>
  <c r="T266" i="16"/>
  <c r="U87" i="16"/>
  <c r="T47" i="15"/>
  <c r="T362" i="16"/>
  <c r="T360" i="16"/>
  <c r="T193" i="16"/>
  <c r="U188" i="16"/>
  <c r="U11" i="16"/>
  <c r="T20" i="16"/>
  <c r="Q39" i="15"/>
  <c r="Q41" i="15" s="1"/>
  <c r="A9" i="14"/>
  <c r="U22" i="16" l="1"/>
  <c r="U23" i="16"/>
  <c r="U333" i="16"/>
  <c r="U270" i="16"/>
  <c r="U95" i="16"/>
  <c r="U88" i="16"/>
  <c r="U91" i="16"/>
  <c r="U97" i="16"/>
  <c r="U92" i="16"/>
  <c r="U93" i="16"/>
  <c r="U106" i="16"/>
  <c r="U89" i="16"/>
  <c r="U104" i="16"/>
  <c r="U102" i="16"/>
  <c r="U108" i="16"/>
  <c r="U111" i="16"/>
  <c r="U114" i="16"/>
  <c r="U115" i="16"/>
  <c r="U122" i="16"/>
  <c r="U127" i="16"/>
  <c r="U98" i="16"/>
  <c r="U101" i="16"/>
  <c r="U103" i="16"/>
  <c r="U105" i="16"/>
  <c r="U109" i="16"/>
  <c r="U123" i="16"/>
  <c r="U128" i="16"/>
  <c r="U90" i="16"/>
  <c r="U124" i="16"/>
  <c r="U125" i="16"/>
  <c r="U96" i="16"/>
  <c r="U100" i="16"/>
  <c r="U110" i="16"/>
  <c r="U113" i="16"/>
  <c r="U116" i="16"/>
  <c r="U117" i="16"/>
  <c r="U118" i="16"/>
  <c r="U99" i="16"/>
  <c r="U119" i="16"/>
  <c r="U121" i="16"/>
  <c r="U107" i="16"/>
  <c r="U112" i="16"/>
  <c r="U126" i="16"/>
  <c r="U120" i="16"/>
  <c r="U94" i="16"/>
  <c r="T272" i="16"/>
  <c r="A8" i="13"/>
  <c r="C7" i="13"/>
  <c r="T120" i="15"/>
  <c r="T119" i="15"/>
  <c r="T118" i="15"/>
  <c r="T114" i="15"/>
  <c r="T111" i="15"/>
  <c r="T106" i="15"/>
  <c r="T91" i="15"/>
  <c r="T104" i="15"/>
  <c r="T103" i="15"/>
  <c r="T102" i="15"/>
  <c r="T101" i="15"/>
  <c r="T100" i="15"/>
  <c r="T99" i="15"/>
  <c r="T98" i="15"/>
  <c r="T97" i="15"/>
  <c r="T89" i="15"/>
  <c r="T85" i="15"/>
  <c r="T80" i="15"/>
  <c r="T76" i="15"/>
  <c r="T67" i="15"/>
  <c r="T93" i="15"/>
  <c r="T88" i="15"/>
  <c r="T87" i="15"/>
  <c r="T86" i="15"/>
  <c r="T73" i="15"/>
  <c r="T68" i="15"/>
  <c r="T62" i="15"/>
  <c r="T57" i="15"/>
  <c r="T112" i="15"/>
  <c r="T105" i="15"/>
  <c r="T110" i="15"/>
  <c r="T95" i="15"/>
  <c r="T84" i="15"/>
  <c r="T83" i="15"/>
  <c r="T64" i="15"/>
  <c r="T50" i="15"/>
  <c r="T49" i="15"/>
  <c r="T96" i="15"/>
  <c r="T92" i="15"/>
  <c r="T90" i="15"/>
  <c r="T82" i="15"/>
  <c r="T81" i="15"/>
  <c r="T75" i="15"/>
  <c r="T74" i="15"/>
  <c r="T51" i="15"/>
  <c r="T59" i="15"/>
  <c r="T48" i="15"/>
  <c r="T77" i="15"/>
  <c r="T63" i="15"/>
  <c r="T60" i="15"/>
  <c r="T94" i="15"/>
  <c r="T78" i="15"/>
  <c r="T58" i="15"/>
  <c r="T52" i="15"/>
  <c r="T79" i="15"/>
  <c r="T61" i="15"/>
  <c r="T54" i="15"/>
  <c r="T70" i="15"/>
  <c r="T66" i="15"/>
  <c r="T65" i="15"/>
  <c r="T109" i="15"/>
  <c r="T72" i="15"/>
  <c r="T71" i="15"/>
  <c r="T107" i="15"/>
  <c r="T53" i="15"/>
  <c r="T113" i="15"/>
  <c r="T117" i="15"/>
  <c r="T116" i="15"/>
  <c r="T69" i="15"/>
  <c r="T56" i="15"/>
  <c r="T108" i="15"/>
  <c r="T55" i="15"/>
  <c r="T115" i="15"/>
  <c r="U190" i="16"/>
  <c r="U192" i="16"/>
  <c r="U21" i="16"/>
  <c r="U19" i="16"/>
  <c r="U17" i="16"/>
  <c r="U13" i="16"/>
  <c r="U218" i="16"/>
  <c r="U61" i="16"/>
  <c r="U60" i="16"/>
  <c r="U59" i="16"/>
  <c r="U57" i="16"/>
  <c r="U16" i="16"/>
  <c r="U12" i="16"/>
  <c r="T235" i="16"/>
  <c r="T376" i="16"/>
  <c r="T45" i="16"/>
  <c r="T179" i="16"/>
  <c r="T208" i="16"/>
  <c r="T189" i="16"/>
  <c r="T194" i="16" s="1"/>
  <c r="U245" i="16"/>
  <c r="U246" i="16" s="1"/>
  <c r="U248" i="16" s="1"/>
  <c r="T16" i="16"/>
  <c r="T24" i="16" s="1"/>
  <c r="U335" i="16"/>
  <c r="T274" i="16"/>
  <c r="T322" i="16"/>
  <c r="U267" i="16"/>
  <c r="U334" i="16"/>
  <c r="T61" i="16"/>
  <c r="T59" i="16"/>
  <c r="V244" i="16"/>
  <c r="V270" i="16" s="1"/>
  <c r="U268" i="16"/>
  <c r="T78" i="16"/>
  <c r="U297" i="16"/>
  <c r="U269" i="16"/>
  <c r="V32" i="16"/>
  <c r="U361" i="16"/>
  <c r="U55" i="16"/>
  <c r="U191" i="16"/>
  <c r="U220" i="16"/>
  <c r="U189" i="16"/>
  <c r="U219" i="16"/>
  <c r="U221" i="16"/>
  <c r="U298" i="16"/>
  <c r="T349" i="16"/>
  <c r="S194" i="16"/>
  <c r="S196" i="16" s="1"/>
  <c r="S131" i="16"/>
  <c r="S62" i="16"/>
  <c r="S64" i="16" s="1"/>
  <c r="S24" i="16"/>
  <c r="S26" i="16" s="1"/>
  <c r="U304" i="16"/>
  <c r="U303" i="16"/>
  <c r="U302" i="16"/>
  <c r="U301" i="16"/>
  <c r="U300" i="16"/>
  <c r="U299" i="16"/>
  <c r="U266" i="16"/>
  <c r="S29" i="15"/>
  <c r="S26" i="15"/>
  <c r="S23" i="15"/>
  <c r="S30" i="15"/>
  <c r="S28" i="15"/>
  <c r="S27" i="15"/>
  <c r="S25" i="15"/>
  <c r="S24" i="15"/>
  <c r="S22" i="15"/>
  <c r="B28" i="17"/>
  <c r="F69" i="17"/>
  <c r="G69" i="17"/>
  <c r="O69" i="17"/>
  <c r="J69" i="17"/>
  <c r="I69" i="17"/>
  <c r="P69" i="17"/>
  <c r="K69" i="17"/>
  <c r="L69" i="17"/>
  <c r="N69" i="17"/>
  <c r="E69" i="17"/>
  <c r="H69" i="17"/>
  <c r="M69" i="17"/>
  <c r="R39" i="15"/>
  <c r="R41" i="15" s="1"/>
  <c r="V54" i="16"/>
  <c r="T222" i="16"/>
  <c r="T224" i="16" s="1"/>
  <c r="U58" i="16"/>
  <c r="V217" i="16"/>
  <c r="F7" i="13"/>
  <c r="S12" i="15"/>
  <c r="S18" i="15"/>
  <c r="S14" i="15"/>
  <c r="S17" i="15"/>
  <c r="S20" i="15"/>
  <c r="S13" i="15"/>
  <c r="S16" i="15"/>
  <c r="S19" i="15"/>
  <c r="S15" i="15"/>
  <c r="S21" i="15"/>
  <c r="S34" i="15"/>
  <c r="S38" i="15"/>
  <c r="S11" i="15"/>
  <c r="S36" i="15"/>
  <c r="S10" i="15"/>
  <c r="S32" i="15"/>
  <c r="S35" i="15"/>
  <c r="S9" i="15"/>
  <c r="S37" i="15"/>
  <c r="S33" i="15"/>
  <c r="T8" i="15"/>
  <c r="S31" i="15"/>
  <c r="F8" i="13"/>
  <c r="T336" i="16"/>
  <c r="T338" i="16" s="1"/>
  <c r="T305" i="16"/>
  <c r="T307" i="16" s="1"/>
  <c r="U20" i="16"/>
  <c r="V11" i="16"/>
  <c r="V87" i="16"/>
  <c r="A10" i="14"/>
  <c r="T363" i="16"/>
  <c r="T365" i="16" s="1"/>
  <c r="U47" i="15"/>
  <c r="U362" i="16"/>
  <c r="U359" i="16"/>
  <c r="U360" i="16"/>
  <c r="V188" i="16"/>
  <c r="U193" i="16"/>
  <c r="V23" i="16" l="1"/>
  <c r="V22" i="16"/>
  <c r="U272" i="16"/>
  <c r="A9" i="13"/>
  <c r="C8" i="13"/>
  <c r="U129" i="16"/>
  <c r="V91" i="16"/>
  <c r="V89" i="16"/>
  <c r="V90" i="16"/>
  <c r="V94" i="16"/>
  <c r="V104" i="16"/>
  <c r="V97" i="16"/>
  <c r="V93" i="16"/>
  <c r="V92" i="16"/>
  <c r="V88" i="16"/>
  <c r="V100" i="16"/>
  <c r="V102" i="16"/>
  <c r="V95" i="16"/>
  <c r="V98" i="16"/>
  <c r="V101" i="16"/>
  <c r="V103" i="16"/>
  <c r="V105" i="16"/>
  <c r="V109" i="16"/>
  <c r="V123" i="16"/>
  <c r="V128" i="16"/>
  <c r="V106" i="16"/>
  <c r="V110" i="16"/>
  <c r="V113" i="16"/>
  <c r="V116" i="16"/>
  <c r="V117" i="16"/>
  <c r="V118" i="16"/>
  <c r="V124" i="16"/>
  <c r="V125" i="16"/>
  <c r="V107" i="16"/>
  <c r="V112" i="16"/>
  <c r="V126" i="16"/>
  <c r="V96" i="16"/>
  <c r="V99" i="16"/>
  <c r="V119" i="16"/>
  <c r="V120" i="16"/>
  <c r="V121" i="16"/>
  <c r="V111" i="16"/>
  <c r="V114" i="16"/>
  <c r="V115" i="16"/>
  <c r="V122" i="16"/>
  <c r="V108" i="16"/>
  <c r="V127" i="16"/>
  <c r="U112" i="15"/>
  <c r="U111" i="15"/>
  <c r="U114" i="15"/>
  <c r="U110" i="15"/>
  <c r="U96" i="15"/>
  <c r="U95" i="15"/>
  <c r="U94" i="15"/>
  <c r="U93" i="15"/>
  <c r="U92" i="15"/>
  <c r="U105" i="15"/>
  <c r="U90" i="15"/>
  <c r="U86" i="15"/>
  <c r="U81" i="15"/>
  <c r="U77" i="15"/>
  <c r="U68" i="15"/>
  <c r="U59" i="15"/>
  <c r="U119" i="15"/>
  <c r="U80" i="15"/>
  <c r="U79" i="15"/>
  <c r="U78" i="15"/>
  <c r="U61" i="15"/>
  <c r="U60" i="15"/>
  <c r="U58" i="15"/>
  <c r="U48" i="15"/>
  <c r="U120" i="15"/>
  <c r="U103" i="15"/>
  <c r="U82" i="15"/>
  <c r="U76" i="15"/>
  <c r="U75" i="15"/>
  <c r="U74" i="15"/>
  <c r="U63" i="15"/>
  <c r="U51" i="15"/>
  <c r="U118" i="15"/>
  <c r="U106" i="15"/>
  <c r="U104" i="15"/>
  <c r="U102" i="15"/>
  <c r="U100" i="15"/>
  <c r="U98" i="15"/>
  <c r="U88" i="15"/>
  <c r="U87" i="15"/>
  <c r="U73" i="15"/>
  <c r="U84" i="15"/>
  <c r="U57" i="15"/>
  <c r="U50" i="15"/>
  <c r="U91" i="15"/>
  <c r="U89" i="15"/>
  <c r="U85" i="15"/>
  <c r="U62" i="15"/>
  <c r="U49" i="15"/>
  <c r="U67" i="15"/>
  <c r="U101" i="15"/>
  <c r="U99" i="15"/>
  <c r="U97" i="15"/>
  <c r="U83" i="15"/>
  <c r="U64" i="15"/>
  <c r="U66" i="15"/>
  <c r="U53" i="15"/>
  <c r="U52" i="15"/>
  <c r="U71" i="15"/>
  <c r="U69" i="15"/>
  <c r="U109" i="15"/>
  <c r="U117" i="15"/>
  <c r="U108" i="15"/>
  <c r="U54" i="15"/>
  <c r="U115" i="15"/>
  <c r="U70" i="15"/>
  <c r="U113" i="15"/>
  <c r="U56" i="15"/>
  <c r="U116" i="15"/>
  <c r="U65" i="15"/>
  <c r="U72" i="15"/>
  <c r="U55" i="15"/>
  <c r="U107" i="15"/>
  <c r="V303" i="16"/>
  <c r="V15" i="16"/>
  <c r="V191" i="16"/>
  <c r="V57" i="16"/>
  <c r="V18" i="16"/>
  <c r="V14" i="16"/>
  <c r="V12" i="16"/>
  <c r="V256" i="16"/>
  <c r="T62" i="16"/>
  <c r="T64" i="16" s="1"/>
  <c r="W244" i="16"/>
  <c r="W270" i="16" s="1"/>
  <c r="V298" i="16"/>
  <c r="V266" i="16"/>
  <c r="V272" i="16" s="1"/>
  <c r="V333" i="16"/>
  <c r="V299" i="16"/>
  <c r="V245" i="16"/>
  <c r="V246" i="16" s="1"/>
  <c r="V248" i="16" s="1"/>
  <c r="V267" i="16"/>
  <c r="V334" i="16"/>
  <c r="V301" i="16"/>
  <c r="V268" i="16"/>
  <c r="V304" i="16"/>
  <c r="V302" i="16"/>
  <c r="V297" i="16"/>
  <c r="V269" i="16"/>
  <c r="V335" i="16"/>
  <c r="V300" i="16"/>
  <c r="U235" i="16"/>
  <c r="U376" i="16"/>
  <c r="W32" i="16"/>
  <c r="V359" i="16"/>
  <c r="V61" i="16"/>
  <c r="V19" i="16"/>
  <c r="V55" i="16"/>
  <c r="V190" i="16"/>
  <c r="V60" i="16"/>
  <c r="V56" i="16"/>
  <c r="V218" i="16"/>
  <c r="V219" i="16"/>
  <c r="V13" i="16"/>
  <c r="V17" i="16"/>
  <c r="V21" i="16"/>
  <c r="V16" i="16"/>
  <c r="V221" i="16"/>
  <c r="V192" i="16"/>
  <c r="V220" i="16"/>
  <c r="U14" i="16"/>
  <c r="U15" i="16"/>
  <c r="U56" i="16"/>
  <c r="U62" i="16" s="1"/>
  <c r="U274" i="16"/>
  <c r="U208" i="16"/>
  <c r="U45" i="16"/>
  <c r="U322" i="16"/>
  <c r="V361" i="16"/>
  <c r="U18" i="16"/>
  <c r="U179" i="16"/>
  <c r="U78" i="16"/>
  <c r="U256" i="16"/>
  <c r="U349" i="16"/>
  <c r="U332" i="16"/>
  <c r="U336" i="16" s="1"/>
  <c r="U338" i="16" s="1"/>
  <c r="T196" i="16"/>
  <c r="U305" i="16"/>
  <c r="U307" i="16" s="1"/>
  <c r="W303" i="16"/>
  <c r="W300" i="16"/>
  <c r="S121" i="15"/>
  <c r="R121" i="15"/>
  <c r="T29" i="15"/>
  <c r="T27" i="15"/>
  <c r="T25" i="15"/>
  <c r="T23" i="15"/>
  <c r="T30" i="15"/>
  <c r="T28" i="15"/>
  <c r="T26" i="15"/>
  <c r="T24" i="15"/>
  <c r="T22" i="15"/>
  <c r="V59" i="16"/>
  <c r="B29" i="17"/>
  <c r="T26" i="16"/>
  <c r="V58" i="16"/>
  <c r="W54" i="16"/>
  <c r="W217" i="16"/>
  <c r="U222" i="16"/>
  <c r="U224" i="16" s="1"/>
  <c r="T12" i="15"/>
  <c r="T18" i="15"/>
  <c r="T20" i="15"/>
  <c r="T13" i="15"/>
  <c r="T16" i="15"/>
  <c r="T19" i="15"/>
  <c r="T15" i="15"/>
  <c r="T14" i="15"/>
  <c r="T21" i="15"/>
  <c r="T17" i="15"/>
  <c r="T35" i="15"/>
  <c r="T37" i="15"/>
  <c r="T9" i="15"/>
  <c r="T34" i="15"/>
  <c r="T33" i="15"/>
  <c r="T38" i="15"/>
  <c r="U8" i="15"/>
  <c r="T32" i="15"/>
  <c r="T11" i="15"/>
  <c r="T36" i="15"/>
  <c r="T10" i="15"/>
  <c r="T31" i="15"/>
  <c r="S39" i="15"/>
  <c r="S41" i="15" s="1"/>
  <c r="T131" i="16"/>
  <c r="U194" i="16"/>
  <c r="V47" i="15"/>
  <c r="W87" i="16"/>
  <c r="W269" i="16"/>
  <c r="X244" i="16"/>
  <c r="X270" i="16" s="1"/>
  <c r="W304" i="16"/>
  <c r="U363" i="16"/>
  <c r="U365" i="16" s="1"/>
  <c r="A11" i="14"/>
  <c r="V360" i="16"/>
  <c r="V362" i="16"/>
  <c r="V193" i="16"/>
  <c r="W188" i="16"/>
  <c r="V20" i="16"/>
  <c r="W11" i="16"/>
  <c r="F9" i="13" l="1"/>
  <c r="C9" i="13"/>
  <c r="A10" i="13"/>
  <c r="V129" i="16"/>
  <c r="W23" i="16"/>
  <c r="W22" i="16"/>
  <c r="W89" i="16"/>
  <c r="W94" i="16"/>
  <c r="W88" i="16"/>
  <c r="W92" i="16"/>
  <c r="W93" i="16"/>
  <c r="W95" i="16"/>
  <c r="W96" i="16"/>
  <c r="W90" i="16"/>
  <c r="W100" i="16"/>
  <c r="W102" i="16"/>
  <c r="W97" i="16"/>
  <c r="W98" i="16"/>
  <c r="W99" i="16"/>
  <c r="W103" i="16"/>
  <c r="W105" i="16"/>
  <c r="W106" i="16"/>
  <c r="W110" i="16"/>
  <c r="W113" i="16"/>
  <c r="W116" i="16"/>
  <c r="W117" i="16"/>
  <c r="W118" i="16"/>
  <c r="W124" i="16"/>
  <c r="W91" i="16"/>
  <c r="W107" i="16"/>
  <c r="W112" i="16"/>
  <c r="W119" i="16"/>
  <c r="W120" i="16"/>
  <c r="W121" i="16"/>
  <c r="W108" i="16"/>
  <c r="W115" i="16"/>
  <c r="W111" i="16"/>
  <c r="W114" i="16"/>
  <c r="W122" i="16"/>
  <c r="W104" i="16"/>
  <c r="W123" i="16"/>
  <c r="W109" i="16"/>
  <c r="W126" i="16"/>
  <c r="W127" i="16"/>
  <c r="W128" i="16"/>
  <c r="W101" i="16"/>
  <c r="W125" i="16"/>
  <c r="V120" i="15"/>
  <c r="V119" i="15"/>
  <c r="V118" i="15"/>
  <c r="V112" i="15"/>
  <c r="V104" i="15"/>
  <c r="V103" i="15"/>
  <c r="V102" i="15"/>
  <c r="V101" i="15"/>
  <c r="V100" i="15"/>
  <c r="V99" i="15"/>
  <c r="V98" i="15"/>
  <c r="V97" i="15"/>
  <c r="V89" i="15"/>
  <c r="V106" i="15"/>
  <c r="V91" i="15"/>
  <c r="V87" i="15"/>
  <c r="V83" i="15"/>
  <c r="V82" i="15"/>
  <c r="V78" i="15"/>
  <c r="V74" i="15"/>
  <c r="V73" i="15"/>
  <c r="V60" i="15"/>
  <c r="V111" i="15"/>
  <c r="V105" i="15"/>
  <c r="V94" i="15"/>
  <c r="V85" i="15"/>
  <c r="V84" i="15"/>
  <c r="V77" i="15"/>
  <c r="V64" i="15"/>
  <c r="V50" i="15"/>
  <c r="V49" i="15"/>
  <c r="V110" i="15"/>
  <c r="V114" i="15"/>
  <c r="V96" i="15"/>
  <c r="V92" i="15"/>
  <c r="V90" i="15"/>
  <c r="V88" i="15"/>
  <c r="V81" i="15"/>
  <c r="V62" i="15"/>
  <c r="V57" i="15"/>
  <c r="V52" i="15"/>
  <c r="V93" i="15"/>
  <c r="V86" i="15"/>
  <c r="V80" i="15"/>
  <c r="V79" i="15"/>
  <c r="V68" i="15"/>
  <c r="V76" i="15"/>
  <c r="V63" i="15"/>
  <c r="V51" i="15"/>
  <c r="V58" i="15"/>
  <c r="V75" i="15"/>
  <c r="V61" i="15"/>
  <c r="V95" i="15"/>
  <c r="V54" i="15"/>
  <c r="V66" i="15"/>
  <c r="V70" i="15"/>
  <c r="V53" i="15"/>
  <c r="V65" i="15"/>
  <c r="V69" i="15"/>
  <c r="V109" i="15"/>
  <c r="V113" i="15"/>
  <c r="V117" i="15"/>
  <c r="V56" i="15"/>
  <c r="V72" i="15"/>
  <c r="V108" i="15"/>
  <c r="V116" i="15"/>
  <c r="V55" i="15"/>
  <c r="V67" i="15"/>
  <c r="V107" i="15"/>
  <c r="V59" i="15"/>
  <c r="V115" i="15"/>
  <c r="V71" i="15"/>
  <c r="V48" i="15"/>
  <c r="W245" i="16"/>
  <c r="W246" i="16" s="1"/>
  <c r="W248" i="16" s="1"/>
  <c r="W266" i="16"/>
  <c r="W299" i="16"/>
  <c r="W297" i="16"/>
  <c r="W301" i="16"/>
  <c r="W218" i="16"/>
  <c r="W190" i="16"/>
  <c r="W59" i="16"/>
  <c r="W55" i="16"/>
  <c r="W16" i="16"/>
  <c r="W14" i="16"/>
  <c r="W21" i="16"/>
  <c r="W19" i="16"/>
  <c r="W17" i="16"/>
  <c r="W15" i="16"/>
  <c r="W13" i="16"/>
  <c r="W268" i="16"/>
  <c r="W267" i="16"/>
  <c r="W298" i="16"/>
  <c r="W302" i="16"/>
  <c r="V305" i="16"/>
  <c r="V307" i="16" s="1"/>
  <c r="V208" i="16"/>
  <c r="V189" i="16"/>
  <c r="V194" i="16" s="1"/>
  <c r="U131" i="16"/>
  <c r="U24" i="16"/>
  <c r="U26" i="16" s="1"/>
  <c r="V322" i="16"/>
  <c r="V235" i="16"/>
  <c r="V274" i="16"/>
  <c r="V179" i="16"/>
  <c r="V78" i="16"/>
  <c r="V349" i="16"/>
  <c r="V332" i="16"/>
  <c r="V336" i="16" s="1"/>
  <c r="V338" i="16" s="1"/>
  <c r="V376" i="16"/>
  <c r="U196" i="16"/>
  <c r="V45" i="16"/>
  <c r="X32" i="16"/>
  <c r="W335" i="16"/>
  <c r="W333" i="16"/>
  <c r="W361" i="16"/>
  <c r="W359" i="16"/>
  <c r="W61" i="16"/>
  <c r="W219" i="16"/>
  <c r="W57" i="16"/>
  <c r="W12" i="16"/>
  <c r="W221" i="16"/>
  <c r="W191" i="16"/>
  <c r="W220" i="16"/>
  <c r="W189" i="16"/>
  <c r="U64" i="16"/>
  <c r="X303" i="16"/>
  <c r="X302" i="16"/>
  <c r="X301" i="16"/>
  <c r="X300" i="16"/>
  <c r="X299" i="16"/>
  <c r="T121" i="15"/>
  <c r="U30" i="15"/>
  <c r="U29" i="15"/>
  <c r="U28" i="15"/>
  <c r="U27" i="15"/>
  <c r="U26" i="15"/>
  <c r="U25" i="15"/>
  <c r="U24" i="15"/>
  <c r="U23" i="15"/>
  <c r="U22" i="15"/>
  <c r="B30" i="17"/>
  <c r="W56" i="16"/>
  <c r="X54" i="16"/>
  <c r="V62" i="16"/>
  <c r="W58" i="16"/>
  <c r="W60" i="16"/>
  <c r="X217" i="16"/>
  <c r="V222" i="16"/>
  <c r="V224" i="16" s="1"/>
  <c r="U14" i="15"/>
  <c r="U19" i="15"/>
  <c r="U17" i="15"/>
  <c r="U13" i="15"/>
  <c r="U18" i="15"/>
  <c r="U20" i="15"/>
  <c r="U12" i="15"/>
  <c r="U16" i="15"/>
  <c r="U21" i="15"/>
  <c r="U15" i="15"/>
  <c r="U35" i="15"/>
  <c r="U9" i="15"/>
  <c r="U34" i="15"/>
  <c r="U33" i="15"/>
  <c r="V8" i="15"/>
  <c r="U32" i="15"/>
  <c r="U36" i="15"/>
  <c r="U31" i="15"/>
  <c r="U37" i="15"/>
  <c r="U38" i="15"/>
  <c r="U11" i="15"/>
  <c r="U10" i="15"/>
  <c r="T39" i="15"/>
  <c r="T41" i="15" s="1"/>
  <c r="X298" i="16"/>
  <c r="W360" i="16"/>
  <c r="W362" i="16"/>
  <c r="W193" i="16"/>
  <c r="X188" i="16"/>
  <c r="W192" i="16"/>
  <c r="X297" i="16"/>
  <c r="X268" i="16"/>
  <c r="X245" i="16"/>
  <c r="X246" i="16" s="1"/>
  <c r="X304" i="16"/>
  <c r="X269" i="16"/>
  <c r="X267" i="16"/>
  <c r="X266" i="16"/>
  <c r="X272" i="16" s="1"/>
  <c r="Y244" i="16"/>
  <c r="Y270" i="16" s="1"/>
  <c r="W20" i="16"/>
  <c r="W18" i="16"/>
  <c r="X11" i="16"/>
  <c r="V363" i="16"/>
  <c r="V365" i="16" s="1"/>
  <c r="X87" i="16"/>
  <c r="A12" i="14"/>
  <c r="V24" i="16"/>
  <c r="W47" i="15"/>
  <c r="X23" i="16" l="1"/>
  <c r="X22" i="16"/>
  <c r="X96" i="16"/>
  <c r="X94" i="16"/>
  <c r="X90" i="16"/>
  <c r="X93" i="16"/>
  <c r="X92" i="16"/>
  <c r="X97" i="16"/>
  <c r="X99" i="16"/>
  <c r="X103" i="16"/>
  <c r="X105" i="16"/>
  <c r="X91" i="16"/>
  <c r="X101" i="16"/>
  <c r="X106" i="16"/>
  <c r="X107" i="16"/>
  <c r="X112" i="16"/>
  <c r="X119" i="16"/>
  <c r="X120" i="16"/>
  <c r="X125" i="16"/>
  <c r="X100" i="16"/>
  <c r="X108" i="16"/>
  <c r="X111" i="16"/>
  <c r="X115" i="16"/>
  <c r="X126" i="16"/>
  <c r="X109" i="16"/>
  <c r="X127" i="16"/>
  <c r="X88" i="16"/>
  <c r="X104" i="16"/>
  <c r="X117" i="16"/>
  <c r="X124" i="16"/>
  <c r="X89" i="16"/>
  <c r="X102" i="16"/>
  <c r="X110" i="16"/>
  <c r="X113" i="16"/>
  <c r="X116" i="16"/>
  <c r="X118" i="16"/>
  <c r="X128" i="16"/>
  <c r="X123" i="16"/>
  <c r="X121" i="16"/>
  <c r="X122" i="16"/>
  <c r="X98" i="16"/>
  <c r="X95" i="16"/>
  <c r="X114" i="16"/>
  <c r="F10" i="13"/>
  <c r="C10" i="13"/>
  <c r="A11" i="13"/>
  <c r="W272" i="16"/>
  <c r="W129" i="16"/>
  <c r="W114" i="15"/>
  <c r="W112" i="15"/>
  <c r="W111" i="15"/>
  <c r="W110" i="15"/>
  <c r="W120" i="15"/>
  <c r="W118" i="15"/>
  <c r="W105" i="15"/>
  <c r="W90" i="15"/>
  <c r="W119" i="15"/>
  <c r="W96" i="15"/>
  <c r="W95" i="15"/>
  <c r="W94" i="15"/>
  <c r="W93" i="15"/>
  <c r="W92" i="15"/>
  <c r="W88" i="15"/>
  <c r="W84" i="15"/>
  <c r="W79" i="15"/>
  <c r="W75" i="15"/>
  <c r="W64" i="15"/>
  <c r="W63" i="15"/>
  <c r="W62" i="15"/>
  <c r="W61" i="15"/>
  <c r="W103" i="15"/>
  <c r="W101" i="15"/>
  <c r="W99" i="15"/>
  <c r="W97" i="15"/>
  <c r="W91" i="15"/>
  <c r="W89" i="15"/>
  <c r="W83" i="15"/>
  <c r="W76" i="15"/>
  <c r="W67" i="15"/>
  <c r="W59" i="15"/>
  <c r="W51" i="15"/>
  <c r="W106" i="15"/>
  <c r="W104" i="15"/>
  <c r="W102" i="15"/>
  <c r="W100" i="15"/>
  <c r="W98" i="15"/>
  <c r="W87" i="15"/>
  <c r="W86" i="15"/>
  <c r="W80" i="15"/>
  <c r="W73" i="15"/>
  <c r="W68" i="15"/>
  <c r="W58" i="15"/>
  <c r="W85" i="15"/>
  <c r="W78" i="15"/>
  <c r="W77" i="15"/>
  <c r="W81" i="15"/>
  <c r="W74" i="15"/>
  <c r="W49" i="15"/>
  <c r="W52" i="15"/>
  <c r="W82" i="15"/>
  <c r="W60" i="15"/>
  <c r="W50" i="15"/>
  <c r="W48" i="15"/>
  <c r="W57" i="15"/>
  <c r="W65" i="15"/>
  <c r="W117" i="15"/>
  <c r="W107" i="15"/>
  <c r="W53" i="15"/>
  <c r="W113" i="15"/>
  <c r="W116" i="15"/>
  <c r="W55" i="15"/>
  <c r="W56" i="15"/>
  <c r="W54" i="15"/>
  <c r="W72" i="15"/>
  <c r="W108" i="15"/>
  <c r="W115" i="15"/>
  <c r="W66" i="15"/>
  <c r="W70" i="15"/>
  <c r="W69" i="15"/>
  <c r="W109" i="15"/>
  <c r="W71" i="15"/>
  <c r="W305" i="16"/>
  <c r="X60" i="16"/>
  <c r="X56" i="16"/>
  <c r="X55" i="16"/>
  <c r="X21" i="16"/>
  <c r="X17" i="16"/>
  <c r="X16" i="16"/>
  <c r="X13" i="16"/>
  <c r="X219" i="16"/>
  <c r="V196" i="16"/>
  <c r="W376" i="16"/>
  <c r="Y32" i="16"/>
  <c r="X361" i="16"/>
  <c r="X334" i="16"/>
  <c r="X335" i="16"/>
  <c r="X333" i="16"/>
  <c r="X256" i="16"/>
  <c r="X59" i="16"/>
  <c r="X19" i="16"/>
  <c r="X12" i="16"/>
  <c r="X20" i="16"/>
  <c r="X57" i="16"/>
  <c r="X192" i="16"/>
  <c r="X220" i="16"/>
  <c r="X189" i="16"/>
  <c r="X218" i="16"/>
  <c r="X18" i="16"/>
  <c r="W179" i="16"/>
  <c r="W235" i="16"/>
  <c r="W78" i="16"/>
  <c r="W256" i="16"/>
  <c r="W208" i="16"/>
  <c r="W274" i="16"/>
  <c r="W45" i="16"/>
  <c r="W322" i="16"/>
  <c r="W349" i="16"/>
  <c r="W332" i="16"/>
  <c r="W334" i="16"/>
  <c r="X248" i="16"/>
  <c r="V64" i="16"/>
  <c r="V26" i="16"/>
  <c r="Y303" i="16"/>
  <c r="Y302" i="16"/>
  <c r="Y301" i="16"/>
  <c r="Y300" i="16"/>
  <c r="Y299" i="16"/>
  <c r="U121" i="15"/>
  <c r="V30" i="15"/>
  <c r="V29" i="15"/>
  <c r="V27" i="15"/>
  <c r="V24" i="15"/>
  <c r="V22" i="15"/>
  <c r="V28" i="15"/>
  <c r="V26" i="15"/>
  <c r="V25" i="15"/>
  <c r="V23" i="15"/>
  <c r="X61" i="16"/>
  <c r="X58" i="16"/>
  <c r="W62" i="16"/>
  <c r="Y217" i="16"/>
  <c r="Y54" i="16"/>
  <c r="U39" i="15"/>
  <c r="U41" i="15" s="1"/>
  <c r="W307" i="16"/>
  <c r="W222" i="16"/>
  <c r="W224" i="16" s="1"/>
  <c r="V12" i="15"/>
  <c r="V16" i="15"/>
  <c r="V21" i="15"/>
  <c r="V13" i="15"/>
  <c r="V14" i="15"/>
  <c r="V19" i="15"/>
  <c r="V20" i="15"/>
  <c r="V18" i="15"/>
  <c r="V17" i="15"/>
  <c r="V15" i="15"/>
  <c r="V31" i="15"/>
  <c r="V36" i="15"/>
  <c r="V38" i="15"/>
  <c r="V11" i="15"/>
  <c r="V34" i="15"/>
  <c r="V32" i="15"/>
  <c r="V37" i="15"/>
  <c r="W8" i="15"/>
  <c r="V35" i="15"/>
  <c r="V9" i="15"/>
  <c r="V10" i="15"/>
  <c r="V33" i="15"/>
  <c r="Y298" i="16"/>
  <c r="V131" i="16"/>
  <c r="X305" i="16"/>
  <c r="X47" i="15"/>
  <c r="Y87" i="16"/>
  <c r="Y268" i="16"/>
  <c r="Y245" i="16"/>
  <c r="Y246" i="16" s="1"/>
  <c r="Y304" i="16"/>
  <c r="Y269" i="16"/>
  <c r="Y267" i="16"/>
  <c r="Y266" i="16"/>
  <c r="Y272" i="16" s="1"/>
  <c r="Z244" i="16"/>
  <c r="Z270" i="16" s="1"/>
  <c r="Y297" i="16"/>
  <c r="W24" i="16"/>
  <c r="X362" i="16"/>
  <c r="X359" i="16"/>
  <c r="X360" i="16"/>
  <c r="X193" i="16"/>
  <c r="X191" i="16"/>
  <c r="Y188" i="16"/>
  <c r="X190" i="16"/>
  <c r="W363" i="16"/>
  <c r="W365" i="16" s="1"/>
  <c r="A13" i="14"/>
  <c r="W194" i="16"/>
  <c r="Y11" i="16"/>
  <c r="X15" i="16"/>
  <c r="X14" i="16"/>
  <c r="X129" i="16" l="1"/>
  <c r="F11" i="13"/>
  <c r="C11" i="13"/>
  <c r="A12" i="13"/>
  <c r="Y23" i="16"/>
  <c r="Y22" i="16"/>
  <c r="Y88" i="16"/>
  <c r="Y98" i="16"/>
  <c r="Y97" i="16"/>
  <c r="Y95" i="16"/>
  <c r="Y91" i="16"/>
  <c r="Y89" i="16"/>
  <c r="Y106" i="16"/>
  <c r="Y101" i="16"/>
  <c r="Y94" i="16"/>
  <c r="Y90" i="16"/>
  <c r="Y104" i="16"/>
  <c r="Y93" i="16"/>
  <c r="Y92" i="16"/>
  <c r="Y100" i="16"/>
  <c r="Y108" i="16"/>
  <c r="Y111" i="16"/>
  <c r="Y115" i="16"/>
  <c r="Y121" i="16"/>
  <c r="Y126" i="16"/>
  <c r="Y109" i="16"/>
  <c r="Y114" i="16"/>
  <c r="Y122" i="16"/>
  <c r="Y127" i="16"/>
  <c r="Y102" i="16"/>
  <c r="Y110" i="16"/>
  <c r="Y113" i="16"/>
  <c r="Y116" i="16"/>
  <c r="Y117" i="16"/>
  <c r="Y118" i="16"/>
  <c r="Y128" i="16"/>
  <c r="Y123" i="16"/>
  <c r="Y124" i="16"/>
  <c r="Y96" i="16"/>
  <c r="Y125" i="16"/>
  <c r="Y119" i="16"/>
  <c r="Y99" i="16"/>
  <c r="Y103" i="16"/>
  <c r="Y107" i="16"/>
  <c r="Y112" i="16"/>
  <c r="Y105" i="16"/>
  <c r="Y120" i="16"/>
  <c r="W196" i="16"/>
  <c r="X120" i="15"/>
  <c r="X119" i="15"/>
  <c r="X118" i="15"/>
  <c r="X106" i="15"/>
  <c r="X91" i="15"/>
  <c r="X114" i="15"/>
  <c r="X111" i="15"/>
  <c r="X110" i="15"/>
  <c r="X104" i="15"/>
  <c r="X103" i="15"/>
  <c r="X102" i="15"/>
  <c r="X101" i="15"/>
  <c r="X100" i="15"/>
  <c r="X99" i="15"/>
  <c r="X98" i="15"/>
  <c r="X97" i="15"/>
  <c r="X89" i="15"/>
  <c r="X85" i="15"/>
  <c r="X80" i="15"/>
  <c r="X76" i="15"/>
  <c r="X112" i="15"/>
  <c r="X95" i="15"/>
  <c r="X82" i="15"/>
  <c r="X81" i="15"/>
  <c r="X75" i="15"/>
  <c r="X74" i="15"/>
  <c r="X63" i="15"/>
  <c r="X57" i="15"/>
  <c r="X52" i="15"/>
  <c r="X93" i="15"/>
  <c r="X79" i="15"/>
  <c r="X78" i="15"/>
  <c r="X77" i="15"/>
  <c r="X61" i="15"/>
  <c r="X60" i="15"/>
  <c r="X50" i="15"/>
  <c r="X49" i="15"/>
  <c r="X48" i="15"/>
  <c r="X105" i="15"/>
  <c r="X94" i="15"/>
  <c r="X84" i="15"/>
  <c r="X83" i="15"/>
  <c r="X62" i="15"/>
  <c r="X58" i="15"/>
  <c r="X96" i="15"/>
  <c r="X86" i="15"/>
  <c r="X68" i="15"/>
  <c r="X67" i="15"/>
  <c r="X87" i="15"/>
  <c r="X73" i="15"/>
  <c r="X64" i="15"/>
  <c r="X59" i="15"/>
  <c r="X92" i="15"/>
  <c r="X90" i="15"/>
  <c r="X88" i="15"/>
  <c r="X51" i="15"/>
  <c r="X54" i="15"/>
  <c r="X70" i="15"/>
  <c r="X66" i="15"/>
  <c r="X53" i="15"/>
  <c r="X69" i="15"/>
  <c r="X55" i="15"/>
  <c r="X117" i="15"/>
  <c r="X56" i="15"/>
  <c r="X116" i="15"/>
  <c r="X115" i="15"/>
  <c r="X72" i="15"/>
  <c r="X108" i="15"/>
  <c r="X109" i="15"/>
  <c r="X65" i="15"/>
  <c r="X113" i="15"/>
  <c r="X71" i="15"/>
  <c r="X107" i="15"/>
  <c r="Y18" i="16"/>
  <c r="Y12" i="16"/>
  <c r="Y61" i="16"/>
  <c r="Y335" i="16"/>
  <c r="Y21" i="16"/>
  <c r="Y17" i="16"/>
  <c r="Y15" i="16"/>
  <c r="Y192" i="16"/>
  <c r="Y189" i="16"/>
  <c r="X274" i="16"/>
  <c r="W64" i="16"/>
  <c r="Y248" i="16"/>
  <c r="X208" i="16"/>
  <c r="X179" i="16"/>
  <c r="X45" i="16"/>
  <c r="X349" i="16"/>
  <c r="X332" i="16"/>
  <c r="X336" i="16" s="1"/>
  <c r="X221" i="16"/>
  <c r="X235" i="16"/>
  <c r="X376" i="16"/>
  <c r="Z32" i="16"/>
  <c r="Y333" i="16"/>
  <c r="Y361" i="16"/>
  <c r="Y334" i="16"/>
  <c r="Y220" i="16"/>
  <c r="Y14" i="16"/>
  <c r="Y221" i="16"/>
  <c r="X24" i="16"/>
  <c r="Y219" i="16"/>
  <c r="W336" i="16"/>
  <c r="W338" i="16" s="1"/>
  <c r="X78" i="16"/>
  <c r="X322" i="16"/>
  <c r="W26" i="16"/>
  <c r="Z303" i="16"/>
  <c r="Z302" i="16"/>
  <c r="Z300" i="16"/>
  <c r="Z301" i="16"/>
  <c r="Z299" i="16"/>
  <c r="V121" i="15"/>
  <c r="W30" i="15"/>
  <c r="W29" i="15"/>
  <c r="W28" i="15"/>
  <c r="W27" i="15"/>
  <c r="W26" i="15"/>
  <c r="W25" i="15"/>
  <c r="W24" i="15"/>
  <c r="W23" i="15"/>
  <c r="W22" i="15"/>
  <c r="Y59" i="16"/>
  <c r="Z217" i="16"/>
  <c r="AA217" i="16" s="1"/>
  <c r="Y55" i="16"/>
  <c r="Z54" i="16"/>
  <c r="Y58" i="16"/>
  <c r="Y56" i="16"/>
  <c r="X62" i="16"/>
  <c r="Y60" i="16"/>
  <c r="Y57" i="16"/>
  <c r="Y218" i="16"/>
  <c r="X222" i="16"/>
  <c r="X224" i="16" s="1"/>
  <c r="X307" i="16"/>
  <c r="V39" i="15"/>
  <c r="V41" i="15" s="1"/>
  <c r="W12" i="15"/>
  <c r="W14" i="15"/>
  <c r="W20" i="15"/>
  <c r="W17" i="15"/>
  <c r="W18" i="15"/>
  <c r="W16" i="15"/>
  <c r="W13" i="15"/>
  <c r="W21" i="15"/>
  <c r="W15" i="15"/>
  <c r="W19" i="15"/>
  <c r="W36" i="15"/>
  <c r="W10" i="15"/>
  <c r="W31" i="15"/>
  <c r="W34" i="15"/>
  <c r="W38" i="15"/>
  <c r="W11" i="15"/>
  <c r="W37" i="15"/>
  <c r="W33" i="15"/>
  <c r="X8" i="15"/>
  <c r="W32" i="15"/>
  <c r="W35" i="15"/>
  <c r="W9" i="15"/>
  <c r="Z298" i="16"/>
  <c r="W131" i="16"/>
  <c r="X363" i="16"/>
  <c r="X365" i="16" s="1"/>
  <c r="Y19" i="16"/>
  <c r="Y13" i="16"/>
  <c r="Y20" i="16"/>
  <c r="Y16" i="16"/>
  <c r="Z11" i="16"/>
  <c r="Y362" i="16"/>
  <c r="Y359" i="16"/>
  <c r="Y360" i="16"/>
  <c r="Z188" i="16"/>
  <c r="Y190" i="16"/>
  <c r="Y193" i="16"/>
  <c r="Y191" i="16"/>
  <c r="Y305" i="16"/>
  <c r="Z87" i="16"/>
  <c r="A14" i="14"/>
  <c r="X194" i="16"/>
  <c r="X196" i="16" s="1"/>
  <c r="Z304" i="16"/>
  <c r="Z269" i="16"/>
  <c r="Z267" i="16"/>
  <c r="Z266" i="16"/>
  <c r="AA244" i="16"/>
  <c r="AA270" i="16" s="1"/>
  <c r="Z297" i="16"/>
  <c r="Z268" i="16"/>
  <c r="Z245" i="16"/>
  <c r="Z246" i="16" s="1"/>
  <c r="Y47" i="15"/>
  <c r="Z23" i="16" l="1"/>
  <c r="Z22" i="16"/>
  <c r="Y129" i="16"/>
  <c r="Z103" i="16"/>
  <c r="Z93" i="16"/>
  <c r="Z92" i="16"/>
  <c r="Z101" i="16"/>
  <c r="Z99" i="16"/>
  <c r="Z96" i="16"/>
  <c r="Z94" i="16"/>
  <c r="Z90" i="16"/>
  <c r="Z95" i="16"/>
  <c r="Z89" i="16"/>
  <c r="Z104" i="16"/>
  <c r="Z100" i="16"/>
  <c r="Z102" i="16"/>
  <c r="Z98" i="16"/>
  <c r="Z91" i="16"/>
  <c r="Z109" i="16"/>
  <c r="Z114" i="16"/>
  <c r="Z122" i="16"/>
  <c r="Z127" i="16"/>
  <c r="Z110" i="16"/>
  <c r="Z113" i="16"/>
  <c r="Z116" i="16"/>
  <c r="Z117" i="16"/>
  <c r="Z118" i="16"/>
  <c r="Z123" i="16"/>
  <c r="Z124" i="16"/>
  <c r="Z128" i="16"/>
  <c r="Z105" i="16"/>
  <c r="Z119" i="16"/>
  <c r="Z120" i="16"/>
  <c r="Z107" i="16"/>
  <c r="Z112" i="16"/>
  <c r="Z125" i="16"/>
  <c r="Z88" i="16"/>
  <c r="Z108" i="16"/>
  <c r="Z97" i="16"/>
  <c r="Z111" i="16"/>
  <c r="Z121" i="16"/>
  <c r="Z106" i="16"/>
  <c r="Z115" i="16"/>
  <c r="Z126" i="16"/>
  <c r="F12" i="13"/>
  <c r="C12" i="13"/>
  <c r="A13" i="13"/>
  <c r="Z272" i="16"/>
  <c r="Y112" i="15"/>
  <c r="Y111" i="15"/>
  <c r="Y114" i="15"/>
  <c r="Y96" i="15"/>
  <c r="Y95" i="15"/>
  <c r="Y94" i="15"/>
  <c r="Y93" i="15"/>
  <c r="Y92" i="15"/>
  <c r="Y88" i="15"/>
  <c r="Y105" i="15"/>
  <c r="Y90" i="15"/>
  <c r="Y86" i="15"/>
  <c r="Y81" i="15"/>
  <c r="Y77" i="15"/>
  <c r="Y68" i="15"/>
  <c r="Y67" i="15"/>
  <c r="Y120" i="15"/>
  <c r="Y110" i="15"/>
  <c r="Y87" i="15"/>
  <c r="Y73" i="15"/>
  <c r="Y62" i="15"/>
  <c r="Y58" i="15"/>
  <c r="Y106" i="15"/>
  <c r="Y104" i="15"/>
  <c r="Y102" i="15"/>
  <c r="Y118" i="15"/>
  <c r="Y85" i="15"/>
  <c r="Y84" i="15"/>
  <c r="Y83" i="15"/>
  <c r="Y64" i="15"/>
  <c r="Y59" i="15"/>
  <c r="Y51" i="15"/>
  <c r="Y119" i="15"/>
  <c r="Y103" i="15"/>
  <c r="Y101" i="15"/>
  <c r="Y99" i="15"/>
  <c r="Y97" i="15"/>
  <c r="Y91" i="15"/>
  <c r="Y89" i="15"/>
  <c r="Y82" i="15"/>
  <c r="Y76" i="15"/>
  <c r="Y75" i="15"/>
  <c r="Y74" i="15"/>
  <c r="Y52" i="15"/>
  <c r="Y100" i="15"/>
  <c r="Y98" i="15"/>
  <c r="Y78" i="15"/>
  <c r="Y61" i="15"/>
  <c r="Y60" i="15"/>
  <c r="Y50" i="15"/>
  <c r="Y48" i="15"/>
  <c r="Y63" i="15"/>
  <c r="Y49" i="15"/>
  <c r="Y79" i="15"/>
  <c r="Y57" i="15"/>
  <c r="Y80" i="15"/>
  <c r="Y66" i="15"/>
  <c r="Y53" i="15"/>
  <c r="Y54" i="15"/>
  <c r="Y70" i="15"/>
  <c r="Y65" i="15"/>
  <c r="Y56" i="15"/>
  <c r="Y72" i="15"/>
  <c r="Y55" i="15"/>
  <c r="Y115" i="15"/>
  <c r="Y113" i="15"/>
  <c r="Y116" i="15"/>
  <c r="Y69" i="15"/>
  <c r="Y71" i="15"/>
  <c r="Y109" i="15"/>
  <c r="Y117" i="15"/>
  <c r="Y108" i="15"/>
  <c r="Y107" i="15"/>
  <c r="X338" i="16"/>
  <c r="Z248" i="16"/>
  <c r="Z20" i="16"/>
  <c r="Z18" i="16"/>
  <c r="Z16" i="16"/>
  <c r="Z14" i="16"/>
  <c r="Z12" i="16"/>
  <c r="X64" i="16"/>
  <c r="Y376" i="16"/>
  <c r="X26" i="16"/>
  <c r="Y78" i="16"/>
  <c r="Y349" i="16"/>
  <c r="Y332" i="16"/>
  <c r="Y336" i="16" s="1"/>
  <c r="Y338" i="16" s="1"/>
  <c r="Y208" i="16"/>
  <c r="Y274" i="16"/>
  <c r="Y256" i="16"/>
  <c r="Y179" i="16"/>
  <c r="AA32" i="16"/>
  <c r="Z361" i="16"/>
  <c r="Z334" i="16"/>
  <c r="Z359" i="16"/>
  <c r="Z256" i="16"/>
  <c r="Z333" i="16"/>
  <c r="Z335" i="16"/>
  <c r="Z60" i="16"/>
  <c r="Z17" i="16"/>
  <c r="Z57" i="16"/>
  <c r="Z220" i="16"/>
  <c r="Z192" i="16"/>
  <c r="Z221" i="16"/>
  <c r="Z58" i="16"/>
  <c r="Y45" i="16"/>
  <c r="Y235" i="16"/>
  <c r="Y322" i="16"/>
  <c r="AA303" i="16"/>
  <c r="AA300" i="16"/>
  <c r="AA302" i="16"/>
  <c r="AA301" i="16"/>
  <c r="AA299" i="16"/>
  <c r="W121" i="15"/>
  <c r="X30" i="15"/>
  <c r="X29" i="15"/>
  <c r="X28" i="15"/>
  <c r="X27" i="15"/>
  <c r="X26" i="15"/>
  <c r="X25" i="15"/>
  <c r="X24" i="15"/>
  <c r="X23" i="15"/>
  <c r="X22" i="15"/>
  <c r="Z218" i="16"/>
  <c r="Z219" i="16"/>
  <c r="Z61" i="16"/>
  <c r="Z59" i="16"/>
  <c r="Z56" i="16"/>
  <c r="Y222" i="16"/>
  <c r="Y224" i="16" s="1"/>
  <c r="Y62" i="16"/>
  <c r="Y307" i="16"/>
  <c r="AA54" i="16"/>
  <c r="Z55" i="16"/>
  <c r="X12" i="15"/>
  <c r="X14" i="15"/>
  <c r="X19" i="15"/>
  <c r="X15" i="15"/>
  <c r="X16" i="15"/>
  <c r="X21" i="15"/>
  <c r="X13" i="15"/>
  <c r="X20" i="15"/>
  <c r="X17" i="15"/>
  <c r="X18" i="15"/>
  <c r="X31" i="15"/>
  <c r="X34" i="15"/>
  <c r="X35" i="15"/>
  <c r="Y8" i="15"/>
  <c r="X32" i="15"/>
  <c r="X11" i="15"/>
  <c r="X38" i="15"/>
  <c r="X36" i="15"/>
  <c r="X10" i="15"/>
  <c r="X33" i="15"/>
  <c r="X37" i="15"/>
  <c r="X9" i="15"/>
  <c r="W39" i="15"/>
  <c r="W41" i="15" s="1"/>
  <c r="AA298" i="16"/>
  <c r="X131" i="16"/>
  <c r="Y363" i="16"/>
  <c r="Y365" i="16" s="1"/>
  <c r="Z47" i="15"/>
  <c r="AA269" i="16"/>
  <c r="AA267" i="16"/>
  <c r="AA266" i="16"/>
  <c r="AB244" i="16"/>
  <c r="AB270" i="16" s="1"/>
  <c r="AA297" i="16"/>
  <c r="AA268" i="16"/>
  <c r="AA245" i="16"/>
  <c r="AA246" i="16" s="1"/>
  <c r="AA248" i="16" s="1"/>
  <c r="AA304" i="16"/>
  <c r="Z360" i="16"/>
  <c r="Z362" i="16"/>
  <c r="Z190" i="16"/>
  <c r="Z193" i="16"/>
  <c r="Z191" i="16"/>
  <c r="Z189" i="16"/>
  <c r="AA188" i="16"/>
  <c r="AA87" i="16"/>
  <c r="AB217" i="16"/>
  <c r="AA11" i="16"/>
  <c r="Z21" i="16"/>
  <c r="Z19" i="16"/>
  <c r="Z15" i="16"/>
  <c r="Z13" i="16"/>
  <c r="Z305" i="16"/>
  <c r="A15" i="14"/>
  <c r="Y194" i="16"/>
  <c r="Y196" i="16" s="1"/>
  <c r="Y24" i="16"/>
  <c r="AA114" i="16" l="1"/>
  <c r="AA111" i="16"/>
  <c r="AA100" i="16"/>
  <c r="AA98" i="16"/>
  <c r="AA95" i="16"/>
  <c r="AA91" i="16"/>
  <c r="AA89" i="16"/>
  <c r="AA113" i="16"/>
  <c r="AA88" i="16"/>
  <c r="AA99" i="16"/>
  <c r="AA96" i="16"/>
  <c r="AA102" i="16"/>
  <c r="AA103" i="16"/>
  <c r="AA105" i="16"/>
  <c r="AA115" i="16"/>
  <c r="AA94" i="16"/>
  <c r="AA90" i="16"/>
  <c r="AA110" i="16"/>
  <c r="AA116" i="16"/>
  <c r="AA117" i="16"/>
  <c r="AA118" i="16"/>
  <c r="AA123" i="16"/>
  <c r="AA124" i="16"/>
  <c r="AA128" i="16"/>
  <c r="AA93" i="16"/>
  <c r="AA92" i="16"/>
  <c r="AA104" i="16"/>
  <c r="AA107" i="16"/>
  <c r="AA119" i="16"/>
  <c r="AA120" i="16"/>
  <c r="AA125" i="16"/>
  <c r="AA101" i="16"/>
  <c r="AA97" i="16"/>
  <c r="AA121" i="16"/>
  <c r="AA112" i="16"/>
  <c r="AA106" i="16"/>
  <c r="AA108" i="16"/>
  <c r="AA126" i="16"/>
  <c r="AA127" i="16"/>
  <c r="AA109" i="16"/>
  <c r="AA122" i="16"/>
  <c r="AA22" i="16"/>
  <c r="AA23" i="16"/>
  <c r="F13" i="13"/>
  <c r="C13" i="13"/>
  <c r="A14" i="13"/>
  <c r="AA272" i="16"/>
  <c r="Z129" i="16"/>
  <c r="Y64" i="16"/>
  <c r="Z120" i="15"/>
  <c r="Z119" i="15"/>
  <c r="Z118" i="15"/>
  <c r="Z110" i="15"/>
  <c r="Z104" i="15"/>
  <c r="Z103" i="15"/>
  <c r="Z102" i="15"/>
  <c r="Z101" i="15"/>
  <c r="Z100" i="15"/>
  <c r="Z99" i="15"/>
  <c r="Z98" i="15"/>
  <c r="Z97" i="15"/>
  <c r="Z89" i="15"/>
  <c r="Z112" i="15"/>
  <c r="Z106" i="15"/>
  <c r="Z91" i="15"/>
  <c r="Z87" i="15"/>
  <c r="Z82" i="15"/>
  <c r="Z78" i="15"/>
  <c r="Z74" i="15"/>
  <c r="Z73" i="15"/>
  <c r="Z60" i="15"/>
  <c r="Z59" i="15"/>
  <c r="Z96" i="15"/>
  <c r="Z92" i="15"/>
  <c r="Z90" i="15"/>
  <c r="Z88" i="15"/>
  <c r="Z80" i="15"/>
  <c r="Z79" i="15"/>
  <c r="Z68" i="15"/>
  <c r="Z61" i="15"/>
  <c r="Z50" i="15"/>
  <c r="Z49" i="15"/>
  <c r="Z48" i="15"/>
  <c r="Z114" i="15"/>
  <c r="Z105" i="15"/>
  <c r="Z94" i="15"/>
  <c r="Z76" i="15"/>
  <c r="Z75" i="15"/>
  <c r="Z67" i="15"/>
  <c r="Z63" i="15"/>
  <c r="Z57" i="15"/>
  <c r="Z52" i="15"/>
  <c r="Z111" i="15"/>
  <c r="Z95" i="15"/>
  <c r="Z81" i="15"/>
  <c r="Z93" i="15"/>
  <c r="Z77" i="15"/>
  <c r="Z64" i="15"/>
  <c r="Z51" i="15"/>
  <c r="Z62" i="15"/>
  <c r="Z58" i="15"/>
  <c r="Z85" i="15"/>
  <c r="Z84" i="15"/>
  <c r="Z70" i="15"/>
  <c r="Z69" i="15"/>
  <c r="Z72" i="15"/>
  <c r="Z71" i="15"/>
  <c r="Z86" i="15"/>
  <c r="Z65" i="15"/>
  <c r="Z109" i="15"/>
  <c r="Z117" i="15"/>
  <c r="Z108" i="15"/>
  <c r="Z55" i="15"/>
  <c r="Z107" i="15"/>
  <c r="Z66" i="15"/>
  <c r="Z115" i="15"/>
  <c r="Z54" i="15"/>
  <c r="Z53" i="15"/>
  <c r="Z113" i="15"/>
  <c r="Z56" i="15"/>
  <c r="Z116" i="15"/>
  <c r="Z83" i="15"/>
  <c r="Y26" i="16"/>
  <c r="AA335" i="16"/>
  <c r="AA333" i="16"/>
  <c r="AA57" i="16"/>
  <c r="AA15" i="16"/>
  <c r="AA20" i="16"/>
  <c r="AA18" i="16"/>
  <c r="AA16" i="16"/>
  <c r="AA14" i="16"/>
  <c r="AA12" i="16"/>
  <c r="AA334" i="16"/>
  <c r="Z208" i="16"/>
  <c r="Z45" i="16"/>
  <c r="Z376" i="16"/>
  <c r="Z274" i="16"/>
  <c r="AB32" i="16"/>
  <c r="AA256" i="16"/>
  <c r="AA361" i="16"/>
  <c r="AA59" i="16"/>
  <c r="AA17" i="16"/>
  <c r="AA220" i="16"/>
  <c r="AA219" i="16"/>
  <c r="AA21" i="16"/>
  <c r="AA221" i="16"/>
  <c r="AA58" i="16"/>
  <c r="Z235" i="16"/>
  <c r="Z179" i="16"/>
  <c r="Z78" i="16"/>
  <c r="Z322" i="16"/>
  <c r="Z349" i="16"/>
  <c r="Z332" i="16"/>
  <c r="Z336" i="16" s="1"/>
  <c r="Z338" i="16" s="1"/>
  <c r="AB303" i="16"/>
  <c r="AB302" i="16"/>
  <c r="AB301" i="16"/>
  <c r="AB300" i="16"/>
  <c r="AB299" i="16"/>
  <c r="X121" i="15"/>
  <c r="Y30" i="15"/>
  <c r="Y22" i="15"/>
  <c r="Y23" i="15"/>
  <c r="Y27" i="15"/>
  <c r="Y26" i="15"/>
  <c r="Y28" i="15"/>
  <c r="Y25" i="15"/>
  <c r="Y24" i="15"/>
  <c r="Y29" i="15"/>
  <c r="Z222" i="16"/>
  <c r="Z224" i="16" s="1"/>
  <c r="AA61" i="16"/>
  <c r="AA60" i="16"/>
  <c r="AA55" i="16"/>
  <c r="AA56" i="16"/>
  <c r="AB54" i="16"/>
  <c r="Z307" i="16"/>
  <c r="Z62" i="16"/>
  <c r="Z64" i="16" s="1"/>
  <c r="Y12" i="15"/>
  <c r="Y20" i="15"/>
  <c r="Y14" i="15"/>
  <c r="Y16" i="15"/>
  <c r="Y21" i="15"/>
  <c r="Y19" i="15"/>
  <c r="Y17" i="15"/>
  <c r="Y15" i="15"/>
  <c r="Y13" i="15"/>
  <c r="Y18" i="15"/>
  <c r="Y35" i="15"/>
  <c r="Y9" i="15"/>
  <c r="Y32" i="15"/>
  <c r="Y33" i="15"/>
  <c r="Y37" i="15"/>
  <c r="Y31" i="15"/>
  <c r="Y10" i="15"/>
  <c r="Y38" i="15"/>
  <c r="Y11" i="15"/>
  <c r="Y34" i="15"/>
  <c r="Y36" i="15"/>
  <c r="Z8" i="15"/>
  <c r="X39" i="15"/>
  <c r="X41" i="15" s="1"/>
  <c r="AB298" i="16"/>
  <c r="Y131" i="16"/>
  <c r="AA305" i="16"/>
  <c r="Z363" i="16"/>
  <c r="Z365" i="16" s="1"/>
  <c r="Z24" i="16"/>
  <c r="Z194" i="16"/>
  <c r="Z196" i="16" s="1"/>
  <c r="AC217" i="16"/>
  <c r="AB297" i="16"/>
  <c r="AB268" i="16"/>
  <c r="AB245" i="16"/>
  <c r="AB246" i="16" s="1"/>
  <c r="AB248" i="16" s="1"/>
  <c r="AB304" i="16"/>
  <c r="AB269" i="16"/>
  <c r="AB267" i="16"/>
  <c r="AB266" i="16"/>
  <c r="AC244" i="16"/>
  <c r="AC270" i="16" s="1"/>
  <c r="AB87" i="16"/>
  <c r="AA47" i="15"/>
  <c r="A16" i="14"/>
  <c r="AB11" i="16"/>
  <c r="AA19" i="16"/>
  <c r="AA13" i="16"/>
  <c r="AA360" i="16"/>
  <c r="AA362" i="16"/>
  <c r="AA359" i="16"/>
  <c r="AA193" i="16"/>
  <c r="AA191" i="16"/>
  <c r="AA189" i="16"/>
  <c r="AB188" i="16"/>
  <c r="AA192" i="16"/>
  <c r="AA190" i="16"/>
  <c r="AB94" i="16" l="1"/>
  <c r="AB90" i="16"/>
  <c r="AB88" i="16"/>
  <c r="AB89" i="16"/>
  <c r="AB100" i="16"/>
  <c r="AB101" i="16"/>
  <c r="AB105" i="16"/>
  <c r="AB95" i="16"/>
  <c r="AB96" i="16"/>
  <c r="AB106" i="16"/>
  <c r="AB104" i="16"/>
  <c r="AB107" i="16"/>
  <c r="AB113" i="16"/>
  <c r="AB119" i="16"/>
  <c r="AB120" i="16"/>
  <c r="AB125" i="16"/>
  <c r="AB98" i="16"/>
  <c r="AB91" i="16"/>
  <c r="AB93" i="16"/>
  <c r="AB99" i="16"/>
  <c r="AB102" i="16"/>
  <c r="AB108" i="16"/>
  <c r="AB112" i="16"/>
  <c r="AB121" i="16"/>
  <c r="AB126" i="16"/>
  <c r="AB97" i="16"/>
  <c r="AB111" i="16"/>
  <c r="AB122" i="16"/>
  <c r="AB103" i="16"/>
  <c r="AB109" i="16"/>
  <c r="AB115" i="16"/>
  <c r="AB127" i="16"/>
  <c r="AB110" i="16"/>
  <c r="AB116" i="16"/>
  <c r="AB118" i="16"/>
  <c r="AB114" i="16"/>
  <c r="AB123" i="16"/>
  <c r="AB92" i="16"/>
  <c r="AB117" i="16"/>
  <c r="AB128" i="16"/>
  <c r="AB124" i="16"/>
  <c r="AB23" i="16"/>
  <c r="AB22" i="16"/>
  <c r="AB272" i="16"/>
  <c r="F14" i="13"/>
  <c r="C14" i="13"/>
  <c r="A15" i="13"/>
  <c r="AA129" i="16"/>
  <c r="Z26" i="16"/>
  <c r="AA114" i="15"/>
  <c r="AA112" i="15"/>
  <c r="AA111" i="15"/>
  <c r="AA110" i="15"/>
  <c r="AA119" i="15"/>
  <c r="AA105" i="15"/>
  <c r="AA90" i="15"/>
  <c r="AA120" i="15"/>
  <c r="AA118" i="15"/>
  <c r="AA96" i="15"/>
  <c r="AA95" i="15"/>
  <c r="AA94" i="15"/>
  <c r="AA93" i="15"/>
  <c r="AA92" i="15"/>
  <c r="AA88" i="15"/>
  <c r="AA83" i="15"/>
  <c r="AA64" i="15"/>
  <c r="AA63" i="15"/>
  <c r="AA62" i="15"/>
  <c r="AA61" i="15"/>
  <c r="AA106" i="15"/>
  <c r="AA104" i="15"/>
  <c r="AA102" i="15"/>
  <c r="AA100" i="15"/>
  <c r="AA98" i="15"/>
  <c r="AA86" i="15"/>
  <c r="AA60" i="15"/>
  <c r="AA51" i="15"/>
  <c r="AA103" i="15"/>
  <c r="AA101" i="15"/>
  <c r="AA99" i="15"/>
  <c r="AA97" i="15"/>
  <c r="AA91" i="15"/>
  <c r="AA89" i="15"/>
  <c r="AA82" i="15"/>
  <c r="AA81" i="15"/>
  <c r="AA74" i="15"/>
  <c r="AA58" i="15"/>
  <c r="AA87" i="15"/>
  <c r="AA73" i="15"/>
  <c r="AA68" i="15"/>
  <c r="AA85" i="15"/>
  <c r="AA67" i="15"/>
  <c r="AA50" i="15"/>
  <c r="AA48" i="15"/>
  <c r="AA57" i="15"/>
  <c r="AA59" i="15"/>
  <c r="AA52" i="15"/>
  <c r="AA49" i="15"/>
  <c r="AA84" i="15"/>
  <c r="AA78" i="15"/>
  <c r="AA65" i="15"/>
  <c r="AA77" i="15"/>
  <c r="AA76" i="15"/>
  <c r="AA66" i="15"/>
  <c r="AA53" i="15"/>
  <c r="AA69" i="15"/>
  <c r="AA116" i="15"/>
  <c r="AA115" i="15"/>
  <c r="AA80" i="15"/>
  <c r="AA54" i="15"/>
  <c r="AA108" i="15"/>
  <c r="AA107" i="15"/>
  <c r="AA70" i="15"/>
  <c r="AA56" i="15"/>
  <c r="AA71" i="15"/>
  <c r="AA109" i="15"/>
  <c r="AA113" i="15"/>
  <c r="AA117" i="15"/>
  <c r="AA72" i="15"/>
  <c r="AA55" i="15"/>
  <c r="AA79" i="15"/>
  <c r="AA75" i="15"/>
  <c r="AB221" i="16"/>
  <c r="AA376" i="16"/>
  <c r="AA78" i="16"/>
  <c r="AA349" i="16"/>
  <c r="AA332" i="16"/>
  <c r="AA336" i="16" s="1"/>
  <c r="AC32" i="16"/>
  <c r="AB334" i="16"/>
  <c r="AB335" i="16"/>
  <c r="AB256" i="16"/>
  <c r="AB333" i="16"/>
  <c r="AB21" i="16"/>
  <c r="AB219" i="16"/>
  <c r="AB220" i="16"/>
  <c r="AB18" i="16"/>
  <c r="AB189" i="16"/>
  <c r="AB361" i="16"/>
  <c r="AA208" i="16"/>
  <c r="AA274" i="16"/>
  <c r="AA45" i="16"/>
  <c r="AA179" i="16"/>
  <c r="AA235" i="16"/>
  <c r="AA218" i="16"/>
  <c r="AA222" i="16" s="1"/>
  <c r="AA224" i="16" s="1"/>
  <c r="AA322" i="16"/>
  <c r="AC303" i="16"/>
  <c r="AC302" i="16"/>
  <c r="AC301" i="16"/>
  <c r="AC300" i="16"/>
  <c r="AC299" i="16"/>
  <c r="Y121" i="15"/>
  <c r="Z29" i="15"/>
  <c r="Z27" i="15"/>
  <c r="Z26" i="15"/>
  <c r="Z24" i="15"/>
  <c r="Z22" i="15"/>
  <c r="Z30" i="15"/>
  <c r="Z28" i="15"/>
  <c r="Z25" i="15"/>
  <c r="Z23" i="15"/>
  <c r="AA338" i="16"/>
  <c r="AA307" i="16"/>
  <c r="AB61" i="16"/>
  <c r="AB59" i="16"/>
  <c r="AB55" i="16"/>
  <c r="AA62" i="16"/>
  <c r="AA64" i="16" s="1"/>
  <c r="AB58" i="16"/>
  <c r="AB56" i="16"/>
  <c r="AB57" i="16"/>
  <c r="AB60" i="16"/>
  <c r="AC54" i="16"/>
  <c r="Y39" i="15"/>
  <c r="Y41" i="15" s="1"/>
  <c r="Z20" i="15"/>
  <c r="Z14" i="15"/>
  <c r="Z18" i="15"/>
  <c r="Z16" i="15"/>
  <c r="Z15" i="15"/>
  <c r="Z12" i="15"/>
  <c r="Z21" i="15"/>
  <c r="Z17" i="15"/>
  <c r="Z13" i="15"/>
  <c r="Z19" i="15"/>
  <c r="Z34" i="15"/>
  <c r="Z33" i="15"/>
  <c r="Z32" i="15"/>
  <c r="Z37" i="15"/>
  <c r="Z38" i="15"/>
  <c r="Z11" i="15"/>
  <c r="AA8" i="15"/>
  <c r="Z10" i="15"/>
  <c r="Z31" i="15"/>
  <c r="Z36" i="15"/>
  <c r="Z35" i="15"/>
  <c r="Z9" i="15"/>
  <c r="AC298" i="16"/>
  <c r="Z131" i="16"/>
  <c r="AA363" i="16"/>
  <c r="AA365" i="16" s="1"/>
  <c r="AC11" i="16"/>
  <c r="AB19" i="16"/>
  <c r="AB17" i="16"/>
  <c r="AB15" i="16"/>
  <c r="AB13" i="16"/>
  <c r="AB20" i="16"/>
  <c r="AB16" i="16"/>
  <c r="AB14" i="16"/>
  <c r="AC87" i="16"/>
  <c r="AC268" i="16"/>
  <c r="AC245" i="16"/>
  <c r="AC246" i="16" s="1"/>
  <c r="AC248" i="16" s="1"/>
  <c r="AC304" i="16"/>
  <c r="AC269" i="16"/>
  <c r="AC267" i="16"/>
  <c r="AC266" i="16"/>
  <c r="AC272" i="16" s="1"/>
  <c r="AD244" i="16"/>
  <c r="AD270" i="16" s="1"/>
  <c r="AC297" i="16"/>
  <c r="AA194" i="16"/>
  <c r="AA196" i="16" s="1"/>
  <c r="AA24" i="16"/>
  <c r="A17" i="14"/>
  <c r="AB47" i="15"/>
  <c r="AB305" i="16"/>
  <c r="AD217" i="16"/>
  <c r="AB362" i="16"/>
  <c r="AB359" i="16"/>
  <c r="AB360" i="16"/>
  <c r="AB193" i="16"/>
  <c r="AB191" i="16"/>
  <c r="AC188" i="16"/>
  <c r="AB192" i="16"/>
  <c r="AB190" i="16"/>
  <c r="AC91" i="16" l="1"/>
  <c r="AC92" i="16"/>
  <c r="AC93" i="16"/>
  <c r="AC96" i="16"/>
  <c r="AC89" i="16"/>
  <c r="AC98" i="16"/>
  <c r="AC106" i="16"/>
  <c r="AC90" i="16"/>
  <c r="AC95" i="16"/>
  <c r="AC97" i="16"/>
  <c r="AC103" i="16"/>
  <c r="AC104" i="16"/>
  <c r="AC99" i="16"/>
  <c r="AC102" i="16"/>
  <c r="AC108" i="16"/>
  <c r="AC112" i="16"/>
  <c r="AC121" i="16"/>
  <c r="AC126" i="16"/>
  <c r="AC88" i="16"/>
  <c r="AC105" i="16"/>
  <c r="AC109" i="16"/>
  <c r="AC111" i="16"/>
  <c r="AC115" i="16"/>
  <c r="AC122" i="16"/>
  <c r="AC127" i="16"/>
  <c r="AC94" i="16"/>
  <c r="AC114" i="16"/>
  <c r="AC123" i="16"/>
  <c r="AC124" i="16"/>
  <c r="AC110" i="16"/>
  <c r="AC116" i="16"/>
  <c r="AC117" i="16"/>
  <c r="AC118" i="16"/>
  <c r="AC128" i="16"/>
  <c r="AC113" i="16"/>
  <c r="AC120" i="16"/>
  <c r="AC101" i="16"/>
  <c r="AC125" i="16"/>
  <c r="AC119" i="16"/>
  <c r="AC100" i="16"/>
  <c r="AC107" i="16"/>
  <c r="AC23" i="16"/>
  <c r="AC22" i="16"/>
  <c r="F15" i="13"/>
  <c r="C15" i="13"/>
  <c r="A16" i="13"/>
  <c r="AB129" i="16"/>
  <c r="AA26" i="16"/>
  <c r="AB120" i="15"/>
  <c r="AB119" i="15"/>
  <c r="AB118" i="15"/>
  <c r="AB114" i="15"/>
  <c r="AB111" i="15"/>
  <c r="AB106" i="15"/>
  <c r="AB103" i="15"/>
  <c r="AB102" i="15"/>
  <c r="AB101" i="15"/>
  <c r="AB100" i="15"/>
  <c r="AB99" i="15"/>
  <c r="AB98" i="15"/>
  <c r="AB97" i="15"/>
  <c r="AB84" i="15"/>
  <c r="AB79" i="15"/>
  <c r="AB75" i="15"/>
  <c r="AB93" i="15"/>
  <c r="AB85" i="15"/>
  <c r="AB78" i="15"/>
  <c r="AB77" i="15"/>
  <c r="AB67" i="15"/>
  <c r="AB59" i="15"/>
  <c r="AB52" i="15"/>
  <c r="AB95" i="15"/>
  <c r="AB73" i="15"/>
  <c r="AB62" i="15"/>
  <c r="AB49" i="15"/>
  <c r="AB48" i="15"/>
  <c r="AB110" i="15"/>
  <c r="AB92" i="15"/>
  <c r="AB86" i="15"/>
  <c r="AB80" i="15"/>
  <c r="AB61" i="15"/>
  <c r="AB94" i="15"/>
  <c r="AB82" i="15"/>
  <c r="AB51" i="15"/>
  <c r="AB83" i="15"/>
  <c r="AB63" i="15"/>
  <c r="AB58" i="15"/>
  <c r="AB76" i="15"/>
  <c r="AB64" i="15"/>
  <c r="AB112" i="15"/>
  <c r="AB66" i="15"/>
  <c r="AB53" i="15"/>
  <c r="AB90" i="15"/>
  <c r="AB96" i="15"/>
  <c r="AB54" i="15"/>
  <c r="AB70" i="15"/>
  <c r="AB71" i="15"/>
  <c r="AB87" i="15"/>
  <c r="AB115" i="15"/>
  <c r="AB50" i="15"/>
  <c r="AB74" i="15"/>
  <c r="AB57" i="15"/>
  <c r="AB81" i="15"/>
  <c r="AB113" i="15"/>
  <c r="AB91" i="15"/>
  <c r="AB89" i="15"/>
  <c r="AB105" i="15"/>
  <c r="AB88" i="15"/>
  <c r="AB65" i="15"/>
  <c r="AB69" i="15"/>
  <c r="AB109" i="15"/>
  <c r="AB60" i="15"/>
  <c r="AB104" i="15"/>
  <c r="AB117" i="15"/>
  <c r="AB56" i="15"/>
  <c r="AB108" i="15"/>
  <c r="AB107" i="15"/>
  <c r="AB68" i="15"/>
  <c r="AB72" i="15"/>
  <c r="AB55" i="15"/>
  <c r="AB116" i="15"/>
  <c r="AC361" i="16"/>
  <c r="AC60" i="16"/>
  <c r="AC55" i="16"/>
  <c r="AC21" i="16"/>
  <c r="AC19" i="16"/>
  <c r="AC17" i="16"/>
  <c r="AC15" i="16"/>
  <c r="AC13" i="16"/>
  <c r="AB179" i="16"/>
  <c r="AB322" i="16"/>
  <c r="AB274" i="16"/>
  <c r="AB349" i="16"/>
  <c r="AB332" i="16"/>
  <c r="AB336" i="16" s="1"/>
  <c r="AB338" i="16" s="1"/>
  <c r="AB208" i="16"/>
  <c r="AB376" i="16"/>
  <c r="AB45" i="16"/>
  <c r="AB235" i="16"/>
  <c r="AB218" i="16"/>
  <c r="AB222" i="16" s="1"/>
  <c r="AB224" i="16" s="1"/>
  <c r="AB78" i="16"/>
  <c r="AD32" i="16"/>
  <c r="AC333" i="16"/>
  <c r="AC335" i="16"/>
  <c r="AC359" i="16"/>
  <c r="AC334" i="16"/>
  <c r="AC256" i="16"/>
  <c r="AC56" i="16"/>
  <c r="AC219" i="16"/>
  <c r="AC221" i="16"/>
  <c r="AC57" i="16"/>
  <c r="AC220" i="16"/>
  <c r="AC14" i="16"/>
  <c r="AC189" i="16"/>
  <c r="AC192" i="16"/>
  <c r="AC58" i="16"/>
  <c r="AB12" i="16"/>
  <c r="AB24" i="16" s="1"/>
  <c r="AD303" i="16"/>
  <c r="AD302" i="16"/>
  <c r="AD301" i="16"/>
  <c r="AD300" i="16"/>
  <c r="AD299" i="16"/>
  <c r="Z121" i="15"/>
  <c r="AA30" i="15"/>
  <c r="AA28" i="15"/>
  <c r="AA27" i="15"/>
  <c r="AA25" i="15"/>
  <c r="AA24" i="15"/>
  <c r="AA22" i="15"/>
  <c r="AA29" i="15"/>
  <c r="AA26" i="15"/>
  <c r="AA23" i="15"/>
  <c r="AB307" i="16"/>
  <c r="AC61" i="16"/>
  <c r="AC59" i="16"/>
  <c r="AC12" i="16"/>
  <c r="AD54" i="16"/>
  <c r="AB62" i="16"/>
  <c r="AB64" i="16" s="1"/>
  <c r="Z39" i="15"/>
  <c r="Z41" i="15" s="1"/>
  <c r="AA12" i="15"/>
  <c r="AA18" i="15"/>
  <c r="AA15" i="15"/>
  <c r="AA13" i="15"/>
  <c r="AA16" i="15"/>
  <c r="AA19" i="15"/>
  <c r="AA17" i="15"/>
  <c r="AA14" i="15"/>
  <c r="AA20" i="15"/>
  <c r="AA21" i="15"/>
  <c r="AA32" i="15"/>
  <c r="AA35" i="15"/>
  <c r="AA9" i="15"/>
  <c r="AA31" i="15"/>
  <c r="AA11" i="15"/>
  <c r="AA37" i="15"/>
  <c r="AA33" i="15"/>
  <c r="AB8" i="15"/>
  <c r="AA36" i="15"/>
  <c r="AA10" i="15"/>
  <c r="AA34" i="15"/>
  <c r="AA38" i="15"/>
  <c r="AD298" i="16"/>
  <c r="AA131" i="16"/>
  <c r="AC305" i="16"/>
  <c r="AC362" i="16"/>
  <c r="AC360" i="16"/>
  <c r="AD188" i="16"/>
  <c r="AC190" i="16"/>
  <c r="AC193" i="16"/>
  <c r="AC191" i="16"/>
  <c r="AE217" i="16"/>
  <c r="AB194" i="16"/>
  <c r="AB196" i="16" s="1"/>
  <c r="AC20" i="16"/>
  <c r="AC18" i="16"/>
  <c r="AC16" i="16"/>
  <c r="AD11" i="16"/>
  <c r="AB363" i="16"/>
  <c r="AB365" i="16" s="1"/>
  <c r="AD304" i="16"/>
  <c r="AD269" i="16"/>
  <c r="AD267" i="16"/>
  <c r="AD266" i="16"/>
  <c r="AE244" i="16"/>
  <c r="AE270" i="16" s="1"/>
  <c r="AD297" i="16"/>
  <c r="AD268" i="16"/>
  <c r="AD245" i="16"/>
  <c r="AD246" i="16" s="1"/>
  <c r="AD248" i="16" s="1"/>
  <c r="AD87" i="16"/>
  <c r="AC47" i="15"/>
  <c r="A18" i="14"/>
  <c r="AD23" i="16" l="1"/>
  <c r="AD22" i="16"/>
  <c r="AC129" i="16"/>
  <c r="AD97" i="16"/>
  <c r="AD96" i="16"/>
  <c r="AD90" i="16"/>
  <c r="AD88" i="16"/>
  <c r="AD95" i="16"/>
  <c r="AD92" i="16"/>
  <c r="AD91" i="16"/>
  <c r="AD103" i="16"/>
  <c r="AD104" i="16"/>
  <c r="AD89" i="16"/>
  <c r="AD99" i="16"/>
  <c r="AD102" i="16"/>
  <c r="AD93" i="16"/>
  <c r="AD105" i="16"/>
  <c r="AD109" i="16"/>
  <c r="AD111" i="16"/>
  <c r="AD115" i="16"/>
  <c r="AD122" i="16"/>
  <c r="AD127" i="16"/>
  <c r="AD100" i="16"/>
  <c r="AD94" i="16"/>
  <c r="AD106" i="16"/>
  <c r="AD110" i="16"/>
  <c r="AD114" i="16"/>
  <c r="AD116" i="16"/>
  <c r="AD117" i="16"/>
  <c r="AD118" i="16"/>
  <c r="AD123" i="16"/>
  <c r="AD124" i="16"/>
  <c r="AD128" i="16"/>
  <c r="AD101" i="16"/>
  <c r="AD107" i="16"/>
  <c r="AD125" i="16"/>
  <c r="AD113" i="16"/>
  <c r="AD119" i="16"/>
  <c r="AD120" i="16"/>
  <c r="AD108" i="16"/>
  <c r="AD121" i="16"/>
  <c r="AD98" i="16"/>
  <c r="AD112" i="16"/>
  <c r="AD126" i="16"/>
  <c r="C16" i="13"/>
  <c r="A17" i="13"/>
  <c r="F16" i="13"/>
  <c r="AD272" i="16"/>
  <c r="AB26" i="16"/>
  <c r="AC111" i="15"/>
  <c r="AC102" i="15"/>
  <c r="AC98" i="15"/>
  <c r="AC93" i="15"/>
  <c r="AC63" i="15"/>
  <c r="AC51" i="15"/>
  <c r="AC120" i="15"/>
  <c r="AC106" i="15"/>
  <c r="AC100" i="15"/>
  <c r="AC95" i="15"/>
  <c r="AC82" i="15"/>
  <c r="AC61" i="15"/>
  <c r="AC110" i="15"/>
  <c r="AC101" i="15"/>
  <c r="AC97" i="15"/>
  <c r="AC103" i="15"/>
  <c r="AC73" i="15"/>
  <c r="AC119" i="15"/>
  <c r="AC94" i="15"/>
  <c r="AC58" i="15"/>
  <c r="AC62" i="15"/>
  <c r="AC92" i="15"/>
  <c r="AC99" i="15"/>
  <c r="AC49" i="15"/>
  <c r="AC50" i="15"/>
  <c r="AC54" i="15"/>
  <c r="AC74" i="15"/>
  <c r="AC86" i="15"/>
  <c r="AC114" i="15"/>
  <c r="AC77" i="15"/>
  <c r="AC109" i="15"/>
  <c r="AC113" i="15"/>
  <c r="AC117" i="15"/>
  <c r="AC60" i="15"/>
  <c r="AC84" i="15"/>
  <c r="AC55" i="15"/>
  <c r="AC71" i="15"/>
  <c r="AC78" i="15"/>
  <c r="AC81" i="15"/>
  <c r="AC76" i="15"/>
  <c r="AC108" i="15"/>
  <c r="AC112" i="15"/>
  <c r="AC83" i="15"/>
  <c r="AC91" i="15"/>
  <c r="AC107" i="15"/>
  <c r="AC115" i="15"/>
  <c r="AC70" i="15"/>
  <c r="AC90" i="15"/>
  <c r="AC118" i="15"/>
  <c r="AC53" i="15"/>
  <c r="AC57" i="15"/>
  <c r="AC65" i="15"/>
  <c r="AC69" i="15"/>
  <c r="AC85" i="15"/>
  <c r="AC89" i="15"/>
  <c r="AC52" i="15"/>
  <c r="AC64" i="15"/>
  <c r="AC68" i="15"/>
  <c r="AC72" i="15"/>
  <c r="AC88" i="15"/>
  <c r="AC67" i="15"/>
  <c r="AC79" i="15"/>
  <c r="AC56" i="15"/>
  <c r="AC104" i="15"/>
  <c r="AC59" i="15"/>
  <c r="AC75" i="15"/>
  <c r="AC66" i="15"/>
  <c r="AC105" i="15"/>
  <c r="AC80" i="15"/>
  <c r="AC96" i="15"/>
  <c r="AC116" i="15"/>
  <c r="AC87" i="15"/>
  <c r="AC48" i="15"/>
  <c r="M114" i="16"/>
  <c r="M20" i="16"/>
  <c r="M100" i="16"/>
  <c r="M92" i="16"/>
  <c r="M57" i="16"/>
  <c r="M56" i="16"/>
  <c r="AD55" i="16"/>
  <c r="AD19" i="16"/>
  <c r="M17" i="16"/>
  <c r="M13" i="16"/>
  <c r="M190" i="16"/>
  <c r="M127" i="16"/>
  <c r="AC349" i="16"/>
  <c r="AC332" i="16"/>
  <c r="AC336" i="16" s="1"/>
  <c r="AC338" i="16" s="1"/>
  <c r="AC45" i="16"/>
  <c r="AC376" i="16"/>
  <c r="AE32" i="16"/>
  <c r="M361" i="16"/>
  <c r="M299" i="16"/>
  <c r="AD359" i="16"/>
  <c r="M301" i="16"/>
  <c r="M360" i="16"/>
  <c r="M298" i="16"/>
  <c r="M302" i="16"/>
  <c r="M304" i="16"/>
  <c r="M303" i="16"/>
  <c r="M362" i="16"/>
  <c r="M300" i="16"/>
  <c r="M59" i="16"/>
  <c r="M61" i="16"/>
  <c r="M60" i="16"/>
  <c r="M107" i="16"/>
  <c r="M119" i="16"/>
  <c r="M111" i="16"/>
  <c r="M91" i="16"/>
  <c r="M16" i="16"/>
  <c r="M104" i="16"/>
  <c r="M108" i="16"/>
  <c r="M116" i="16"/>
  <c r="M269" i="16"/>
  <c r="M21" i="16"/>
  <c r="M95" i="16"/>
  <c r="M99" i="16"/>
  <c r="M268" i="16"/>
  <c r="M89" i="16"/>
  <c r="M97" i="16"/>
  <c r="M192" i="16"/>
  <c r="M126" i="16"/>
  <c r="M120" i="16"/>
  <c r="M113" i="16"/>
  <c r="M103" i="16"/>
  <c r="M112" i="16"/>
  <c r="M191" i="16"/>
  <c r="M117" i="16"/>
  <c r="M128" i="16"/>
  <c r="M58" i="16"/>
  <c r="M15" i="16"/>
  <c r="M19" i="16"/>
  <c r="M115" i="16"/>
  <c r="M96" i="16"/>
  <c r="M105" i="16"/>
  <c r="M14" i="16"/>
  <c r="M90" i="16"/>
  <c r="M102" i="16"/>
  <c r="M93" i="16"/>
  <c r="M101" i="16"/>
  <c r="M193" i="16"/>
  <c r="M124" i="16"/>
  <c r="M267" i="16"/>
  <c r="M18" i="16"/>
  <c r="M106" i="16"/>
  <c r="M94" i="16"/>
  <c r="M98" i="16"/>
  <c r="M110" i="16"/>
  <c r="M118" i="16"/>
  <c r="M125" i="16"/>
  <c r="M109" i="16"/>
  <c r="AD12" i="16"/>
  <c r="AD361" i="16"/>
  <c r="AC208" i="16"/>
  <c r="AC235" i="16"/>
  <c r="AC218" i="16"/>
  <c r="AC222" i="16" s="1"/>
  <c r="AC224" i="16" s="1"/>
  <c r="AC179" i="16"/>
  <c r="AC78" i="16"/>
  <c r="AC322" i="16"/>
  <c r="AE302" i="16"/>
  <c r="AE301" i="16"/>
  <c r="AE300" i="16"/>
  <c r="AE299" i="16"/>
  <c r="AE303" i="16"/>
  <c r="AA121" i="15"/>
  <c r="AB28" i="15"/>
  <c r="AB26" i="15"/>
  <c r="AB24" i="15"/>
  <c r="AB22" i="15"/>
  <c r="AB30" i="15"/>
  <c r="AB29" i="15"/>
  <c r="AB27" i="15"/>
  <c r="AB25" i="15"/>
  <c r="AB23" i="15"/>
  <c r="AC307" i="16"/>
  <c r="AD61" i="16"/>
  <c r="AD59" i="16"/>
  <c r="AD58" i="16"/>
  <c r="AD60" i="16"/>
  <c r="AE54" i="16"/>
  <c r="AF54" i="16" s="1"/>
  <c r="AC62" i="16"/>
  <c r="AC64" i="16" s="1"/>
  <c r="AC274" i="16"/>
  <c r="AA39" i="15"/>
  <c r="AA41" i="15" s="1"/>
  <c r="AB12" i="15"/>
  <c r="AB20" i="15"/>
  <c r="AB16" i="15"/>
  <c r="AB18" i="15"/>
  <c r="AB19" i="15"/>
  <c r="AB15" i="15"/>
  <c r="AB14" i="15"/>
  <c r="AB21" i="15"/>
  <c r="AB17" i="15"/>
  <c r="AB13" i="15"/>
  <c r="AB35" i="15"/>
  <c r="AB33" i="15"/>
  <c r="AB34" i="15"/>
  <c r="AB38" i="15"/>
  <c r="AB37" i="15"/>
  <c r="AB36" i="15"/>
  <c r="AB31" i="15"/>
  <c r="AC8" i="15"/>
  <c r="AB32" i="15"/>
  <c r="AB11" i="15"/>
  <c r="AB9" i="15"/>
  <c r="AB10" i="15"/>
  <c r="AE298" i="16"/>
  <c r="AB131" i="16"/>
  <c r="AD305" i="16"/>
  <c r="A19" i="14"/>
  <c r="AE269" i="16"/>
  <c r="AE267" i="16"/>
  <c r="AE266" i="16"/>
  <c r="AE272" i="16" s="1"/>
  <c r="AF244" i="16"/>
  <c r="AF270" i="16" s="1"/>
  <c r="AE297" i="16"/>
  <c r="AE268" i="16"/>
  <c r="AE245" i="16"/>
  <c r="AE246" i="16" s="1"/>
  <c r="AE248" i="16" s="1"/>
  <c r="AE304" i="16"/>
  <c r="AF217" i="16"/>
  <c r="AC194" i="16"/>
  <c r="AC196" i="16" s="1"/>
  <c r="AD47" i="15"/>
  <c r="AE87" i="16"/>
  <c r="AD20" i="16"/>
  <c r="AD18" i="16"/>
  <c r="AD16" i="16"/>
  <c r="AD14" i="16"/>
  <c r="AE11" i="16"/>
  <c r="AD21" i="16"/>
  <c r="AD15" i="16"/>
  <c r="AC363" i="16"/>
  <c r="AC365" i="16" s="1"/>
  <c r="AC24" i="16"/>
  <c r="AC26" i="16" s="1"/>
  <c r="AD360" i="16"/>
  <c r="AD362" i="16"/>
  <c r="AD192" i="16"/>
  <c r="AD193" i="16"/>
  <c r="AD191" i="16"/>
  <c r="AD189" i="16"/>
  <c r="AE188" i="16"/>
  <c r="AE23" i="16" l="1"/>
  <c r="AE22" i="16"/>
  <c r="AD129" i="16"/>
  <c r="F17" i="13"/>
  <c r="C17" i="13"/>
  <c r="A18" i="13"/>
  <c r="AE88" i="16"/>
  <c r="AE89" i="16"/>
  <c r="AE93" i="16"/>
  <c r="AE94" i="16"/>
  <c r="AE92" i="16"/>
  <c r="AE95" i="16"/>
  <c r="AE96" i="16"/>
  <c r="AE97" i="16"/>
  <c r="AE99" i="16"/>
  <c r="AE102" i="16"/>
  <c r="AE101" i="16"/>
  <c r="AE105" i="16"/>
  <c r="AE91" i="16"/>
  <c r="AE106" i="16"/>
  <c r="AE110" i="16"/>
  <c r="AE114" i="16"/>
  <c r="AE116" i="16"/>
  <c r="AE117" i="16"/>
  <c r="AE118" i="16"/>
  <c r="AE123" i="16"/>
  <c r="AE124" i="16"/>
  <c r="AE128" i="16"/>
  <c r="AE90" i="16"/>
  <c r="AE103" i="16"/>
  <c r="AE107" i="16"/>
  <c r="AE113" i="16"/>
  <c r="AE119" i="16"/>
  <c r="AE120" i="16"/>
  <c r="AE125" i="16"/>
  <c r="AE98" i="16"/>
  <c r="AE100" i="16"/>
  <c r="AE108" i="16"/>
  <c r="AE112" i="16"/>
  <c r="AE126" i="16"/>
  <c r="AE121" i="16"/>
  <c r="AE122" i="16"/>
  <c r="AE104" i="16"/>
  <c r="AE127" i="16"/>
  <c r="AE111" i="16"/>
  <c r="AE109" i="16"/>
  <c r="AE115" i="16"/>
  <c r="AD13" i="16"/>
  <c r="AD24" i="16" s="1"/>
  <c r="AD26" i="16" s="1"/>
  <c r="AD17" i="16"/>
  <c r="AD119" i="15"/>
  <c r="AD103" i="15"/>
  <c r="AD99" i="15"/>
  <c r="AD94" i="15"/>
  <c r="AD73" i="15"/>
  <c r="AD58" i="15"/>
  <c r="AD110" i="15"/>
  <c r="AD101" i="15"/>
  <c r="AD97" i="15"/>
  <c r="AD92" i="15"/>
  <c r="AD62" i="15"/>
  <c r="AD49" i="15"/>
  <c r="AD111" i="15"/>
  <c r="AD102" i="15"/>
  <c r="AD98" i="15"/>
  <c r="AD100" i="15"/>
  <c r="AD95" i="15"/>
  <c r="AD61" i="15"/>
  <c r="AD106" i="15"/>
  <c r="AD120" i="15"/>
  <c r="AD82" i="15"/>
  <c r="AD51" i="15"/>
  <c r="AD63" i="15"/>
  <c r="AD93" i="15"/>
  <c r="AD70" i="15"/>
  <c r="AD74" i="15"/>
  <c r="AD78" i="15"/>
  <c r="AD90" i="15"/>
  <c r="AD77" i="15"/>
  <c r="AD109" i="15"/>
  <c r="AD52" i="15"/>
  <c r="AD60" i="15"/>
  <c r="AD64" i="15"/>
  <c r="AD68" i="15"/>
  <c r="AD112" i="15"/>
  <c r="AD75" i="15"/>
  <c r="AD83" i="15"/>
  <c r="AD50" i="15"/>
  <c r="AD114" i="15"/>
  <c r="AD118" i="15"/>
  <c r="AD105" i="15"/>
  <c r="AD72" i="15"/>
  <c r="AD76" i="15"/>
  <c r="AD80" i="15"/>
  <c r="AD96" i="15"/>
  <c r="AD104" i="15"/>
  <c r="AD55" i="15"/>
  <c r="AD54" i="15"/>
  <c r="AD66" i="15"/>
  <c r="AD86" i="15"/>
  <c r="AD69" i="15"/>
  <c r="AD85" i="15"/>
  <c r="AD113" i="15"/>
  <c r="AD56" i="15"/>
  <c r="AD89" i="15"/>
  <c r="AD117" i="15"/>
  <c r="AD79" i="15"/>
  <c r="AD57" i="15"/>
  <c r="AD65" i="15"/>
  <c r="AD88" i="15"/>
  <c r="AD116" i="15"/>
  <c r="AD59" i="15"/>
  <c r="AD53" i="15"/>
  <c r="AD81" i="15"/>
  <c r="AD67" i="15"/>
  <c r="AD71" i="15"/>
  <c r="AD87" i="15"/>
  <c r="AD84" i="15"/>
  <c r="AD108" i="15"/>
  <c r="AD91" i="15"/>
  <c r="AD107" i="15"/>
  <c r="AD115" i="15"/>
  <c r="AD48" i="15"/>
  <c r="AE193" i="16"/>
  <c r="AE189" i="16"/>
  <c r="AE60" i="16"/>
  <c r="AE58" i="16"/>
  <c r="AE57" i="16"/>
  <c r="AE17" i="16"/>
  <c r="AE15" i="16"/>
  <c r="AE360" i="16"/>
  <c r="AE20" i="16"/>
  <c r="AE18" i="16"/>
  <c r="AE16" i="16"/>
  <c r="AE12" i="16"/>
  <c r="AD190" i="16"/>
  <c r="AD56" i="16"/>
  <c r="AD57" i="16"/>
  <c r="P110" i="16"/>
  <c r="M160" i="16"/>
  <c r="P160" i="16" s="1"/>
  <c r="M39" i="16"/>
  <c r="P39" i="16" s="1"/>
  <c r="P18" i="16"/>
  <c r="P193" i="16"/>
  <c r="M207" i="16"/>
  <c r="P207" i="16" s="1"/>
  <c r="AD208" i="16"/>
  <c r="M189" i="16"/>
  <c r="M146" i="16"/>
  <c r="P146" i="16" s="1"/>
  <c r="P96" i="16"/>
  <c r="M36" i="16"/>
  <c r="P36" i="16" s="1"/>
  <c r="P15" i="16"/>
  <c r="P128" i="16"/>
  <c r="M178" i="16"/>
  <c r="P178" i="16" s="1"/>
  <c r="P191" i="16"/>
  <c r="M205" i="16"/>
  <c r="P205" i="16" s="1"/>
  <c r="M163" i="16"/>
  <c r="P163" i="16" s="1"/>
  <c r="P113" i="16"/>
  <c r="P192" i="16"/>
  <c r="M206" i="16"/>
  <c r="P206" i="16" s="1"/>
  <c r="M283" i="16"/>
  <c r="P283" i="16" s="1"/>
  <c r="P268" i="16"/>
  <c r="P21" i="16"/>
  <c r="M42" i="16"/>
  <c r="P42" i="16" s="1"/>
  <c r="M154" i="16"/>
  <c r="P154" i="16" s="1"/>
  <c r="P104" i="16"/>
  <c r="M142" i="16"/>
  <c r="P142" i="16" s="1"/>
  <c r="P92" i="16"/>
  <c r="P91" i="16"/>
  <c r="M141" i="16"/>
  <c r="P141" i="16" s="1"/>
  <c r="M157" i="16"/>
  <c r="P157" i="16" s="1"/>
  <c r="P107" i="16"/>
  <c r="M317" i="16"/>
  <c r="P317" i="16" s="1"/>
  <c r="P300" i="16"/>
  <c r="P304" i="16"/>
  <c r="M321" i="16"/>
  <c r="P321" i="16" s="1"/>
  <c r="M333" i="16"/>
  <c r="AD333" i="16"/>
  <c r="AD349" i="16"/>
  <c r="M332" i="16"/>
  <c r="AD332" i="16"/>
  <c r="P361" i="16"/>
  <c r="M374" i="16"/>
  <c r="P374" i="16" s="1"/>
  <c r="M220" i="16"/>
  <c r="AD220" i="16"/>
  <c r="P109" i="16"/>
  <c r="M159" i="16"/>
  <c r="P159" i="16" s="1"/>
  <c r="P98" i="16"/>
  <c r="M148" i="16"/>
  <c r="P148" i="16" s="1"/>
  <c r="P267" i="16"/>
  <c r="M282" i="16"/>
  <c r="P282" i="16" s="1"/>
  <c r="M151" i="16"/>
  <c r="P151" i="16" s="1"/>
  <c r="P101" i="16"/>
  <c r="P90" i="16"/>
  <c r="M140" i="16"/>
  <c r="P140" i="16" s="1"/>
  <c r="P56" i="16"/>
  <c r="M72" i="16"/>
  <c r="P72" i="16" s="1"/>
  <c r="P114" i="16"/>
  <c r="M164" i="16"/>
  <c r="P164" i="16" s="1"/>
  <c r="P117" i="16"/>
  <c r="M167" i="16"/>
  <c r="P167" i="16" s="1"/>
  <c r="M177" i="16"/>
  <c r="P177" i="16" s="1"/>
  <c r="P127" i="16"/>
  <c r="M73" i="16"/>
  <c r="P73" i="16" s="1"/>
  <c r="P57" i="16"/>
  <c r="M147" i="16"/>
  <c r="P147" i="16" s="1"/>
  <c r="P97" i="16"/>
  <c r="AD235" i="16"/>
  <c r="M218" i="16"/>
  <c r="AD218" i="16"/>
  <c r="M284" i="16"/>
  <c r="P284" i="16" s="1"/>
  <c r="P269" i="16"/>
  <c r="P100" i="16"/>
  <c r="M150" i="16"/>
  <c r="P150" i="16" s="1"/>
  <c r="AD179" i="16"/>
  <c r="M88" i="16"/>
  <c r="M161" i="16"/>
  <c r="P161" i="16" s="1"/>
  <c r="P111" i="16"/>
  <c r="P60" i="16"/>
  <c r="M76" i="16"/>
  <c r="P76" i="16" s="1"/>
  <c r="M335" i="16"/>
  <c r="AD335" i="16"/>
  <c r="M319" i="16"/>
  <c r="P319" i="16" s="1"/>
  <c r="P302" i="16"/>
  <c r="M373" i="16"/>
  <c r="P373" i="16" s="1"/>
  <c r="P360" i="16"/>
  <c r="AD376" i="16"/>
  <c r="M359" i="16"/>
  <c r="AF32" i="16"/>
  <c r="AE59" i="16"/>
  <c r="AE56" i="16"/>
  <c r="AE13" i="16"/>
  <c r="AE21" i="16"/>
  <c r="P125" i="16"/>
  <c r="M175" i="16"/>
  <c r="P175" i="16" s="1"/>
  <c r="P94" i="16"/>
  <c r="M144" i="16"/>
  <c r="P144" i="16" s="1"/>
  <c r="M44" i="16"/>
  <c r="P44" i="16" s="1"/>
  <c r="P93" i="16"/>
  <c r="M143" i="16"/>
  <c r="P143" i="16" s="1"/>
  <c r="M35" i="16"/>
  <c r="P35" i="16" s="1"/>
  <c r="P14" i="16"/>
  <c r="M165" i="16"/>
  <c r="P165" i="16" s="1"/>
  <c r="P115" i="16"/>
  <c r="P58" i="16"/>
  <c r="M74" i="16"/>
  <c r="P74" i="16" s="1"/>
  <c r="M38" i="16"/>
  <c r="P38" i="16" s="1"/>
  <c r="P17" i="16"/>
  <c r="M162" i="16"/>
  <c r="P162" i="16" s="1"/>
  <c r="P112" i="16"/>
  <c r="P120" i="16"/>
  <c r="M170" i="16"/>
  <c r="P170" i="16" s="1"/>
  <c r="P89" i="16"/>
  <c r="M139" i="16"/>
  <c r="P139" i="16" s="1"/>
  <c r="P99" i="16"/>
  <c r="M149" i="16"/>
  <c r="P149" i="16" s="1"/>
  <c r="P116" i="16"/>
  <c r="M166" i="16"/>
  <c r="P166" i="16" s="1"/>
  <c r="AD45" i="16"/>
  <c r="P20" i="16"/>
  <c r="M41" i="16"/>
  <c r="P41" i="16" s="1"/>
  <c r="AD78" i="16"/>
  <c r="M55" i="16"/>
  <c r="P61" i="16"/>
  <c r="M77" i="16"/>
  <c r="P77" i="16" s="1"/>
  <c r="P362" i="16"/>
  <c r="M375" i="16"/>
  <c r="P375" i="16" s="1"/>
  <c r="AD256" i="16"/>
  <c r="M245" i="16"/>
  <c r="M318" i="16"/>
  <c r="P318" i="16" s="1"/>
  <c r="P301" i="16"/>
  <c r="P299" i="16"/>
  <c r="M316" i="16"/>
  <c r="P316" i="16" s="1"/>
  <c r="M221" i="16"/>
  <c r="AD221" i="16"/>
  <c r="M168" i="16"/>
  <c r="P168" i="16" s="1"/>
  <c r="P118" i="16"/>
  <c r="M156" i="16"/>
  <c r="P156" i="16" s="1"/>
  <c r="P106" i="16"/>
  <c r="M174" i="16"/>
  <c r="P174" i="16" s="1"/>
  <c r="P124" i="16"/>
  <c r="P102" i="16"/>
  <c r="M152" i="16"/>
  <c r="P152" i="16" s="1"/>
  <c r="M155" i="16"/>
  <c r="P155" i="16" s="1"/>
  <c r="P105" i="16"/>
  <c r="M40" i="16"/>
  <c r="P40" i="16" s="1"/>
  <c r="P19" i="16"/>
  <c r="AD274" i="16"/>
  <c r="M266" i="16"/>
  <c r="M272" i="16" s="1"/>
  <c r="M219" i="16"/>
  <c r="AD219" i="16"/>
  <c r="M153" i="16"/>
  <c r="P153" i="16" s="1"/>
  <c r="P103" i="16"/>
  <c r="P126" i="16"/>
  <c r="M176" i="16"/>
  <c r="P176" i="16" s="1"/>
  <c r="M34" i="16"/>
  <c r="P34" i="16" s="1"/>
  <c r="P13" i="16"/>
  <c r="M145" i="16"/>
  <c r="P145" i="16" s="1"/>
  <c r="P95" i="16"/>
  <c r="P108" i="16"/>
  <c r="M158" i="16"/>
  <c r="P158" i="16" s="1"/>
  <c r="M204" i="16"/>
  <c r="P204" i="16" s="1"/>
  <c r="P190" i="16"/>
  <c r="P16" i="16"/>
  <c r="M37" i="16"/>
  <c r="P37" i="16" s="1"/>
  <c r="M169" i="16"/>
  <c r="P169" i="16" s="1"/>
  <c r="P119" i="16"/>
  <c r="M75" i="16"/>
  <c r="P75" i="16" s="1"/>
  <c r="P59" i="16"/>
  <c r="M320" i="16"/>
  <c r="P320" i="16" s="1"/>
  <c r="P303" i="16"/>
  <c r="P298" i="16"/>
  <c r="M315" i="16"/>
  <c r="P315" i="16" s="1"/>
  <c r="AD322" i="16"/>
  <c r="M297" i="16"/>
  <c r="M334" i="16"/>
  <c r="AD334" i="16"/>
  <c r="M12" i="16"/>
  <c r="AD307" i="16"/>
  <c r="AF303" i="16"/>
  <c r="AF302" i="16"/>
  <c r="AF301" i="16"/>
  <c r="AF300" i="16"/>
  <c r="AF299" i="16"/>
  <c r="AB121" i="15"/>
  <c r="AC30" i="15"/>
  <c r="AC29" i="15"/>
  <c r="AC28" i="15"/>
  <c r="AC27" i="15"/>
  <c r="AC26" i="15"/>
  <c r="AC25" i="15"/>
  <c r="AC24" i="15"/>
  <c r="AC23" i="15"/>
  <c r="AC22" i="15"/>
  <c r="AE61" i="16"/>
  <c r="AE55" i="16"/>
  <c r="AB39" i="15"/>
  <c r="AB41" i="15" s="1"/>
  <c r="AC18" i="15"/>
  <c r="AC19" i="15"/>
  <c r="AC20" i="15"/>
  <c r="AC13" i="15"/>
  <c r="AC17" i="15"/>
  <c r="AC16" i="15"/>
  <c r="AC14" i="15"/>
  <c r="AC15" i="15"/>
  <c r="AC12" i="15"/>
  <c r="AC21" i="15"/>
  <c r="AC38" i="15"/>
  <c r="AC11" i="15"/>
  <c r="AC36" i="15"/>
  <c r="AC10" i="15"/>
  <c r="AD8" i="15"/>
  <c r="AC35" i="15"/>
  <c r="AC9" i="15"/>
  <c r="AC34" i="15"/>
  <c r="AC33" i="15"/>
  <c r="AC32" i="15"/>
  <c r="AC31" i="15"/>
  <c r="AC37" i="15"/>
  <c r="AF298" i="16"/>
  <c r="AC131" i="16"/>
  <c r="AE305" i="16"/>
  <c r="AG54" i="16"/>
  <c r="AE362" i="16"/>
  <c r="AE359" i="16"/>
  <c r="AE191" i="16"/>
  <c r="AF188" i="16"/>
  <c r="AE192" i="16"/>
  <c r="AE190" i="16"/>
  <c r="AF11" i="16"/>
  <c r="AE19" i="16"/>
  <c r="AG217" i="16"/>
  <c r="A20" i="14"/>
  <c r="AD363" i="16"/>
  <c r="AD365" i="16" s="1"/>
  <c r="AF87" i="16"/>
  <c r="AE47" i="15"/>
  <c r="AF297" i="16"/>
  <c r="AF268" i="16"/>
  <c r="AF245" i="16"/>
  <c r="AF246" i="16" s="1"/>
  <c r="AF248" i="16" s="1"/>
  <c r="AF304" i="16"/>
  <c r="AF269" i="16"/>
  <c r="AF267" i="16"/>
  <c r="AF266" i="16"/>
  <c r="AF272" i="16" s="1"/>
  <c r="AG244" i="16"/>
  <c r="AG270" i="16" s="1"/>
  <c r="AD194" i="16"/>
  <c r="AD196" i="16" s="1"/>
  <c r="AF92" i="16" l="1"/>
  <c r="AF95" i="16"/>
  <c r="AF94" i="16"/>
  <c r="AF93" i="16"/>
  <c r="AF90" i="16"/>
  <c r="AF91" i="16"/>
  <c r="AF101" i="16"/>
  <c r="AF105" i="16"/>
  <c r="AF96" i="16"/>
  <c r="AF88" i="16"/>
  <c r="AF98" i="16"/>
  <c r="AF100" i="16"/>
  <c r="AF106" i="16"/>
  <c r="AF89" i="16"/>
  <c r="AF103" i="16"/>
  <c r="AF107" i="16"/>
  <c r="AF113" i="16"/>
  <c r="AF119" i="16"/>
  <c r="AF120" i="16"/>
  <c r="AF125" i="16"/>
  <c r="AF97" i="16"/>
  <c r="AF108" i="16"/>
  <c r="AF112" i="16"/>
  <c r="AF121" i="16"/>
  <c r="AF126" i="16"/>
  <c r="AF104" i="16"/>
  <c r="AF109" i="16"/>
  <c r="AF115" i="16"/>
  <c r="AF127" i="16"/>
  <c r="AF111" i="16"/>
  <c r="AF122" i="16"/>
  <c r="AF102" i="16"/>
  <c r="AF124" i="16"/>
  <c r="AF99" i="16"/>
  <c r="AF110" i="16"/>
  <c r="AF116" i="16"/>
  <c r="AF118" i="16"/>
  <c r="AF114" i="16"/>
  <c r="AF123" i="16"/>
  <c r="AF117" i="16"/>
  <c r="AF128" i="16"/>
  <c r="AE129" i="16"/>
  <c r="F18" i="13"/>
  <c r="C18" i="13"/>
  <c r="A19" i="13"/>
  <c r="AF23" i="16"/>
  <c r="AF22" i="16"/>
  <c r="AE120" i="15"/>
  <c r="AE106" i="15"/>
  <c r="AE100" i="15"/>
  <c r="AE95" i="15"/>
  <c r="AE82" i="15"/>
  <c r="AE61" i="15"/>
  <c r="AE111" i="15"/>
  <c r="AE102" i="15"/>
  <c r="AE98" i="15"/>
  <c r="AE93" i="15"/>
  <c r="AE63" i="15"/>
  <c r="AE119" i="15"/>
  <c r="AE103" i="15"/>
  <c r="AE99" i="15"/>
  <c r="AE97" i="15"/>
  <c r="AE92" i="15"/>
  <c r="AE49" i="15"/>
  <c r="AE101" i="15"/>
  <c r="AE110" i="15"/>
  <c r="AE62" i="15"/>
  <c r="AE58" i="15"/>
  <c r="AE73" i="15"/>
  <c r="AE94" i="15"/>
  <c r="AE51" i="15"/>
  <c r="AE50" i="15"/>
  <c r="AE66" i="15"/>
  <c r="AE118" i="15"/>
  <c r="AE65" i="15"/>
  <c r="AE77" i="15"/>
  <c r="AE96" i="15"/>
  <c r="AE104" i="15"/>
  <c r="AE108" i="15"/>
  <c r="AE112" i="15"/>
  <c r="AE116" i="15"/>
  <c r="AE55" i="15"/>
  <c r="AE83" i="15"/>
  <c r="AE115" i="15"/>
  <c r="AE74" i="15"/>
  <c r="AE78" i="15"/>
  <c r="AE81" i="15"/>
  <c r="AE85" i="15"/>
  <c r="AE89" i="15"/>
  <c r="AE105" i="15"/>
  <c r="AE113" i="15"/>
  <c r="AE117" i="15"/>
  <c r="AE52" i="15"/>
  <c r="AE64" i="15"/>
  <c r="AE68" i="15"/>
  <c r="AE72" i="15"/>
  <c r="AE88" i="15"/>
  <c r="AE79" i="15"/>
  <c r="AE91" i="15"/>
  <c r="AE54" i="15"/>
  <c r="AE114" i="15"/>
  <c r="AE53" i="15"/>
  <c r="AE57" i="15"/>
  <c r="AE109" i="15"/>
  <c r="AE56" i="15"/>
  <c r="AE84" i="15"/>
  <c r="AE67" i="15"/>
  <c r="AE75" i="15"/>
  <c r="AE107" i="15"/>
  <c r="AE70" i="15"/>
  <c r="AE90" i="15"/>
  <c r="AE76" i="15"/>
  <c r="AE71" i="15"/>
  <c r="AE87" i="15"/>
  <c r="AE86" i="15"/>
  <c r="AE69" i="15"/>
  <c r="AE80" i="15"/>
  <c r="AE60" i="15"/>
  <c r="AE59" i="15"/>
  <c r="AE48" i="15"/>
  <c r="AE307" i="16"/>
  <c r="AF219" i="16"/>
  <c r="AF19" i="16"/>
  <c r="AF16" i="16"/>
  <c r="AF15" i="16"/>
  <c r="AF192" i="16"/>
  <c r="AD62" i="16"/>
  <c r="AD64" i="16" s="1"/>
  <c r="AD131" i="16"/>
  <c r="AE208" i="16"/>
  <c r="AE220" i="16"/>
  <c r="AE78" i="16"/>
  <c r="AE322" i="16"/>
  <c r="AE334" i="16"/>
  <c r="AE333" i="16"/>
  <c r="AD222" i="16"/>
  <c r="AD224" i="16" s="1"/>
  <c r="P220" i="16"/>
  <c r="M233" i="16"/>
  <c r="P233" i="16" s="1"/>
  <c r="M345" i="16"/>
  <c r="M336" i="16"/>
  <c r="P332" i="16"/>
  <c r="M203" i="16"/>
  <c r="M194" i="16"/>
  <c r="P189" i="16"/>
  <c r="P194" i="16" s="1"/>
  <c r="M281" i="16"/>
  <c r="M287" i="16" s="1"/>
  <c r="P266" i="16"/>
  <c r="P272" i="16" s="1"/>
  <c r="M246" i="16"/>
  <c r="P245" i="16"/>
  <c r="P246" i="16" s="1"/>
  <c r="M255" i="16"/>
  <c r="P334" i="16"/>
  <c r="M347" i="16"/>
  <c r="P347" i="16" s="1"/>
  <c r="AE219" i="16"/>
  <c r="AE235" i="16"/>
  <c r="AE218" i="16"/>
  <c r="AE349" i="16"/>
  <c r="AE332" i="16"/>
  <c r="AG32" i="16"/>
  <c r="AF359" i="16"/>
  <c r="AF361" i="16"/>
  <c r="AF334" i="16"/>
  <c r="AF335" i="16"/>
  <c r="AF333" i="16"/>
  <c r="AF256" i="16"/>
  <c r="AF59" i="16"/>
  <c r="AF61" i="16"/>
  <c r="AF60" i="16"/>
  <c r="AF57" i="16"/>
  <c r="AF56" i="16"/>
  <c r="AF14" i="16"/>
  <c r="AF221" i="16"/>
  <c r="AF190" i="16"/>
  <c r="AF220" i="16"/>
  <c r="AF58" i="16"/>
  <c r="P335" i="16"/>
  <c r="M348" i="16"/>
  <c r="P348" i="16" s="1"/>
  <c r="M222" i="16"/>
  <c r="M231" i="16"/>
  <c r="P218" i="16"/>
  <c r="M24" i="16"/>
  <c r="M33" i="16"/>
  <c r="P12" i="16"/>
  <c r="P24" i="16" s="1"/>
  <c r="M232" i="16"/>
  <c r="P232" i="16" s="1"/>
  <c r="P219" i="16"/>
  <c r="P221" i="16"/>
  <c r="M234" i="16"/>
  <c r="P234" i="16" s="1"/>
  <c r="AE14" i="16"/>
  <c r="AE24" i="16" s="1"/>
  <c r="AE26" i="16" s="1"/>
  <c r="M305" i="16"/>
  <c r="P297" i="16"/>
  <c r="P305" i="16" s="1"/>
  <c r="M314" i="16"/>
  <c r="M71" i="16"/>
  <c r="M62" i="16"/>
  <c r="P55" i="16"/>
  <c r="P62" i="16" s="1"/>
  <c r="AE221" i="16"/>
  <c r="AE274" i="16"/>
  <c r="AE179" i="16"/>
  <c r="AE376" i="16"/>
  <c r="P359" i="16"/>
  <c r="P363" i="16" s="1"/>
  <c r="M363" i="16"/>
  <c r="M372" i="16"/>
  <c r="P88" i="16"/>
  <c r="P129" i="16" s="1"/>
  <c r="M129" i="16"/>
  <c r="M138" i="16"/>
  <c r="AE361" i="16"/>
  <c r="AE363" i="16" s="1"/>
  <c r="AE365" i="16" s="1"/>
  <c r="AE45" i="16"/>
  <c r="AE256" i="16"/>
  <c r="AE335" i="16"/>
  <c r="AD336" i="16"/>
  <c r="AD338" i="16" s="1"/>
  <c r="M346" i="16"/>
  <c r="P346" i="16" s="1"/>
  <c r="P333" i="16"/>
  <c r="AG303" i="16"/>
  <c r="AG302" i="16"/>
  <c r="AG301" i="16"/>
  <c r="AG300" i="16"/>
  <c r="AG299" i="16"/>
  <c r="AC121" i="15"/>
  <c r="AD30" i="15"/>
  <c r="AD28" i="15"/>
  <c r="AD26" i="15"/>
  <c r="AD25" i="15"/>
  <c r="AD23" i="15"/>
  <c r="AD29" i="15"/>
  <c r="AD27" i="15"/>
  <c r="AD24" i="15"/>
  <c r="AD22" i="15"/>
  <c r="AE62" i="16"/>
  <c r="AE64" i="16" s="1"/>
  <c r="AD13" i="15"/>
  <c r="AD17" i="15"/>
  <c r="AD19" i="15"/>
  <c r="AD15" i="15"/>
  <c r="AD18" i="15"/>
  <c r="AD14" i="15"/>
  <c r="AD16" i="15"/>
  <c r="AD12" i="15"/>
  <c r="AD20" i="15"/>
  <c r="AD21" i="15"/>
  <c r="AD31" i="15"/>
  <c r="AD34" i="15"/>
  <c r="AD33" i="15"/>
  <c r="AE8" i="15"/>
  <c r="AD38" i="15"/>
  <c r="AD11" i="15"/>
  <c r="AD10" i="15"/>
  <c r="AD32" i="15"/>
  <c r="AD35" i="15"/>
  <c r="AD9" i="15"/>
  <c r="AD37" i="15"/>
  <c r="AD36" i="15"/>
  <c r="AC39" i="15"/>
  <c r="AC41" i="15" s="1"/>
  <c r="AG298" i="16"/>
  <c r="AH54" i="16"/>
  <c r="AF305" i="16"/>
  <c r="AF307" i="16" s="1"/>
  <c r="AG87" i="16"/>
  <c r="AG11" i="16"/>
  <c r="AF21" i="16"/>
  <c r="AF17" i="16"/>
  <c r="AF13" i="16"/>
  <c r="AF20" i="16"/>
  <c r="AE194" i="16"/>
  <c r="AE196" i="16" s="1"/>
  <c r="AF47" i="15"/>
  <c r="AG268" i="16"/>
  <c r="AG245" i="16"/>
  <c r="AG246" i="16" s="1"/>
  <c r="AG248" i="16" s="1"/>
  <c r="AG304" i="16"/>
  <c r="AG269" i="16"/>
  <c r="AG267" i="16"/>
  <c r="AG266" i="16"/>
  <c r="AG272" i="16" s="1"/>
  <c r="AH244" i="16"/>
  <c r="AH270" i="16" s="1"/>
  <c r="AG297" i="16"/>
  <c r="A21" i="14"/>
  <c r="AH217" i="16"/>
  <c r="AF362" i="16"/>
  <c r="AF360" i="16"/>
  <c r="AF193" i="16"/>
  <c r="AF191" i="16"/>
  <c r="AG188" i="16"/>
  <c r="AG91" i="16" l="1"/>
  <c r="AG89" i="16"/>
  <c r="AG98" i="16"/>
  <c r="AG96" i="16"/>
  <c r="AG88" i="16"/>
  <c r="AG94" i="16"/>
  <c r="AG93" i="16"/>
  <c r="AG90" i="16"/>
  <c r="AG100" i="16"/>
  <c r="AG106" i="16"/>
  <c r="AG92" i="16"/>
  <c r="AG103" i="16"/>
  <c r="AG104" i="16"/>
  <c r="AG95" i="16"/>
  <c r="AG108" i="16"/>
  <c r="AG112" i="16"/>
  <c r="AG121" i="16"/>
  <c r="AG126" i="16"/>
  <c r="AG101" i="16"/>
  <c r="AG109" i="16"/>
  <c r="AG111" i="16"/>
  <c r="AG115" i="16"/>
  <c r="AG122" i="16"/>
  <c r="AG127" i="16"/>
  <c r="AG99" i="16"/>
  <c r="AG110" i="16"/>
  <c r="AG116" i="16"/>
  <c r="AG117" i="16"/>
  <c r="AG118" i="16"/>
  <c r="AG128" i="16"/>
  <c r="AG102" i="16"/>
  <c r="AG114" i="16"/>
  <c r="AG123" i="16"/>
  <c r="AG124" i="16"/>
  <c r="AG105" i="16"/>
  <c r="AG107" i="16"/>
  <c r="AG113" i="16"/>
  <c r="AG120" i="16"/>
  <c r="AG125" i="16"/>
  <c r="AG97" i="16"/>
  <c r="AG119" i="16"/>
  <c r="AG23" i="16"/>
  <c r="AG22" i="16"/>
  <c r="AF129" i="16"/>
  <c r="F19" i="13"/>
  <c r="C19" i="13"/>
  <c r="A20" i="13"/>
  <c r="AF110" i="15"/>
  <c r="AF101" i="15"/>
  <c r="AF97" i="15"/>
  <c r="AF92" i="15"/>
  <c r="AF62" i="15"/>
  <c r="AF49" i="15"/>
  <c r="AF119" i="15"/>
  <c r="AF103" i="15"/>
  <c r="AF99" i="15"/>
  <c r="AF94" i="15"/>
  <c r="AF73" i="15"/>
  <c r="AF58" i="15"/>
  <c r="AF51" i="15"/>
  <c r="AF120" i="15"/>
  <c r="AF106" i="15"/>
  <c r="AF100" i="15"/>
  <c r="AF63" i="15"/>
  <c r="AF98" i="15"/>
  <c r="AF102" i="15"/>
  <c r="AF93" i="15"/>
  <c r="AF95" i="15"/>
  <c r="AF111" i="15"/>
  <c r="AF61" i="15"/>
  <c r="AF82" i="15"/>
  <c r="AF50" i="15"/>
  <c r="AF54" i="15"/>
  <c r="AF66" i="15"/>
  <c r="AF70" i="15"/>
  <c r="AF78" i="15"/>
  <c r="AF86" i="15"/>
  <c r="AF90" i="15"/>
  <c r="AF114" i="15"/>
  <c r="AF118" i="15"/>
  <c r="AF53" i="15"/>
  <c r="AF57" i="15"/>
  <c r="AF65" i="15"/>
  <c r="AF81" i="15"/>
  <c r="AF85" i="15"/>
  <c r="AF89" i="15"/>
  <c r="AF105" i="15"/>
  <c r="AF109" i="15"/>
  <c r="AF113" i="15"/>
  <c r="AF117" i="15"/>
  <c r="AF52" i="15"/>
  <c r="AF56" i="15"/>
  <c r="AF72" i="15"/>
  <c r="AF96" i="15"/>
  <c r="AF112" i="15"/>
  <c r="AF116" i="15"/>
  <c r="AF91" i="15"/>
  <c r="AF74" i="15"/>
  <c r="AF69" i="15"/>
  <c r="AF77" i="15"/>
  <c r="AF80" i="15"/>
  <c r="AF104" i="15"/>
  <c r="AF59" i="15"/>
  <c r="AF83" i="15"/>
  <c r="AF60" i="15"/>
  <c r="AF64" i="15"/>
  <c r="AF76" i="15"/>
  <c r="AF88" i="15"/>
  <c r="AF108" i="15"/>
  <c r="AF71" i="15"/>
  <c r="AF87" i="15"/>
  <c r="AF115" i="15"/>
  <c r="AF67" i="15"/>
  <c r="AF84" i="15"/>
  <c r="AF79" i="15"/>
  <c r="AF107" i="15"/>
  <c r="AF68" i="15"/>
  <c r="AF55" i="15"/>
  <c r="AF75" i="15"/>
  <c r="AF48" i="15"/>
  <c r="AG334" i="16"/>
  <c r="AG19" i="16"/>
  <c r="AG189" i="16"/>
  <c r="AG360" i="16"/>
  <c r="AG16" i="16"/>
  <c r="AG14" i="16"/>
  <c r="AF208" i="16"/>
  <c r="AF45" i="16"/>
  <c r="AF78" i="16"/>
  <c r="AF55" i="16"/>
  <c r="AF62" i="16" s="1"/>
  <c r="AF64" i="16" s="1"/>
  <c r="AF179" i="16"/>
  <c r="AF349" i="16"/>
  <c r="AF332" i="16"/>
  <c r="AF336" i="16" s="1"/>
  <c r="M256" i="16"/>
  <c r="P255" i="16"/>
  <c r="P256" i="16" s="1"/>
  <c r="M349" i="16"/>
  <c r="P345" i="16"/>
  <c r="P349" i="16" s="1"/>
  <c r="AF274" i="16"/>
  <c r="AF235" i="16"/>
  <c r="AF218" i="16"/>
  <c r="AF222" i="16" s="1"/>
  <c r="AF376" i="16"/>
  <c r="AE336" i="16"/>
  <c r="AE338" i="16" s="1"/>
  <c r="AE222" i="16"/>
  <c r="AE224" i="16" s="1"/>
  <c r="P281" i="16"/>
  <c r="P287" i="16" s="1"/>
  <c r="P203" i="16"/>
  <c r="P208" i="16" s="1"/>
  <c r="M208" i="16"/>
  <c r="M376" i="16"/>
  <c r="P372" i="16"/>
  <c r="P376" i="16" s="1"/>
  <c r="P33" i="16"/>
  <c r="P45" i="16" s="1"/>
  <c r="M45" i="16"/>
  <c r="P222" i="16"/>
  <c r="AF18" i="16"/>
  <c r="P138" i="16"/>
  <c r="P179" i="16" s="1"/>
  <c r="M179" i="16"/>
  <c r="M235" i="16"/>
  <c r="P231" i="16"/>
  <c r="P235" i="16" s="1"/>
  <c r="M78" i="16"/>
  <c r="P71" i="16"/>
  <c r="P78" i="16" s="1"/>
  <c r="AF189" i="16"/>
  <c r="AF194" i="16" s="1"/>
  <c r="AF196" i="16" s="1"/>
  <c r="M322" i="16"/>
  <c r="P314" i="16"/>
  <c r="P322" i="16" s="1"/>
  <c r="AH32" i="16"/>
  <c r="AG333" i="16"/>
  <c r="AG219" i="16"/>
  <c r="AG220" i="16"/>
  <c r="AG58" i="16"/>
  <c r="AG191" i="16"/>
  <c r="AG193" i="16"/>
  <c r="P336" i="16"/>
  <c r="AF322" i="16"/>
  <c r="AF12" i="16"/>
  <c r="AH302" i="16"/>
  <c r="AH301" i="16"/>
  <c r="AH299" i="16"/>
  <c r="AH303" i="16"/>
  <c r="AH300" i="16"/>
  <c r="AD121" i="15"/>
  <c r="AE30" i="15"/>
  <c r="AE29" i="15"/>
  <c r="AE28" i="15"/>
  <c r="AE27" i="15"/>
  <c r="AE26" i="15"/>
  <c r="AE25" i="15"/>
  <c r="AE24" i="15"/>
  <c r="AE23" i="15"/>
  <c r="AE22" i="15"/>
  <c r="AD39" i="15"/>
  <c r="AD41" i="15" s="1"/>
  <c r="AE15" i="15"/>
  <c r="AE20" i="15"/>
  <c r="AE16" i="15"/>
  <c r="AE12" i="15"/>
  <c r="AE14" i="15"/>
  <c r="AE18" i="15"/>
  <c r="AE13" i="15"/>
  <c r="AE19" i="15"/>
  <c r="AE21" i="15"/>
  <c r="AE17" i="15"/>
  <c r="AE37" i="15"/>
  <c r="AE33" i="15"/>
  <c r="AF8" i="15"/>
  <c r="AE32" i="15"/>
  <c r="AE35" i="15"/>
  <c r="AE9" i="15"/>
  <c r="AE36" i="15"/>
  <c r="AE10" i="15"/>
  <c r="AE31" i="15"/>
  <c r="AE34" i="15"/>
  <c r="AE38" i="15"/>
  <c r="AE11" i="15"/>
  <c r="AH298" i="16"/>
  <c r="AE131" i="16"/>
  <c r="AF363" i="16"/>
  <c r="AF365" i="16" s="1"/>
  <c r="AG305" i="16"/>
  <c r="AG307" i="16" s="1"/>
  <c r="AI54" i="16"/>
  <c r="AG362" i="16"/>
  <c r="AG359" i="16"/>
  <c r="AH188" i="16"/>
  <c r="AG192" i="16"/>
  <c r="AG190" i="16"/>
  <c r="AI217" i="16"/>
  <c r="AH304" i="16"/>
  <c r="AH269" i="16"/>
  <c r="AH267" i="16"/>
  <c r="AH266" i="16"/>
  <c r="AI244" i="16"/>
  <c r="AI270" i="16" s="1"/>
  <c r="AH297" i="16"/>
  <c r="AH268" i="16"/>
  <c r="AH245" i="16"/>
  <c r="AH246" i="16" s="1"/>
  <c r="AH248" i="16" s="1"/>
  <c r="AG47" i="15"/>
  <c r="A22" i="14"/>
  <c r="AG21" i="16"/>
  <c r="AG17" i="16"/>
  <c r="AG15" i="16"/>
  <c r="AG13" i="16"/>
  <c r="AG20" i="16"/>
  <c r="AH11" i="16"/>
  <c r="AH87" i="16"/>
  <c r="AH101" i="16" l="1"/>
  <c r="AH99" i="16"/>
  <c r="AH95" i="16"/>
  <c r="AH94" i="16"/>
  <c r="AH93" i="16"/>
  <c r="AH90" i="16"/>
  <c r="AH103" i="16"/>
  <c r="AH100" i="16"/>
  <c r="AH97" i="16"/>
  <c r="AH92" i="16"/>
  <c r="AH98" i="16"/>
  <c r="AH104" i="16"/>
  <c r="AH91" i="16"/>
  <c r="AH102" i="16"/>
  <c r="AH96" i="16"/>
  <c r="AH88" i="16"/>
  <c r="AH109" i="16"/>
  <c r="AH111" i="16"/>
  <c r="AH115" i="16"/>
  <c r="AH122" i="16"/>
  <c r="AH127" i="16"/>
  <c r="AH89" i="16"/>
  <c r="AH110" i="16"/>
  <c r="AH114" i="16"/>
  <c r="AH116" i="16"/>
  <c r="AH117" i="16"/>
  <c r="AH118" i="16"/>
  <c r="AH123" i="16"/>
  <c r="AH124" i="16"/>
  <c r="AH128" i="16"/>
  <c r="AH113" i="16"/>
  <c r="AH119" i="16"/>
  <c r="AH120" i="16"/>
  <c r="AH105" i="16"/>
  <c r="AH107" i="16"/>
  <c r="AH125" i="16"/>
  <c r="AH112" i="16"/>
  <c r="AH126" i="16"/>
  <c r="AH108" i="16"/>
  <c r="AH106" i="16"/>
  <c r="AH121" i="16"/>
  <c r="F20" i="13"/>
  <c r="C20" i="13"/>
  <c r="A21" i="13"/>
  <c r="AH23" i="16"/>
  <c r="AH22" i="16"/>
  <c r="AH272" i="16"/>
  <c r="AG129" i="16"/>
  <c r="AF224" i="16"/>
  <c r="AG111" i="15"/>
  <c r="AG102" i="15"/>
  <c r="AG98" i="15"/>
  <c r="AG93" i="15"/>
  <c r="AG63" i="15"/>
  <c r="AG120" i="15"/>
  <c r="AG106" i="15"/>
  <c r="AG100" i="15"/>
  <c r="AG95" i="15"/>
  <c r="AG82" i="15"/>
  <c r="AG61" i="15"/>
  <c r="AG110" i="15"/>
  <c r="AG101" i="15"/>
  <c r="AG97" i="15"/>
  <c r="AG119" i="15"/>
  <c r="AG94" i="15"/>
  <c r="AG58" i="15"/>
  <c r="AG99" i="15"/>
  <c r="AG73" i="15"/>
  <c r="AG51" i="15"/>
  <c r="AG92" i="15"/>
  <c r="AG49" i="15"/>
  <c r="AG103" i="15"/>
  <c r="AG62" i="15"/>
  <c r="AG81" i="15"/>
  <c r="AG85" i="15"/>
  <c r="AG105" i="15"/>
  <c r="AG68" i="15"/>
  <c r="AG76" i="15"/>
  <c r="AG80" i="15"/>
  <c r="AG75" i="15"/>
  <c r="AG87" i="15"/>
  <c r="AG91" i="15"/>
  <c r="AG107" i="15"/>
  <c r="AG50" i="15"/>
  <c r="AG66" i="15"/>
  <c r="AG86" i="15"/>
  <c r="AG90" i="15"/>
  <c r="AG109" i="15"/>
  <c r="AG117" i="15"/>
  <c r="AG60" i="15"/>
  <c r="AG64" i="15"/>
  <c r="AG104" i="15"/>
  <c r="AG112" i="15"/>
  <c r="AG116" i="15"/>
  <c r="AG55" i="15"/>
  <c r="AG79" i="15"/>
  <c r="AG70" i="15"/>
  <c r="AG77" i="15"/>
  <c r="AG78" i="15"/>
  <c r="AG114" i="15"/>
  <c r="AG65" i="15"/>
  <c r="AG113" i="15"/>
  <c r="AG59" i="15"/>
  <c r="AG115" i="15"/>
  <c r="AG74" i="15"/>
  <c r="AG56" i="15"/>
  <c r="AG96" i="15"/>
  <c r="AG57" i="15"/>
  <c r="AG72" i="15"/>
  <c r="AG84" i="15"/>
  <c r="AG88" i="15"/>
  <c r="AG108" i="15"/>
  <c r="AG83" i="15"/>
  <c r="AG54" i="15"/>
  <c r="AG118" i="15"/>
  <c r="AG53" i="15"/>
  <c r="AG69" i="15"/>
  <c r="AG89" i="15"/>
  <c r="AG52" i="15"/>
  <c r="AG67" i="15"/>
  <c r="AG71" i="15"/>
  <c r="AG48" i="15"/>
  <c r="AF24" i="16"/>
  <c r="AF26" i="16" s="1"/>
  <c r="AH57" i="16"/>
  <c r="AH18" i="16"/>
  <c r="AH16" i="16"/>
  <c r="AH191" i="16"/>
  <c r="AH19" i="16"/>
  <c r="AH17" i="16"/>
  <c r="AH15" i="16"/>
  <c r="AH13" i="16"/>
  <c r="AF338" i="16"/>
  <c r="AG274" i="16"/>
  <c r="AG57" i="16"/>
  <c r="AG60" i="16"/>
  <c r="AG59" i="16"/>
  <c r="AG376" i="16"/>
  <c r="AG335" i="16"/>
  <c r="AG361" i="16"/>
  <c r="AG363" i="16" s="1"/>
  <c r="AG365" i="16" s="1"/>
  <c r="AG221" i="16"/>
  <c r="AG45" i="16"/>
  <c r="AG78" i="16"/>
  <c r="AG55" i="16"/>
  <c r="AG256" i="16"/>
  <c r="AG12" i="16"/>
  <c r="AG208" i="16"/>
  <c r="AG179" i="16"/>
  <c r="AG322" i="16"/>
  <c r="AI32" i="16"/>
  <c r="AH334" i="16"/>
  <c r="AH359" i="16"/>
  <c r="AH256" i="16"/>
  <c r="AH335" i="16"/>
  <c r="AH59" i="16"/>
  <c r="AH61" i="16"/>
  <c r="AH60" i="16"/>
  <c r="AH20" i="16"/>
  <c r="AH56" i="16"/>
  <c r="AH14" i="16"/>
  <c r="AH192" i="16"/>
  <c r="AH58" i="16"/>
  <c r="AH193" i="16"/>
  <c r="AH219" i="16"/>
  <c r="AH189" i="16"/>
  <c r="AH221" i="16"/>
  <c r="AH361" i="16"/>
  <c r="AG18" i="16"/>
  <c r="AG235" i="16"/>
  <c r="AG218" i="16"/>
  <c r="AG56" i="16"/>
  <c r="AG61" i="16"/>
  <c r="AG349" i="16"/>
  <c r="AG332" i="16"/>
  <c r="AI302" i="16"/>
  <c r="AI299" i="16"/>
  <c r="AI303" i="16"/>
  <c r="AI301" i="16"/>
  <c r="AI300" i="16"/>
  <c r="AE121" i="15"/>
  <c r="AF30" i="15"/>
  <c r="AF29" i="15"/>
  <c r="AF28" i="15"/>
  <c r="AF27" i="15"/>
  <c r="AF26" i="15"/>
  <c r="AF25" i="15"/>
  <c r="AF24" i="15"/>
  <c r="AF23" i="15"/>
  <c r="AF22" i="15"/>
  <c r="AE39" i="15"/>
  <c r="AE41" i="15" s="1"/>
  <c r="AF19" i="15"/>
  <c r="AF21" i="15"/>
  <c r="AF13" i="15"/>
  <c r="AF18" i="15"/>
  <c r="AF20" i="15"/>
  <c r="AF15" i="15"/>
  <c r="AF17" i="15"/>
  <c r="AF16" i="15"/>
  <c r="AF14" i="15"/>
  <c r="AF12" i="15"/>
  <c r="AF38" i="15"/>
  <c r="AF37" i="15"/>
  <c r="AF11" i="15"/>
  <c r="AF32" i="15"/>
  <c r="AF35" i="15"/>
  <c r="AF36" i="15"/>
  <c r="AF10" i="15"/>
  <c r="AF9" i="15"/>
  <c r="AF34" i="15"/>
  <c r="AF33" i="15"/>
  <c r="AG8" i="15"/>
  <c r="AF31" i="15"/>
  <c r="AI298" i="16"/>
  <c r="AF131" i="16"/>
  <c r="AH305" i="16"/>
  <c r="AH307" i="16" s="1"/>
  <c r="AG194" i="16"/>
  <c r="AG196" i="16" s="1"/>
  <c r="AJ54" i="16"/>
  <c r="AI87" i="16"/>
  <c r="AI269" i="16"/>
  <c r="AI267" i="16"/>
  <c r="AI266" i="16"/>
  <c r="AI272" i="16" s="1"/>
  <c r="AJ244" i="16"/>
  <c r="AJ270" i="16" s="1"/>
  <c r="AI297" i="16"/>
  <c r="AI268" i="16"/>
  <c r="AI245" i="16"/>
  <c r="AI246" i="16" s="1"/>
  <c r="AI248" i="16" s="1"/>
  <c r="AI304" i="16"/>
  <c r="AH360" i="16"/>
  <c r="AH362" i="16"/>
  <c r="AH190" i="16"/>
  <c r="AI188" i="16"/>
  <c r="AI11" i="16"/>
  <c r="AH21" i="16"/>
  <c r="A23" i="14"/>
  <c r="AH47" i="15"/>
  <c r="AJ217" i="16"/>
  <c r="AI23" i="16" l="1"/>
  <c r="AI22" i="16"/>
  <c r="F21" i="13"/>
  <c r="C21" i="13"/>
  <c r="A22" i="13"/>
  <c r="AH129" i="16"/>
  <c r="AI115" i="16"/>
  <c r="AI112" i="16"/>
  <c r="AI98" i="16"/>
  <c r="AI96" i="16"/>
  <c r="AI88" i="16"/>
  <c r="AI91" i="16"/>
  <c r="AI89" i="16"/>
  <c r="AI113" i="16"/>
  <c r="AI100" i="16"/>
  <c r="AI97" i="16"/>
  <c r="AI102" i="16"/>
  <c r="AI114" i="16"/>
  <c r="AI111" i="16"/>
  <c r="AI99" i="16"/>
  <c r="AI94" i="16"/>
  <c r="AI93" i="16"/>
  <c r="AI90" i="16"/>
  <c r="AI105" i="16"/>
  <c r="AI103" i="16"/>
  <c r="AI110" i="16"/>
  <c r="AI116" i="16"/>
  <c r="AI117" i="16"/>
  <c r="AI118" i="16"/>
  <c r="AI123" i="16"/>
  <c r="AI124" i="16"/>
  <c r="AI128" i="16"/>
  <c r="AI95" i="16"/>
  <c r="AI104" i="16"/>
  <c r="AI107" i="16"/>
  <c r="AI119" i="16"/>
  <c r="AI120" i="16"/>
  <c r="AI125" i="16"/>
  <c r="AI92" i="16"/>
  <c r="AI106" i="16"/>
  <c r="AI121" i="16"/>
  <c r="AI108" i="16"/>
  <c r="AI126" i="16"/>
  <c r="AI109" i="16"/>
  <c r="AI101" i="16"/>
  <c r="AI122" i="16"/>
  <c r="AI127" i="16"/>
  <c r="AG24" i="16"/>
  <c r="AG26" i="16" s="1"/>
  <c r="AH119" i="15"/>
  <c r="AH103" i="15"/>
  <c r="AH99" i="15"/>
  <c r="AH73" i="15"/>
  <c r="AH51" i="15"/>
  <c r="AH97" i="15"/>
  <c r="AH62" i="15"/>
  <c r="AH49" i="15"/>
  <c r="AH111" i="15"/>
  <c r="AH102" i="15"/>
  <c r="AH98" i="15"/>
  <c r="AH106" i="15"/>
  <c r="AH82" i="15"/>
  <c r="AH120" i="15"/>
  <c r="AH61" i="15"/>
  <c r="AH63" i="15"/>
  <c r="AH100" i="15"/>
  <c r="AH95" i="15"/>
  <c r="AH54" i="15"/>
  <c r="AH118" i="15"/>
  <c r="AH53" i="15"/>
  <c r="AH57" i="15"/>
  <c r="AH81" i="15"/>
  <c r="AH56" i="15"/>
  <c r="AH104" i="15"/>
  <c r="AH67" i="15"/>
  <c r="AH91" i="15"/>
  <c r="AH101" i="15"/>
  <c r="AH107" i="15"/>
  <c r="AH66" i="15"/>
  <c r="AH65" i="15"/>
  <c r="AH85" i="15"/>
  <c r="AH89" i="15"/>
  <c r="AH109" i="15"/>
  <c r="AH52" i="15"/>
  <c r="AH58" i="15"/>
  <c r="AH64" i="15"/>
  <c r="AH68" i="15"/>
  <c r="AH80" i="15"/>
  <c r="AH59" i="15"/>
  <c r="AH71" i="15"/>
  <c r="AH79" i="15"/>
  <c r="AH83" i="15"/>
  <c r="AH93" i="15"/>
  <c r="AH92" i="15"/>
  <c r="AH50" i="15"/>
  <c r="AH70" i="15"/>
  <c r="AH74" i="15"/>
  <c r="AH78" i="15"/>
  <c r="AH69" i="15"/>
  <c r="AH77" i="15"/>
  <c r="AH105" i="15"/>
  <c r="AH113" i="15"/>
  <c r="AH60" i="15"/>
  <c r="AH72" i="15"/>
  <c r="AH96" i="15"/>
  <c r="AH75" i="15"/>
  <c r="AH87" i="15"/>
  <c r="AH114" i="15"/>
  <c r="AH76" i="15"/>
  <c r="AH84" i="15"/>
  <c r="AH94" i="15"/>
  <c r="AH108" i="15"/>
  <c r="AH110" i="15"/>
  <c r="AH115" i="15"/>
  <c r="AH90" i="15"/>
  <c r="AH116" i="15"/>
  <c r="AH86" i="15"/>
  <c r="AH117" i="15"/>
  <c r="AH88" i="15"/>
  <c r="AH112" i="15"/>
  <c r="AH55" i="15"/>
  <c r="AH48" i="15"/>
  <c r="AG336" i="16"/>
  <c r="AG338" i="16" s="1"/>
  <c r="AI18" i="16"/>
  <c r="AI334" i="16"/>
  <c r="AI21" i="16"/>
  <c r="AI19" i="16"/>
  <c r="AI15" i="16"/>
  <c r="AI13" i="16"/>
  <c r="AI359" i="16"/>
  <c r="AH208" i="16"/>
  <c r="AH274" i="16"/>
  <c r="AG222" i="16"/>
  <c r="AG224" i="16" s="1"/>
  <c r="AH235" i="16"/>
  <c r="AH218" i="16"/>
  <c r="AH349" i="16"/>
  <c r="AH332" i="16"/>
  <c r="AH333" i="16"/>
  <c r="AH376" i="16"/>
  <c r="AJ32" i="16"/>
  <c r="AI335" i="16"/>
  <c r="AI333" i="16"/>
  <c r="AI361" i="16"/>
  <c r="AI256" i="16"/>
  <c r="AI59" i="16"/>
  <c r="AI17" i="16"/>
  <c r="AI220" i="16"/>
  <c r="AI57" i="16"/>
  <c r="AI192" i="16"/>
  <c r="AI60" i="16"/>
  <c r="AI219" i="16"/>
  <c r="AI58" i="16"/>
  <c r="AI221" i="16"/>
  <c r="AI189" i="16"/>
  <c r="AI193" i="16"/>
  <c r="AH220" i="16"/>
  <c r="AG62" i="16"/>
  <c r="AG64" i="16" s="1"/>
  <c r="AH45" i="16"/>
  <c r="AH78" i="16"/>
  <c r="AH55" i="16"/>
  <c r="AH62" i="16" s="1"/>
  <c r="AH179" i="16"/>
  <c r="AH322" i="16"/>
  <c r="AH12" i="16"/>
  <c r="AH24" i="16" s="1"/>
  <c r="AJ303" i="16"/>
  <c r="AJ302" i="16"/>
  <c r="AJ301" i="16"/>
  <c r="AJ300" i="16"/>
  <c r="AJ299" i="16"/>
  <c r="AF121" i="15"/>
  <c r="AG30" i="15"/>
  <c r="AG27" i="15"/>
  <c r="AG24" i="15"/>
  <c r="AG26" i="15"/>
  <c r="AG22" i="15"/>
  <c r="AG29" i="15"/>
  <c r="AG23" i="15"/>
  <c r="AG28" i="15"/>
  <c r="AG25" i="15"/>
  <c r="AF39" i="15"/>
  <c r="AF41" i="15" s="1"/>
  <c r="AG13" i="15"/>
  <c r="AG19" i="15"/>
  <c r="AG12" i="15"/>
  <c r="AG15" i="15"/>
  <c r="AG20" i="15"/>
  <c r="AG21" i="15"/>
  <c r="AG17" i="15"/>
  <c r="AG14" i="15"/>
  <c r="AG16" i="15"/>
  <c r="AG18" i="15"/>
  <c r="AG33" i="15"/>
  <c r="AH8" i="15"/>
  <c r="AG32" i="15"/>
  <c r="AG11" i="15"/>
  <c r="AG10" i="15"/>
  <c r="AG35" i="15"/>
  <c r="AG9" i="15"/>
  <c r="AG34" i="15"/>
  <c r="AG31" i="15"/>
  <c r="AG37" i="15"/>
  <c r="AG38" i="15"/>
  <c r="AG36" i="15"/>
  <c r="AJ298" i="16"/>
  <c r="AG131" i="16"/>
  <c r="AK54" i="16"/>
  <c r="AH194" i="16"/>
  <c r="AH196" i="16" s="1"/>
  <c r="AK217" i="16"/>
  <c r="AI305" i="16"/>
  <c r="AI307" i="16" s="1"/>
  <c r="AH363" i="16"/>
  <c r="AH365" i="16" s="1"/>
  <c r="AI47" i="15"/>
  <c r="A24" i="14"/>
  <c r="AI20" i="16"/>
  <c r="AI16" i="16"/>
  <c r="AI14" i="16"/>
  <c r="AJ11" i="16"/>
  <c r="AI360" i="16"/>
  <c r="AI362" i="16"/>
  <c r="AI191" i="16"/>
  <c r="AJ188" i="16"/>
  <c r="AI190" i="16"/>
  <c r="AJ297" i="16"/>
  <c r="AJ268" i="16"/>
  <c r="AJ245" i="16"/>
  <c r="AJ246" i="16" s="1"/>
  <c r="AJ248" i="16" s="1"/>
  <c r="AJ304" i="16"/>
  <c r="AJ269" i="16"/>
  <c r="AJ267" i="16"/>
  <c r="AJ266" i="16"/>
  <c r="AJ272" i="16" s="1"/>
  <c r="AK244" i="16"/>
  <c r="AK270" i="16" s="1"/>
  <c r="AJ87" i="16"/>
  <c r="AI129" i="16" l="1"/>
  <c r="AJ23" i="16"/>
  <c r="AJ22" i="16"/>
  <c r="AJ103" i="16"/>
  <c r="AJ92" i="16"/>
  <c r="AJ99" i="16"/>
  <c r="AJ95" i="16"/>
  <c r="AJ94" i="16"/>
  <c r="AJ93" i="16"/>
  <c r="AJ90" i="16"/>
  <c r="AJ91" i="16"/>
  <c r="AJ98" i="16"/>
  <c r="AJ105" i="16"/>
  <c r="AJ88" i="16"/>
  <c r="AJ97" i="16"/>
  <c r="AJ101" i="16"/>
  <c r="AJ104" i="16"/>
  <c r="AJ107" i="16"/>
  <c r="AJ114" i="16"/>
  <c r="AJ119" i="16"/>
  <c r="AJ120" i="16"/>
  <c r="AJ125" i="16"/>
  <c r="AJ96" i="16"/>
  <c r="AJ100" i="16"/>
  <c r="AJ102" i="16"/>
  <c r="AJ106" i="16"/>
  <c r="AJ108" i="16"/>
  <c r="AJ113" i="16"/>
  <c r="AJ121" i="16"/>
  <c r="AJ126" i="16"/>
  <c r="AJ122" i="16"/>
  <c r="AJ109" i="16"/>
  <c r="AJ112" i="16"/>
  <c r="AJ127" i="16"/>
  <c r="AJ115" i="16"/>
  <c r="AJ117" i="16"/>
  <c r="AJ128" i="16"/>
  <c r="AJ89" i="16"/>
  <c r="AJ124" i="16"/>
  <c r="AJ110" i="16"/>
  <c r="AJ116" i="16"/>
  <c r="AJ118" i="16"/>
  <c r="AJ111" i="16"/>
  <c r="AJ123" i="16"/>
  <c r="F22" i="13"/>
  <c r="C22" i="13"/>
  <c r="A23" i="13"/>
  <c r="AH26" i="16"/>
  <c r="AI120" i="15"/>
  <c r="AI106" i="15"/>
  <c r="AI100" i="15"/>
  <c r="AI94" i="15"/>
  <c r="AI82" i="15"/>
  <c r="AI61" i="15"/>
  <c r="AI58" i="15"/>
  <c r="AI111" i="15"/>
  <c r="AI110" i="15"/>
  <c r="AI102" i="15"/>
  <c r="AI101" i="15"/>
  <c r="AI98" i="15"/>
  <c r="AI92" i="15"/>
  <c r="AI63" i="15"/>
  <c r="AI119" i="15"/>
  <c r="AI103" i="15"/>
  <c r="AI99" i="15"/>
  <c r="AI62" i="15"/>
  <c r="AI95" i="15"/>
  <c r="AI49" i="15"/>
  <c r="AI93" i="15"/>
  <c r="AI73" i="15"/>
  <c r="AI97" i="15"/>
  <c r="AI51" i="15"/>
  <c r="AI78" i="15"/>
  <c r="AI90" i="15"/>
  <c r="AI89" i="15"/>
  <c r="AI113" i="15"/>
  <c r="AI60" i="15"/>
  <c r="AI84" i="15"/>
  <c r="AI88" i="15"/>
  <c r="AI59" i="15"/>
  <c r="AI79" i="15"/>
  <c r="AI107" i="15"/>
  <c r="AI115" i="15"/>
  <c r="AI54" i="15"/>
  <c r="AI70" i="15"/>
  <c r="AI53" i="15"/>
  <c r="AI57" i="15"/>
  <c r="AI69" i="15"/>
  <c r="AI56" i="15"/>
  <c r="AI116" i="15"/>
  <c r="AI67" i="15"/>
  <c r="AI75" i="15"/>
  <c r="AI87" i="15"/>
  <c r="AI66" i="15"/>
  <c r="AI86" i="15"/>
  <c r="AI65" i="15"/>
  <c r="AI81" i="15"/>
  <c r="AI109" i="15"/>
  <c r="AI117" i="15"/>
  <c r="AI52" i="15"/>
  <c r="AI50" i="15"/>
  <c r="AI74" i="15"/>
  <c r="AI85" i="15"/>
  <c r="AI80" i="15"/>
  <c r="AI104" i="15"/>
  <c r="AI108" i="15"/>
  <c r="AI55" i="15"/>
  <c r="AI105" i="15"/>
  <c r="AI68" i="15"/>
  <c r="AI72" i="15"/>
  <c r="AI118" i="15"/>
  <c r="AI77" i="15"/>
  <c r="AI64" i="15"/>
  <c r="AI112" i="15"/>
  <c r="AI71" i="15"/>
  <c r="AI91" i="15"/>
  <c r="AI114" i="15"/>
  <c r="AI76" i="15"/>
  <c r="AI96" i="15"/>
  <c r="AI83" i="15"/>
  <c r="AI48" i="15"/>
  <c r="AJ208" i="16"/>
  <c r="AI376" i="16"/>
  <c r="AH64" i="16"/>
  <c r="AI56" i="16"/>
  <c r="AI179" i="16"/>
  <c r="AK32" i="16"/>
  <c r="AJ335" i="16"/>
  <c r="AJ333" i="16"/>
  <c r="AJ59" i="16"/>
  <c r="AJ61" i="16"/>
  <c r="AJ56" i="16"/>
  <c r="AJ221" i="16"/>
  <c r="AJ58" i="16"/>
  <c r="AI12" i="16"/>
  <c r="AI24" i="16" s="1"/>
  <c r="AJ361" i="16"/>
  <c r="AJ12" i="16"/>
  <c r="AI208" i="16"/>
  <c r="AI61" i="16"/>
  <c r="AI322" i="16"/>
  <c r="AI235" i="16"/>
  <c r="AI218" i="16"/>
  <c r="AI222" i="16" s="1"/>
  <c r="AI349" i="16"/>
  <c r="AI332" i="16"/>
  <c r="AI336" i="16" s="1"/>
  <c r="AH336" i="16"/>
  <c r="AH338" i="16" s="1"/>
  <c r="AH222" i="16"/>
  <c r="AH224" i="16" s="1"/>
  <c r="AI274" i="16"/>
  <c r="AI45" i="16"/>
  <c r="AI78" i="16"/>
  <c r="AI55" i="16"/>
  <c r="AK303" i="16"/>
  <c r="AK302" i="16"/>
  <c r="AK301" i="16"/>
  <c r="AK300" i="16"/>
  <c r="AK299" i="16"/>
  <c r="AG121" i="15"/>
  <c r="AH30" i="15"/>
  <c r="AH28" i="15"/>
  <c r="AH25" i="15"/>
  <c r="AH23" i="15"/>
  <c r="AH29" i="15"/>
  <c r="AH27" i="15"/>
  <c r="AH26" i="15"/>
  <c r="AH24" i="15"/>
  <c r="AH22" i="15"/>
  <c r="AG39" i="15"/>
  <c r="AG41" i="15" s="1"/>
  <c r="AH19" i="15"/>
  <c r="AH13" i="15"/>
  <c r="AH18" i="15"/>
  <c r="AH15" i="15"/>
  <c r="AH17" i="15"/>
  <c r="AH20" i="15"/>
  <c r="AH16" i="15"/>
  <c r="AH12" i="15"/>
  <c r="AH21" i="15"/>
  <c r="AH14" i="15"/>
  <c r="AH34" i="15"/>
  <c r="AH33" i="15"/>
  <c r="AH32" i="15"/>
  <c r="AI8" i="15"/>
  <c r="AH10" i="15"/>
  <c r="AH31" i="15"/>
  <c r="AH37" i="15"/>
  <c r="AH38" i="15"/>
  <c r="AH11" i="15"/>
  <c r="AH36" i="15"/>
  <c r="AH35" i="15"/>
  <c r="AH9" i="15"/>
  <c r="AK298" i="16"/>
  <c r="AH131" i="16"/>
  <c r="AJ305" i="16"/>
  <c r="AJ307" i="16" s="1"/>
  <c r="AL54" i="16"/>
  <c r="AL217" i="16"/>
  <c r="AJ47" i="15"/>
  <c r="AK268" i="16"/>
  <c r="AK245" i="16"/>
  <c r="AK246" i="16" s="1"/>
  <c r="AK248" i="16" s="1"/>
  <c r="AK304" i="16"/>
  <c r="AK269" i="16"/>
  <c r="AK267" i="16"/>
  <c r="AK266" i="16"/>
  <c r="AL244" i="16"/>
  <c r="AL270" i="16" s="1"/>
  <c r="AK297" i="16"/>
  <c r="AK11" i="16"/>
  <c r="AJ21" i="16"/>
  <c r="AJ19" i="16"/>
  <c r="AJ17" i="16"/>
  <c r="AJ15" i="16"/>
  <c r="AJ13" i="16"/>
  <c r="AJ20" i="16"/>
  <c r="AJ18" i="16"/>
  <c r="AJ16" i="16"/>
  <c r="AJ14" i="16"/>
  <c r="AI194" i="16"/>
  <c r="AI196" i="16" s="1"/>
  <c r="AK87" i="16"/>
  <c r="AJ362" i="16"/>
  <c r="AJ359" i="16"/>
  <c r="AJ360" i="16"/>
  <c r="AJ193" i="16"/>
  <c r="AJ189" i="16"/>
  <c r="AK188" i="16"/>
  <c r="AJ192" i="16"/>
  <c r="AJ190" i="16"/>
  <c r="AI363" i="16"/>
  <c r="AI365" i="16" s="1"/>
  <c r="A25" i="14"/>
  <c r="AK90" i="16" l="1"/>
  <c r="AK88" i="16"/>
  <c r="AK95" i="16"/>
  <c r="AK96" i="16"/>
  <c r="AK89" i="16"/>
  <c r="AK103" i="16"/>
  <c r="AK106" i="16"/>
  <c r="AK91" i="16"/>
  <c r="AK93" i="16"/>
  <c r="AK94" i="16"/>
  <c r="AK97" i="16"/>
  <c r="AK99" i="16"/>
  <c r="AK101" i="16"/>
  <c r="AK104" i="16"/>
  <c r="AK100" i="16"/>
  <c r="AK102" i="16"/>
  <c r="AK108" i="16"/>
  <c r="AK113" i="16"/>
  <c r="AK121" i="16"/>
  <c r="AK126" i="16"/>
  <c r="AK98" i="16"/>
  <c r="AK105" i="16"/>
  <c r="AK109" i="16"/>
  <c r="AK112" i="16"/>
  <c r="AK122" i="16"/>
  <c r="AK127" i="16"/>
  <c r="AK111" i="16"/>
  <c r="AK123" i="16"/>
  <c r="AK124" i="16"/>
  <c r="AK92" i="16"/>
  <c r="AK110" i="16"/>
  <c r="AK115" i="16"/>
  <c r="AK116" i="16"/>
  <c r="AK117" i="16"/>
  <c r="AK118" i="16"/>
  <c r="AK128" i="16"/>
  <c r="AK119" i="16"/>
  <c r="AK107" i="16"/>
  <c r="AK120" i="16"/>
  <c r="AK114" i="16"/>
  <c r="AK125" i="16"/>
  <c r="AK272" i="16"/>
  <c r="AK22" i="16"/>
  <c r="AK23" i="16"/>
  <c r="AI26" i="16"/>
  <c r="F23" i="13"/>
  <c r="C23" i="13"/>
  <c r="A24" i="13"/>
  <c r="AJ129" i="16"/>
  <c r="AJ191" i="16"/>
  <c r="AJ194" i="16" s="1"/>
  <c r="AJ196" i="16" s="1"/>
  <c r="AJ97" i="15"/>
  <c r="AJ95" i="15"/>
  <c r="AJ62" i="15"/>
  <c r="AJ49" i="15"/>
  <c r="AJ119" i="15"/>
  <c r="AJ103" i="15"/>
  <c r="AJ99" i="15"/>
  <c r="AJ93" i="15"/>
  <c r="AJ73" i="15"/>
  <c r="AJ51" i="15"/>
  <c r="AJ120" i="15"/>
  <c r="AJ106" i="15"/>
  <c r="AJ100" i="15"/>
  <c r="AJ101" i="15"/>
  <c r="AJ98" i="15"/>
  <c r="AJ110" i="15"/>
  <c r="AJ102" i="15"/>
  <c r="AJ111" i="15"/>
  <c r="AJ92" i="15"/>
  <c r="AJ63" i="15"/>
  <c r="AJ58" i="15"/>
  <c r="AJ61" i="15"/>
  <c r="AJ94" i="15"/>
  <c r="AJ82" i="15"/>
  <c r="AJ69" i="15"/>
  <c r="AJ76" i="15"/>
  <c r="AJ55" i="15"/>
  <c r="AJ79" i="15"/>
  <c r="AJ70" i="15"/>
  <c r="AJ60" i="15"/>
  <c r="AJ84" i="15"/>
  <c r="AJ88" i="15"/>
  <c r="AJ108" i="15"/>
  <c r="AJ67" i="15"/>
  <c r="AJ71" i="15"/>
  <c r="AJ87" i="15"/>
  <c r="AJ107" i="15"/>
  <c r="AJ115" i="15"/>
  <c r="AJ50" i="15"/>
  <c r="AJ54" i="15"/>
  <c r="AJ86" i="15"/>
  <c r="AJ90" i="15"/>
  <c r="AJ114" i="15"/>
  <c r="AJ118" i="15"/>
  <c r="AJ53" i="15"/>
  <c r="AJ57" i="15"/>
  <c r="AJ65" i="15"/>
  <c r="AJ77" i="15"/>
  <c r="AJ81" i="15"/>
  <c r="AJ85" i="15"/>
  <c r="AJ89" i="15"/>
  <c r="AJ105" i="15"/>
  <c r="AJ109" i="15"/>
  <c r="AJ113" i="15"/>
  <c r="AJ117" i="15"/>
  <c r="AJ52" i="15"/>
  <c r="AJ56" i="15"/>
  <c r="AJ64" i="15"/>
  <c r="AJ68" i="15"/>
  <c r="AJ116" i="15"/>
  <c r="AJ104" i="15"/>
  <c r="AJ59" i="15"/>
  <c r="AJ75" i="15"/>
  <c r="AJ83" i="15"/>
  <c r="AJ66" i="15"/>
  <c r="AJ78" i="15"/>
  <c r="AJ96" i="15"/>
  <c r="AJ112" i="15"/>
  <c r="AJ91" i="15"/>
  <c r="AJ74" i="15"/>
  <c r="AJ72" i="15"/>
  <c r="AJ80" i="15"/>
  <c r="AJ48" i="15"/>
  <c r="AI62" i="16"/>
  <c r="AI64" i="16" s="1"/>
  <c r="AK19" i="16"/>
  <c r="AK17" i="16"/>
  <c r="AK59" i="16"/>
  <c r="AK58" i="16"/>
  <c r="AK57" i="16"/>
  <c r="AK56" i="16"/>
  <c r="AK20" i="16"/>
  <c r="AK18" i="16"/>
  <c r="AK16" i="16"/>
  <c r="AK14" i="16"/>
  <c r="AK12" i="16"/>
  <c r="AJ78" i="16"/>
  <c r="AJ55" i="16"/>
  <c r="AJ376" i="16"/>
  <c r="AI338" i="16"/>
  <c r="AJ220" i="16"/>
  <c r="AJ179" i="16"/>
  <c r="AJ57" i="16"/>
  <c r="AJ256" i="16"/>
  <c r="AL32" i="16"/>
  <c r="AK334" i="16"/>
  <c r="AK256" i="16"/>
  <c r="AK60" i="16"/>
  <c r="AK219" i="16"/>
  <c r="AK193" i="16"/>
  <c r="AK220" i="16"/>
  <c r="AK361" i="16"/>
  <c r="AI224" i="16"/>
  <c r="AJ219" i="16"/>
  <c r="AJ274" i="16"/>
  <c r="AJ235" i="16"/>
  <c r="AJ218" i="16"/>
  <c r="AJ60" i="16"/>
  <c r="AJ322" i="16"/>
  <c r="AJ45" i="16"/>
  <c r="AJ334" i="16"/>
  <c r="AJ349" i="16"/>
  <c r="AJ332" i="16"/>
  <c r="AL299" i="16"/>
  <c r="AL303" i="16"/>
  <c r="AL302" i="16"/>
  <c r="AL301" i="16"/>
  <c r="AL300" i="16"/>
  <c r="AH121" i="15"/>
  <c r="AI29" i="15"/>
  <c r="AI27" i="15"/>
  <c r="AI26" i="15"/>
  <c r="AI24" i="15"/>
  <c r="AI23" i="15"/>
  <c r="AI30" i="15"/>
  <c r="AI28" i="15"/>
  <c r="AI25" i="15"/>
  <c r="AI22" i="15"/>
  <c r="AH39" i="15"/>
  <c r="AH41" i="15" s="1"/>
  <c r="AI15" i="15"/>
  <c r="AI20" i="15"/>
  <c r="AI18" i="15"/>
  <c r="AI16" i="15"/>
  <c r="AI14" i="15"/>
  <c r="AI12" i="15"/>
  <c r="AI17" i="15"/>
  <c r="AI19" i="15"/>
  <c r="AI21" i="15"/>
  <c r="AI13" i="15"/>
  <c r="AI37" i="15"/>
  <c r="AI33" i="15"/>
  <c r="AJ8" i="15"/>
  <c r="AI36" i="15"/>
  <c r="AI10" i="15"/>
  <c r="AI31" i="15"/>
  <c r="AI34" i="15"/>
  <c r="AI38" i="15"/>
  <c r="AI11" i="15"/>
  <c r="AI32" i="15"/>
  <c r="AI9" i="15"/>
  <c r="AI35" i="15"/>
  <c r="AL298" i="16"/>
  <c r="AI131" i="16"/>
  <c r="AM54" i="16"/>
  <c r="AK362" i="16"/>
  <c r="AK359" i="16"/>
  <c r="AK360" i="16"/>
  <c r="AL188" i="16"/>
  <c r="AK192" i="16"/>
  <c r="AK190" i="16"/>
  <c r="AK191" i="16"/>
  <c r="AK189" i="16"/>
  <c r="AJ24" i="16"/>
  <c r="AJ26" i="16" s="1"/>
  <c r="AK305" i="16"/>
  <c r="AK307" i="16" s="1"/>
  <c r="AL87" i="16"/>
  <c r="AK21" i="16"/>
  <c r="AK15" i="16"/>
  <c r="AK13" i="16"/>
  <c r="AL11" i="16"/>
  <c r="AK47" i="15"/>
  <c r="AM217" i="16"/>
  <c r="A26" i="14"/>
  <c r="AJ363" i="16"/>
  <c r="AJ365" i="16" s="1"/>
  <c r="AL304" i="16"/>
  <c r="AL269" i="16"/>
  <c r="AL267" i="16"/>
  <c r="AL266" i="16"/>
  <c r="AM244" i="16"/>
  <c r="AM270" i="16" s="1"/>
  <c r="AL297" i="16"/>
  <c r="AL268" i="16"/>
  <c r="AL245" i="16"/>
  <c r="AL246" i="16" s="1"/>
  <c r="AL248" i="16" s="1"/>
  <c r="AL89" i="16" l="1"/>
  <c r="AL91" i="16"/>
  <c r="AL93" i="16"/>
  <c r="AL94" i="16"/>
  <c r="AL92" i="16"/>
  <c r="AL97" i="16"/>
  <c r="AL99" i="16"/>
  <c r="AL101" i="16"/>
  <c r="AL104" i="16"/>
  <c r="AL98" i="16"/>
  <c r="AL100" i="16"/>
  <c r="AL102" i="16"/>
  <c r="AL105" i="16"/>
  <c r="AL106" i="16"/>
  <c r="AL109" i="16"/>
  <c r="AL112" i="16"/>
  <c r="AL122" i="16"/>
  <c r="AL127" i="16"/>
  <c r="AL88" i="16"/>
  <c r="AL96" i="16"/>
  <c r="AL110" i="16"/>
  <c r="AL111" i="16"/>
  <c r="AL115" i="16"/>
  <c r="AL116" i="16"/>
  <c r="AL117" i="16"/>
  <c r="AL118" i="16"/>
  <c r="AL123" i="16"/>
  <c r="AL124" i="16"/>
  <c r="AL128" i="16"/>
  <c r="AL90" i="16"/>
  <c r="AL107" i="16"/>
  <c r="AL114" i="16"/>
  <c r="AL125" i="16"/>
  <c r="AL119" i="16"/>
  <c r="AL120" i="16"/>
  <c r="AL95" i="16"/>
  <c r="AL121" i="16"/>
  <c r="AL126" i="16"/>
  <c r="AL113" i="16"/>
  <c r="AL103" i="16"/>
  <c r="AL108" i="16"/>
  <c r="F24" i="13"/>
  <c r="C24" i="13"/>
  <c r="A25" i="13"/>
  <c r="AK129" i="16"/>
  <c r="AL23" i="16"/>
  <c r="AL22" i="16"/>
  <c r="AL272" i="16"/>
  <c r="AK111" i="15"/>
  <c r="AK110" i="15"/>
  <c r="AK102" i="15"/>
  <c r="AK101" i="15"/>
  <c r="AK98" i="15"/>
  <c r="AK92" i="15"/>
  <c r="AK63" i="15"/>
  <c r="AK120" i="15"/>
  <c r="AK106" i="15"/>
  <c r="AK100" i="15"/>
  <c r="AK94" i="15"/>
  <c r="AK82" i="15"/>
  <c r="AK61" i="15"/>
  <c r="AK58" i="15"/>
  <c r="AK97" i="15"/>
  <c r="AK95" i="15"/>
  <c r="AK93" i="15"/>
  <c r="AK73" i="15"/>
  <c r="AK51" i="15"/>
  <c r="AK99" i="15"/>
  <c r="AK103" i="15"/>
  <c r="AK119" i="15"/>
  <c r="AK49" i="15"/>
  <c r="AK62" i="15"/>
  <c r="AK70" i="15"/>
  <c r="AK86" i="15"/>
  <c r="AK89" i="15"/>
  <c r="AK105" i="15"/>
  <c r="AK56" i="15"/>
  <c r="AK84" i="15"/>
  <c r="AK88" i="15"/>
  <c r="AK96" i="15"/>
  <c r="AK116" i="15"/>
  <c r="AK67" i="15"/>
  <c r="AK71" i="15"/>
  <c r="AK87" i="15"/>
  <c r="AK53" i="15"/>
  <c r="AK57" i="15"/>
  <c r="AK65" i="15"/>
  <c r="AK108" i="15"/>
  <c r="AK59" i="15"/>
  <c r="AK75" i="15"/>
  <c r="AK115" i="15"/>
  <c r="AK50" i="15"/>
  <c r="AK66" i="15"/>
  <c r="AK74" i="15"/>
  <c r="AK90" i="15"/>
  <c r="AK114" i="15"/>
  <c r="AK68" i="15"/>
  <c r="AK72" i="15"/>
  <c r="AK54" i="15"/>
  <c r="AK118" i="15"/>
  <c r="AK69" i="15"/>
  <c r="AK81" i="15"/>
  <c r="AK64" i="15"/>
  <c r="AK77" i="15"/>
  <c r="AK85" i="15"/>
  <c r="AK109" i="15"/>
  <c r="AK52" i="15"/>
  <c r="AK60" i="15"/>
  <c r="AK80" i="15"/>
  <c r="AK112" i="15"/>
  <c r="AK117" i="15"/>
  <c r="AK76" i="15"/>
  <c r="AK104" i="15"/>
  <c r="AK55" i="15"/>
  <c r="AK83" i="15"/>
  <c r="AK107" i="15"/>
  <c r="AK78" i="15"/>
  <c r="AK113" i="15"/>
  <c r="AK79" i="15"/>
  <c r="AK91" i="15"/>
  <c r="AK48" i="15"/>
  <c r="AL360" i="16"/>
  <c r="AL13" i="16"/>
  <c r="AL58" i="16"/>
  <c r="AL16" i="16"/>
  <c r="AL14" i="16"/>
  <c r="AL219" i="16"/>
  <c r="AL192" i="16"/>
  <c r="AJ222" i="16"/>
  <c r="AJ224" i="16" s="1"/>
  <c r="AK221" i="16"/>
  <c r="AK235" i="16"/>
  <c r="AK218" i="16"/>
  <c r="AK322" i="16"/>
  <c r="AK335" i="16"/>
  <c r="AK333" i="16"/>
  <c r="AK274" i="16"/>
  <c r="AK45" i="16"/>
  <c r="AK349" i="16"/>
  <c r="AK332" i="16"/>
  <c r="AJ336" i="16"/>
  <c r="AJ338" i="16" s="1"/>
  <c r="AK208" i="16"/>
  <c r="AK78" i="16"/>
  <c r="AK55" i="16"/>
  <c r="AK376" i="16"/>
  <c r="AM32" i="16"/>
  <c r="AL334" i="16"/>
  <c r="AL333" i="16"/>
  <c r="AL256" i="16"/>
  <c r="AL335" i="16"/>
  <c r="AL59" i="16"/>
  <c r="AL61" i="16"/>
  <c r="AL60" i="16"/>
  <c r="AL57" i="16"/>
  <c r="AL220" i="16"/>
  <c r="AL56" i="16"/>
  <c r="AL221" i="16"/>
  <c r="AL193" i="16"/>
  <c r="AJ62" i="16"/>
  <c r="AJ64" i="16" s="1"/>
  <c r="AL361" i="16"/>
  <c r="AK179" i="16"/>
  <c r="AK61" i="16"/>
  <c r="AM303" i="16"/>
  <c r="AM302" i="16"/>
  <c r="AM301" i="16"/>
  <c r="AM300" i="16"/>
  <c r="AM299" i="16"/>
  <c r="AI121" i="15"/>
  <c r="AJ30" i="15"/>
  <c r="AJ29" i="15"/>
  <c r="AJ27" i="15"/>
  <c r="AJ25" i="15"/>
  <c r="AJ23" i="15"/>
  <c r="AJ28" i="15"/>
  <c r="AJ26" i="15"/>
  <c r="AJ24" i="15"/>
  <c r="AJ22" i="15"/>
  <c r="AI39" i="15"/>
  <c r="AI41" i="15" s="1"/>
  <c r="AJ16" i="15"/>
  <c r="AJ17" i="15"/>
  <c r="AJ20" i="15"/>
  <c r="AJ18" i="15"/>
  <c r="AJ13" i="15"/>
  <c r="AJ12" i="15"/>
  <c r="AJ19" i="15"/>
  <c r="AJ21" i="15"/>
  <c r="AJ14" i="15"/>
  <c r="AJ15" i="15"/>
  <c r="AJ38" i="15"/>
  <c r="AJ36" i="15"/>
  <c r="AJ10" i="15"/>
  <c r="AJ33" i="15"/>
  <c r="AJ32" i="15"/>
  <c r="AJ31" i="15"/>
  <c r="AJ37" i="15"/>
  <c r="AJ11" i="15"/>
  <c r="AJ34" i="15"/>
  <c r="AJ35" i="15"/>
  <c r="AK8" i="15"/>
  <c r="AJ9" i="15"/>
  <c r="AM298" i="16"/>
  <c r="AJ131" i="16"/>
  <c r="AN54" i="16"/>
  <c r="AK194" i="16"/>
  <c r="AK196" i="16" s="1"/>
  <c r="AL47" i="15"/>
  <c r="AK363" i="16"/>
  <c r="AK365" i="16" s="1"/>
  <c r="AM269" i="16"/>
  <c r="AM267" i="16"/>
  <c r="AM266" i="16"/>
  <c r="AN244" i="16"/>
  <c r="AN270" i="16" s="1"/>
  <c r="AM297" i="16"/>
  <c r="AM268" i="16"/>
  <c r="AM245" i="16"/>
  <c r="AM246" i="16" s="1"/>
  <c r="AM248" i="16" s="1"/>
  <c r="AM304" i="16"/>
  <c r="AK24" i="16"/>
  <c r="AK26" i="16" s="1"/>
  <c r="AM87" i="16"/>
  <c r="AL362" i="16"/>
  <c r="AL359" i="16"/>
  <c r="AL190" i="16"/>
  <c r="AL191" i="16"/>
  <c r="AM188" i="16"/>
  <c r="A27" i="14"/>
  <c r="AN217" i="16"/>
  <c r="AL305" i="16"/>
  <c r="AL307" i="16" s="1"/>
  <c r="AL20" i="16"/>
  <c r="AL18" i="16"/>
  <c r="AM11" i="16"/>
  <c r="AL21" i="16"/>
  <c r="AL19" i="16"/>
  <c r="AL17" i="16"/>
  <c r="AL15" i="16"/>
  <c r="AM23" i="16" l="1"/>
  <c r="AM22" i="16"/>
  <c r="F25" i="13"/>
  <c r="C25" i="13"/>
  <c r="A26" i="13"/>
  <c r="AL129" i="16"/>
  <c r="AM90" i="16"/>
  <c r="AM89" i="16"/>
  <c r="AM95" i="16"/>
  <c r="AM96" i="16"/>
  <c r="AM88" i="16"/>
  <c r="AM93" i="16"/>
  <c r="AM94" i="16"/>
  <c r="AM100" i="16"/>
  <c r="AM102" i="16"/>
  <c r="AM92" i="16"/>
  <c r="AM105" i="16"/>
  <c r="AM98" i="16"/>
  <c r="AM110" i="16"/>
  <c r="AM111" i="16"/>
  <c r="AM115" i="16"/>
  <c r="AM116" i="16"/>
  <c r="AM117" i="16"/>
  <c r="AM118" i="16"/>
  <c r="AM123" i="16"/>
  <c r="AM124" i="16"/>
  <c r="AM128" i="16"/>
  <c r="AM99" i="16"/>
  <c r="AM107" i="16"/>
  <c r="AM114" i="16"/>
  <c r="AM119" i="16"/>
  <c r="AM120" i="16"/>
  <c r="AM125" i="16"/>
  <c r="AM103" i="16"/>
  <c r="AM108" i="16"/>
  <c r="AM126" i="16"/>
  <c r="AM91" i="16"/>
  <c r="AM113" i="16"/>
  <c r="AM121" i="16"/>
  <c r="AM106" i="16"/>
  <c r="AM109" i="16"/>
  <c r="AM112" i="16"/>
  <c r="AM97" i="16"/>
  <c r="AM101" i="16"/>
  <c r="AM104" i="16"/>
  <c r="AM122" i="16"/>
  <c r="AM127" i="16"/>
  <c r="AM272" i="16"/>
  <c r="AL119" i="15"/>
  <c r="AL103" i="15"/>
  <c r="AL99" i="15"/>
  <c r="AL93" i="15"/>
  <c r="AL73" i="15"/>
  <c r="AL51" i="15"/>
  <c r="AL97" i="15"/>
  <c r="AL95" i="15"/>
  <c r="AL62" i="15"/>
  <c r="AL49" i="15"/>
  <c r="AL111" i="15"/>
  <c r="AL110" i="15"/>
  <c r="AL102" i="15"/>
  <c r="AL101" i="15"/>
  <c r="AL98" i="15"/>
  <c r="AL120" i="15"/>
  <c r="AL100" i="15"/>
  <c r="AL94" i="15"/>
  <c r="AL82" i="15"/>
  <c r="AL58" i="15"/>
  <c r="AL106" i="15"/>
  <c r="AL92" i="15"/>
  <c r="AL63" i="15"/>
  <c r="AL114" i="15"/>
  <c r="AL53" i="15"/>
  <c r="AL57" i="15"/>
  <c r="AL65" i="15"/>
  <c r="AL85" i="15"/>
  <c r="AL117" i="15"/>
  <c r="AL52" i="15"/>
  <c r="AL64" i="15"/>
  <c r="AL72" i="15"/>
  <c r="AL76" i="15"/>
  <c r="AL88" i="15"/>
  <c r="AL108" i="15"/>
  <c r="AL59" i="15"/>
  <c r="AL61" i="15"/>
  <c r="AL67" i="15"/>
  <c r="AL79" i="15"/>
  <c r="AL54" i="15"/>
  <c r="AL70" i="15"/>
  <c r="AL74" i="15"/>
  <c r="AL78" i="15"/>
  <c r="AL69" i="15"/>
  <c r="AL77" i="15"/>
  <c r="AL113" i="15"/>
  <c r="AL56" i="15"/>
  <c r="AL68" i="15"/>
  <c r="AL84" i="15"/>
  <c r="AL75" i="15"/>
  <c r="AL87" i="15"/>
  <c r="AL107" i="15"/>
  <c r="AL118" i="15"/>
  <c r="AL89" i="15"/>
  <c r="AL105" i="15"/>
  <c r="AL90" i="15"/>
  <c r="AL109" i="15"/>
  <c r="AL60" i="15"/>
  <c r="AL80" i="15"/>
  <c r="AL66" i="15"/>
  <c r="AL86" i="15"/>
  <c r="AL81" i="15"/>
  <c r="AL104" i="15"/>
  <c r="AL116" i="15"/>
  <c r="AL55" i="15"/>
  <c r="AL71" i="15"/>
  <c r="AL83" i="15"/>
  <c r="AL91" i="15"/>
  <c r="AL96" i="15"/>
  <c r="AL115" i="15"/>
  <c r="AL50" i="15"/>
  <c r="AL112" i="15"/>
  <c r="AL48" i="15"/>
  <c r="AL208" i="16"/>
  <c r="AM57" i="16"/>
  <c r="AM18" i="16"/>
  <c r="AM21" i="16"/>
  <c r="AM19" i="16"/>
  <c r="AM17" i="16"/>
  <c r="AM15" i="16"/>
  <c r="AM13" i="16"/>
  <c r="AK336" i="16"/>
  <c r="AK338" i="16" s="1"/>
  <c r="AK222" i="16"/>
  <c r="AK224" i="16" s="1"/>
  <c r="AL78" i="16"/>
  <c r="AL55" i="16"/>
  <c r="AL62" i="16" s="1"/>
  <c r="AL376" i="16"/>
  <c r="AN32" i="16"/>
  <c r="AM335" i="16"/>
  <c r="AM333" i="16"/>
  <c r="AM334" i="16"/>
  <c r="AM376" i="16"/>
  <c r="AM256" i="16"/>
  <c r="AM59" i="16"/>
  <c r="AM61" i="16"/>
  <c r="AM56" i="16"/>
  <c r="AM60" i="16"/>
  <c r="AM219" i="16"/>
  <c r="AM221" i="16"/>
  <c r="AM220" i="16"/>
  <c r="AM58" i="16"/>
  <c r="AM193" i="16"/>
  <c r="AM361" i="16"/>
  <c r="AM12" i="16"/>
  <c r="AL189" i="16"/>
  <c r="AL194" i="16" s="1"/>
  <c r="AL196" i="16" s="1"/>
  <c r="AL179" i="16"/>
  <c r="AL274" i="16"/>
  <c r="AL45" i="16"/>
  <c r="AL322" i="16"/>
  <c r="AK62" i="16"/>
  <c r="AK64" i="16" s="1"/>
  <c r="AL235" i="16"/>
  <c r="AL218" i="16"/>
  <c r="AL222" i="16" s="1"/>
  <c r="AL349" i="16"/>
  <c r="AL332" i="16"/>
  <c r="AL336" i="16" s="1"/>
  <c r="AL12" i="16"/>
  <c r="AL24" i="16" s="1"/>
  <c r="AL26" i="16" s="1"/>
  <c r="AN303" i="16"/>
  <c r="AN302" i="16"/>
  <c r="AN301" i="16"/>
  <c r="AN300" i="16"/>
  <c r="AN299" i="16"/>
  <c r="AJ121" i="15"/>
  <c r="AK30" i="15"/>
  <c r="AK29" i="15"/>
  <c r="AK28" i="15"/>
  <c r="AK27" i="15"/>
  <c r="AK26" i="15"/>
  <c r="AK25" i="15"/>
  <c r="AK24" i="15"/>
  <c r="AK23" i="15"/>
  <c r="AK22" i="15"/>
  <c r="AK18" i="15"/>
  <c r="AK19" i="15"/>
  <c r="AK21" i="15"/>
  <c r="AK15" i="15"/>
  <c r="AK12" i="15"/>
  <c r="AK16" i="15"/>
  <c r="AK17" i="15"/>
  <c r="AK14" i="15"/>
  <c r="AK20" i="15"/>
  <c r="AK13" i="15"/>
  <c r="AK31" i="15"/>
  <c r="AK36" i="15"/>
  <c r="AK10" i="15"/>
  <c r="AK38" i="15"/>
  <c r="AK11" i="15"/>
  <c r="AK34" i="15"/>
  <c r="AL8" i="15"/>
  <c r="AK37" i="15"/>
  <c r="AK35" i="15"/>
  <c r="AK9" i="15"/>
  <c r="AK32" i="15"/>
  <c r="AK33" i="15"/>
  <c r="AJ39" i="15"/>
  <c r="AJ41" i="15" s="1"/>
  <c r="AN298" i="16"/>
  <c r="AK131" i="16"/>
  <c r="AO54" i="16"/>
  <c r="AM305" i="16"/>
  <c r="AM307" i="16" s="1"/>
  <c r="AM20" i="16"/>
  <c r="AM16" i="16"/>
  <c r="AM14" i="16"/>
  <c r="AN11" i="16"/>
  <c r="A28" i="14"/>
  <c r="AL363" i="16"/>
  <c r="AL365" i="16" s="1"/>
  <c r="AM360" i="16"/>
  <c r="AM362" i="16"/>
  <c r="AM191" i="16"/>
  <c r="AN188" i="16"/>
  <c r="AM192" i="16"/>
  <c r="AM190" i="16"/>
  <c r="AO217" i="16"/>
  <c r="AN87" i="16"/>
  <c r="AN297" i="16"/>
  <c r="AN268" i="16"/>
  <c r="AN245" i="16"/>
  <c r="AN246" i="16" s="1"/>
  <c r="AN248" i="16" s="1"/>
  <c r="AN304" i="16"/>
  <c r="AN269" i="16"/>
  <c r="AN267" i="16"/>
  <c r="AN266" i="16"/>
  <c r="AN272" i="16" s="1"/>
  <c r="AO244" i="16"/>
  <c r="AO270" i="16" s="1"/>
  <c r="AM47" i="15"/>
  <c r="AN91" i="16" l="1"/>
  <c r="AN95" i="16"/>
  <c r="AN88" i="16"/>
  <c r="AN89" i="16"/>
  <c r="AN98" i="16"/>
  <c r="AN103" i="16"/>
  <c r="AN96" i="16"/>
  <c r="AN99" i="16"/>
  <c r="AN114" i="16"/>
  <c r="AN119" i="16"/>
  <c r="AN120" i="16"/>
  <c r="AN125" i="16"/>
  <c r="AN113" i="16"/>
  <c r="AN121" i="16"/>
  <c r="AN126" i="16"/>
  <c r="AN94" i="16"/>
  <c r="AN112" i="16"/>
  <c r="AN127" i="16"/>
  <c r="AN93" i="16"/>
  <c r="AN97" i="16"/>
  <c r="AN101" i="16"/>
  <c r="AN122" i="16"/>
  <c r="AN100" i="16"/>
  <c r="AN111" i="16"/>
  <c r="AN123" i="16"/>
  <c r="AN90" i="16"/>
  <c r="AN102" i="16"/>
  <c r="AN115" i="16"/>
  <c r="AN117" i="16"/>
  <c r="AN128" i="16"/>
  <c r="AN124" i="16"/>
  <c r="AN92" i="16"/>
  <c r="AN116" i="16"/>
  <c r="AN118" i="16"/>
  <c r="AN108" i="16"/>
  <c r="AN107" i="16"/>
  <c r="AN109" i="16"/>
  <c r="AN105" i="16"/>
  <c r="AN106" i="16"/>
  <c r="AN104" i="16"/>
  <c r="AN110" i="16"/>
  <c r="AM129" i="16"/>
  <c r="AN23" i="16"/>
  <c r="AN22" i="16"/>
  <c r="F26" i="13"/>
  <c r="C26" i="13"/>
  <c r="A27" i="13"/>
  <c r="AL338" i="16"/>
  <c r="AM120" i="15"/>
  <c r="AM106" i="15"/>
  <c r="AM100" i="15"/>
  <c r="AM94" i="15"/>
  <c r="AM82" i="15"/>
  <c r="AM58" i="15"/>
  <c r="AM111" i="15"/>
  <c r="AM110" i="15"/>
  <c r="AM102" i="15"/>
  <c r="AM101" i="15"/>
  <c r="AM98" i="15"/>
  <c r="AM92" i="15"/>
  <c r="AM119" i="15"/>
  <c r="AM103" i="15"/>
  <c r="AM99" i="15"/>
  <c r="AM61" i="15"/>
  <c r="AM49" i="15"/>
  <c r="AM95" i="15"/>
  <c r="AM97" i="15"/>
  <c r="AM93" i="15"/>
  <c r="AM73" i="15"/>
  <c r="AM51" i="15"/>
  <c r="AM74" i="15"/>
  <c r="AM69" i="15"/>
  <c r="AM64" i="15"/>
  <c r="AM68" i="15"/>
  <c r="AM72" i="15"/>
  <c r="AM80" i="15"/>
  <c r="AM108" i="15"/>
  <c r="AM59" i="15"/>
  <c r="AM71" i="15"/>
  <c r="AM75" i="15"/>
  <c r="AM87" i="15"/>
  <c r="AM115" i="15"/>
  <c r="AM63" i="15"/>
  <c r="AM66" i="15"/>
  <c r="AM86" i="15"/>
  <c r="AM90" i="15"/>
  <c r="AM114" i="15"/>
  <c r="AM118" i="15"/>
  <c r="AM65" i="15"/>
  <c r="AM77" i="15"/>
  <c r="AM84" i="15"/>
  <c r="AM88" i="15"/>
  <c r="AM96" i="15"/>
  <c r="AM55" i="15"/>
  <c r="AM78" i="15"/>
  <c r="AM81" i="15"/>
  <c r="AM117" i="15"/>
  <c r="AM60" i="15"/>
  <c r="AM62" i="15"/>
  <c r="AM57" i="15"/>
  <c r="AM56" i="15"/>
  <c r="AM112" i="15"/>
  <c r="AM116" i="15"/>
  <c r="AM83" i="15"/>
  <c r="AM91" i="15"/>
  <c r="AM50" i="15"/>
  <c r="AM53" i="15"/>
  <c r="AM113" i="15"/>
  <c r="AM107" i="15"/>
  <c r="AM54" i="15"/>
  <c r="AM70" i="15"/>
  <c r="AM89" i="15"/>
  <c r="AM105" i="15"/>
  <c r="AM109" i="15"/>
  <c r="AM52" i="15"/>
  <c r="AM76" i="15"/>
  <c r="AM85" i="15"/>
  <c r="AM104" i="15"/>
  <c r="AM67" i="15"/>
  <c r="AM79" i="15"/>
  <c r="AM48" i="15"/>
  <c r="AN59" i="16"/>
  <c r="AN20" i="16"/>
  <c r="AN19" i="16"/>
  <c r="AN18" i="16"/>
  <c r="AN16" i="16"/>
  <c r="AN12" i="16"/>
  <c r="AN193" i="16"/>
  <c r="AN189" i="16"/>
  <c r="AM359" i="16"/>
  <c r="AM363" i="16" s="1"/>
  <c r="AM365" i="16" s="1"/>
  <c r="AM208" i="16"/>
  <c r="AM349" i="16"/>
  <c r="AM332" i="16"/>
  <c r="AM336" i="16" s="1"/>
  <c r="AO32" i="16"/>
  <c r="AN334" i="16"/>
  <c r="AN335" i="16"/>
  <c r="AN333" i="16"/>
  <c r="AN256" i="16"/>
  <c r="AN61" i="16"/>
  <c r="AN56" i="16"/>
  <c r="AN191" i="16"/>
  <c r="AN192" i="16"/>
  <c r="AN219" i="16"/>
  <c r="AN57" i="16"/>
  <c r="AN60" i="16"/>
  <c r="AN220" i="16"/>
  <c r="AN13" i="16"/>
  <c r="AN14" i="16"/>
  <c r="AN221" i="16"/>
  <c r="AN58" i="16"/>
  <c r="AN361" i="16"/>
  <c r="AL224" i="16"/>
  <c r="AM189" i="16"/>
  <c r="AM194" i="16" s="1"/>
  <c r="AM196" i="16" s="1"/>
  <c r="AM274" i="16"/>
  <c r="AM235" i="16"/>
  <c r="AM218" i="16"/>
  <c r="AM222" i="16" s="1"/>
  <c r="AM179" i="16"/>
  <c r="AM78" i="16"/>
  <c r="AM55" i="16"/>
  <c r="AM62" i="16" s="1"/>
  <c r="AL64" i="16"/>
  <c r="AM45" i="16"/>
  <c r="AM322" i="16"/>
  <c r="AO303" i="16"/>
  <c r="AO302" i="16"/>
  <c r="AO301" i="16"/>
  <c r="AO300" i="16"/>
  <c r="AO299" i="16"/>
  <c r="AK121" i="15"/>
  <c r="AL29" i="15"/>
  <c r="AL27" i="15"/>
  <c r="AL25" i="15"/>
  <c r="AL24" i="15"/>
  <c r="AL22" i="15"/>
  <c r="AL30" i="15"/>
  <c r="AL28" i="15"/>
  <c r="AL26" i="15"/>
  <c r="AL23" i="15"/>
  <c r="AL13" i="15"/>
  <c r="AL17" i="15"/>
  <c r="AL20" i="15"/>
  <c r="AL16" i="15"/>
  <c r="AL12" i="15"/>
  <c r="AL18" i="15"/>
  <c r="AL15" i="15"/>
  <c r="AL21" i="15"/>
  <c r="AL14" i="15"/>
  <c r="AL19" i="15"/>
  <c r="AM8" i="15"/>
  <c r="AL38" i="15"/>
  <c r="AL11" i="15"/>
  <c r="AL10" i="15"/>
  <c r="AL37" i="15"/>
  <c r="AL36" i="15"/>
  <c r="AL34" i="15"/>
  <c r="AL32" i="15"/>
  <c r="AL35" i="15"/>
  <c r="AL9" i="15"/>
  <c r="AL33" i="15"/>
  <c r="AL31" i="15"/>
  <c r="AK39" i="15"/>
  <c r="AK41" i="15" s="1"/>
  <c r="AO298" i="16"/>
  <c r="AL131" i="16"/>
  <c r="AP54" i="16"/>
  <c r="AN305" i="16"/>
  <c r="AN307" i="16" s="1"/>
  <c r="AP217" i="16"/>
  <c r="AN362" i="16"/>
  <c r="AN359" i="16"/>
  <c r="AN360" i="16"/>
  <c r="AO188" i="16"/>
  <c r="AN190" i="16"/>
  <c r="AM24" i="16"/>
  <c r="AM26" i="16" s="1"/>
  <c r="AN47" i="15"/>
  <c r="AO11" i="16"/>
  <c r="AN21" i="16"/>
  <c r="AN17" i="16"/>
  <c r="AN15" i="16"/>
  <c r="AO268" i="16"/>
  <c r="AO245" i="16"/>
  <c r="AO246" i="16" s="1"/>
  <c r="AO248" i="16" s="1"/>
  <c r="AO304" i="16"/>
  <c r="AO269" i="16"/>
  <c r="AO267" i="16"/>
  <c r="AO266" i="16"/>
  <c r="AP244" i="16"/>
  <c r="AP270" i="16" s="1"/>
  <c r="AO297" i="16"/>
  <c r="AO87" i="16"/>
  <c r="AO272" i="16" l="1"/>
  <c r="F27" i="13"/>
  <c r="C27" i="13"/>
  <c r="A28" i="13"/>
  <c r="AN129" i="16"/>
  <c r="AO97" i="16"/>
  <c r="AO95" i="16"/>
  <c r="AO94" i="16"/>
  <c r="AO93" i="16"/>
  <c r="AO88" i="16"/>
  <c r="AO101" i="16"/>
  <c r="AO98" i="16"/>
  <c r="AO96" i="16"/>
  <c r="AO92" i="16"/>
  <c r="AO90" i="16"/>
  <c r="AO89" i="16"/>
  <c r="AO103" i="16"/>
  <c r="AO105" i="16"/>
  <c r="AO99" i="16"/>
  <c r="AO107" i="16"/>
  <c r="AO113" i="16"/>
  <c r="AO121" i="16"/>
  <c r="AO126" i="16"/>
  <c r="AO108" i="16"/>
  <c r="AO112" i="16"/>
  <c r="AO122" i="16"/>
  <c r="AO127" i="16"/>
  <c r="AO102" i="16"/>
  <c r="AO109" i="16"/>
  <c r="AO115" i="16"/>
  <c r="AO116" i="16"/>
  <c r="AO117" i="16"/>
  <c r="AO118" i="16"/>
  <c r="AO128" i="16"/>
  <c r="AO100" i="16"/>
  <c r="AO104" i="16"/>
  <c r="AO106" i="16"/>
  <c r="AO111" i="16"/>
  <c r="AO123" i="16"/>
  <c r="AO124" i="16"/>
  <c r="AO91" i="16"/>
  <c r="AO114" i="16"/>
  <c r="AO125" i="16"/>
  <c r="AO119" i="16"/>
  <c r="AO110" i="16"/>
  <c r="AO120" i="16"/>
  <c r="AO23" i="16"/>
  <c r="AO22" i="16"/>
  <c r="AM338" i="16"/>
  <c r="AM224" i="16"/>
  <c r="AN95" i="15"/>
  <c r="AN61" i="15"/>
  <c r="AN93" i="15"/>
  <c r="AN63" i="15"/>
  <c r="AN51" i="15"/>
  <c r="AN110" i="15"/>
  <c r="AN92" i="15"/>
  <c r="AN62" i="15"/>
  <c r="AN101" i="15"/>
  <c r="AN94" i="15"/>
  <c r="AN58" i="15"/>
  <c r="AN103" i="15"/>
  <c r="AN100" i="15"/>
  <c r="AN66" i="15"/>
  <c r="AN69" i="15"/>
  <c r="AN80" i="15"/>
  <c r="AN82" i="15"/>
  <c r="AN104" i="15"/>
  <c r="AN106" i="15"/>
  <c r="AN83" i="15"/>
  <c r="AN119" i="15"/>
  <c r="AN50" i="15"/>
  <c r="AN54" i="15"/>
  <c r="AN86" i="15"/>
  <c r="AN90" i="15"/>
  <c r="AN114" i="15"/>
  <c r="AN118" i="15"/>
  <c r="AN53" i="15"/>
  <c r="AN57" i="15"/>
  <c r="AN81" i="15"/>
  <c r="AN85" i="15"/>
  <c r="AN89" i="15"/>
  <c r="AN105" i="15"/>
  <c r="AN109" i="15"/>
  <c r="AN113" i="15"/>
  <c r="AN117" i="15"/>
  <c r="AN52" i="15"/>
  <c r="AN56" i="15"/>
  <c r="AN60" i="15"/>
  <c r="AN72" i="15"/>
  <c r="AN76" i="15"/>
  <c r="AN96" i="15"/>
  <c r="AN98" i="15"/>
  <c r="AN112" i="15"/>
  <c r="AN116" i="15"/>
  <c r="AN49" i="15"/>
  <c r="AN67" i="15"/>
  <c r="AN71" i="15"/>
  <c r="AN91" i="15"/>
  <c r="AN74" i="15"/>
  <c r="AN78" i="15"/>
  <c r="AN70" i="15"/>
  <c r="AN102" i="15"/>
  <c r="AN97" i="15"/>
  <c r="AN111" i="15"/>
  <c r="AN84" i="15"/>
  <c r="AN75" i="15"/>
  <c r="AN107" i="15"/>
  <c r="AN99" i="15"/>
  <c r="AN120" i="15"/>
  <c r="AN68" i="15"/>
  <c r="AN55" i="15"/>
  <c r="AN59" i="15"/>
  <c r="AN79" i="15"/>
  <c r="AN65" i="15"/>
  <c r="AN77" i="15"/>
  <c r="AN64" i="15"/>
  <c r="AN88" i="15"/>
  <c r="AN108" i="15"/>
  <c r="AN73" i="15"/>
  <c r="AN87" i="15"/>
  <c r="AN115" i="15"/>
  <c r="AN48" i="15"/>
  <c r="AO334" i="16"/>
  <c r="AO360" i="16"/>
  <c r="AO56" i="16"/>
  <c r="AO19" i="16"/>
  <c r="AO17" i="16"/>
  <c r="AO15" i="16"/>
  <c r="AO13" i="16"/>
  <c r="AO335" i="16"/>
  <c r="AN274" i="16"/>
  <c r="AN179" i="16"/>
  <c r="AN376" i="16"/>
  <c r="AM64" i="16"/>
  <c r="AP32" i="16"/>
  <c r="AO333" i="16"/>
  <c r="AO256" i="16"/>
  <c r="AO59" i="16"/>
  <c r="AO61" i="16"/>
  <c r="AO60" i="16"/>
  <c r="AO219" i="16"/>
  <c r="AO57" i="16"/>
  <c r="AO16" i="16"/>
  <c r="AO14" i="16"/>
  <c r="AO220" i="16"/>
  <c r="AO58" i="16"/>
  <c r="AO221" i="16"/>
  <c r="AO361" i="16"/>
  <c r="AO12" i="16"/>
  <c r="AN45" i="16"/>
  <c r="AN78" i="16"/>
  <c r="AN55" i="16"/>
  <c r="AN62" i="16" s="1"/>
  <c r="AN322" i="16"/>
  <c r="AN208" i="16"/>
  <c r="AN235" i="16"/>
  <c r="AN218" i="16"/>
  <c r="AN222" i="16" s="1"/>
  <c r="AN349" i="16"/>
  <c r="AN332" i="16"/>
  <c r="AN336" i="16" s="1"/>
  <c r="AN338" i="16" s="1"/>
  <c r="AP303" i="16"/>
  <c r="AP300" i="16"/>
  <c r="AP302" i="16"/>
  <c r="AP301" i="16"/>
  <c r="AP299" i="16"/>
  <c r="AL121" i="15"/>
  <c r="AM30" i="15"/>
  <c r="AM29" i="15"/>
  <c r="AM28" i="15"/>
  <c r="AM27" i="15"/>
  <c r="AM26" i="15"/>
  <c r="AM25" i="15"/>
  <c r="AM24" i="15"/>
  <c r="AM23" i="15"/>
  <c r="AM22" i="15"/>
  <c r="AL39" i="15"/>
  <c r="AL41" i="15" s="1"/>
  <c r="AM19" i="15"/>
  <c r="AM21" i="15"/>
  <c r="AM18" i="15"/>
  <c r="AM16" i="15"/>
  <c r="AM12" i="15"/>
  <c r="AM17" i="15"/>
  <c r="AM13" i="15"/>
  <c r="AM15" i="15"/>
  <c r="AM20" i="15"/>
  <c r="AM14" i="15"/>
  <c r="AM36" i="15"/>
  <c r="AM10" i="15"/>
  <c r="AM31" i="15"/>
  <c r="AM34" i="15"/>
  <c r="AM38" i="15"/>
  <c r="AM11" i="15"/>
  <c r="AM32" i="15"/>
  <c r="AM35" i="15"/>
  <c r="AM9" i="15"/>
  <c r="AM37" i="15"/>
  <c r="AM33" i="15"/>
  <c r="AN8" i="15"/>
  <c r="AP298" i="16"/>
  <c r="AM131" i="16"/>
  <c r="AN363" i="16"/>
  <c r="AN365" i="16" s="1"/>
  <c r="AP304" i="16"/>
  <c r="AP269" i="16"/>
  <c r="AP267" i="16"/>
  <c r="AP266" i="16"/>
  <c r="AP272" i="16" s="1"/>
  <c r="AP297" i="16"/>
  <c r="AP268" i="16"/>
  <c r="AP245" i="16"/>
  <c r="AP246" i="16" s="1"/>
  <c r="AP248" i="16" s="1"/>
  <c r="AO21" i="16"/>
  <c r="AO20" i="16"/>
  <c r="AO18" i="16"/>
  <c r="AP11" i="16"/>
  <c r="AP87" i="16"/>
  <c r="AN24" i="16"/>
  <c r="AN26" i="16" s="1"/>
  <c r="AO305" i="16"/>
  <c r="AO307" i="16" s="1"/>
  <c r="AO362" i="16"/>
  <c r="AO359" i="16"/>
  <c r="AP188" i="16"/>
  <c r="AO192" i="16"/>
  <c r="AO190" i="16"/>
  <c r="AO193" i="16"/>
  <c r="AO191" i="16"/>
  <c r="AO189" i="16"/>
  <c r="AN194" i="16"/>
  <c r="AN196" i="16" s="1"/>
  <c r="F28" i="13" l="1"/>
  <c r="C28" i="13"/>
  <c r="AP23" i="16"/>
  <c r="AP22" i="16"/>
  <c r="AO129" i="16"/>
  <c r="AP100" i="16"/>
  <c r="AP104" i="16"/>
  <c r="AP91" i="16"/>
  <c r="AP96" i="16"/>
  <c r="AP92" i="16"/>
  <c r="AP90" i="16"/>
  <c r="AP99" i="16"/>
  <c r="AP106" i="16"/>
  <c r="AP97" i="16"/>
  <c r="AP95" i="16"/>
  <c r="AP88" i="16"/>
  <c r="AP101" i="16"/>
  <c r="AP102" i="16"/>
  <c r="AP108" i="16"/>
  <c r="AP112" i="16"/>
  <c r="AP122" i="16"/>
  <c r="AP127" i="16"/>
  <c r="AP103" i="16"/>
  <c r="AP109" i="16"/>
  <c r="AP111" i="16"/>
  <c r="AP115" i="16"/>
  <c r="AP116" i="16"/>
  <c r="AP117" i="16"/>
  <c r="AP118" i="16"/>
  <c r="AP123" i="16"/>
  <c r="AP124" i="16"/>
  <c r="AP128" i="16"/>
  <c r="AP110" i="16"/>
  <c r="AP119" i="16"/>
  <c r="AP120" i="16"/>
  <c r="AP98" i="16"/>
  <c r="AP89" i="16"/>
  <c r="AP114" i="16"/>
  <c r="AP125" i="16"/>
  <c r="AP94" i="16"/>
  <c r="AP105" i="16"/>
  <c r="AP121" i="16"/>
  <c r="AP93" i="16"/>
  <c r="AP107" i="16"/>
  <c r="AP126" i="16"/>
  <c r="AP113" i="16"/>
  <c r="AN224" i="16"/>
  <c r="AO24" i="16"/>
  <c r="AO26" i="16" s="1"/>
  <c r="N267" i="16"/>
  <c r="N110" i="16"/>
  <c r="N94" i="16"/>
  <c r="N109" i="16"/>
  <c r="N93" i="16"/>
  <c r="AP17" i="16"/>
  <c r="N269" i="16"/>
  <c r="N103" i="16"/>
  <c r="AP20" i="16"/>
  <c r="N18" i="16"/>
  <c r="AP16" i="16"/>
  <c r="N14" i="16"/>
  <c r="AP12" i="16"/>
  <c r="AN64" i="16"/>
  <c r="AO376" i="16"/>
  <c r="AO322" i="16"/>
  <c r="N361" i="16"/>
  <c r="N299" i="16"/>
  <c r="N301" i="16"/>
  <c r="N302" i="16"/>
  <c r="N298" i="16"/>
  <c r="N303" i="16"/>
  <c r="N362" i="16"/>
  <c r="N300" i="16"/>
  <c r="N304" i="16"/>
  <c r="N360" i="16"/>
  <c r="N91" i="16"/>
  <c r="N126" i="16"/>
  <c r="N19" i="16"/>
  <c r="N111" i="16"/>
  <c r="N92" i="16"/>
  <c r="N116" i="16"/>
  <c r="N95" i="16"/>
  <c r="N268" i="16"/>
  <c r="N100" i="16"/>
  <c r="N104" i="16"/>
  <c r="N191" i="16"/>
  <c r="N15" i="16"/>
  <c r="N107" i="16"/>
  <c r="N190" i="16"/>
  <c r="N108" i="16"/>
  <c r="N112" i="16"/>
  <c r="N21" i="16"/>
  <c r="N101" i="16"/>
  <c r="N89" i="16"/>
  <c r="N97" i="16"/>
  <c r="N105" i="16"/>
  <c r="N96" i="16"/>
  <c r="N127" i="16"/>
  <c r="N113" i="16"/>
  <c r="N125" i="16"/>
  <c r="N120" i="16"/>
  <c r="N124" i="16"/>
  <c r="N98" i="16"/>
  <c r="N102" i="16"/>
  <c r="N106" i="16"/>
  <c r="N118" i="16"/>
  <c r="N114" i="16"/>
  <c r="N13" i="16"/>
  <c r="N192" i="16"/>
  <c r="N90" i="16"/>
  <c r="N117" i="16"/>
  <c r="N193" i="16"/>
  <c r="AP361" i="16"/>
  <c r="AO274" i="16"/>
  <c r="AO235" i="16"/>
  <c r="AO218" i="16"/>
  <c r="AO222" i="16" s="1"/>
  <c r="AO224" i="16" s="1"/>
  <c r="AO45" i="16"/>
  <c r="AO349" i="16"/>
  <c r="AO332" i="16"/>
  <c r="AO336" i="16" s="1"/>
  <c r="AO338" i="16" s="1"/>
  <c r="AO208" i="16"/>
  <c r="AO179" i="16"/>
  <c r="AO78" i="16"/>
  <c r="AO55" i="16"/>
  <c r="AO62" i="16" s="1"/>
  <c r="AO64" i="16" s="1"/>
  <c r="AM121" i="15"/>
  <c r="AN30" i="15"/>
  <c r="AN29" i="15"/>
  <c r="AN28" i="15"/>
  <c r="AN27" i="15"/>
  <c r="AN26" i="15"/>
  <c r="AN25" i="15"/>
  <c r="AN24" i="15"/>
  <c r="AN23" i="15"/>
  <c r="AN22" i="15"/>
  <c r="AM39" i="15"/>
  <c r="AM41" i="15" s="1"/>
  <c r="AN12" i="15"/>
  <c r="AN13" i="15"/>
  <c r="AN20" i="15"/>
  <c r="AN17" i="15"/>
  <c r="AN18" i="15"/>
  <c r="AN19" i="15"/>
  <c r="AN21" i="15"/>
  <c r="AN16" i="15"/>
  <c r="AN14" i="15"/>
  <c r="AN15" i="15"/>
  <c r="AN38" i="15"/>
  <c r="AN33" i="15"/>
  <c r="AN32" i="15"/>
  <c r="AN11" i="15"/>
  <c r="AN36" i="15"/>
  <c r="AN10" i="15"/>
  <c r="AN9" i="15"/>
  <c r="AN34" i="15"/>
  <c r="AN31" i="15"/>
  <c r="AN35" i="15"/>
  <c r="AN37" i="15"/>
  <c r="AN131" i="16"/>
  <c r="AO194" i="16"/>
  <c r="AO196" i="16" s="1"/>
  <c r="AP305" i="16"/>
  <c r="AP307" i="16" s="1"/>
  <c r="AP21" i="16"/>
  <c r="AP19" i="16"/>
  <c r="AP15" i="16"/>
  <c r="AO363" i="16"/>
  <c r="AO365" i="16" s="1"/>
  <c r="AP360" i="16"/>
  <c r="AP362" i="16"/>
  <c r="AP359" i="16"/>
  <c r="AP192" i="16"/>
  <c r="AP190" i="16"/>
  <c r="AP191" i="16"/>
  <c r="AP129" i="16" l="1"/>
  <c r="N128" i="16"/>
  <c r="Q128" i="16" s="1"/>
  <c r="N17" i="16"/>
  <c r="N119" i="16"/>
  <c r="N169" i="16" s="1"/>
  <c r="Q169" i="16" s="1"/>
  <c r="N16" i="16"/>
  <c r="Q16" i="16" s="1"/>
  <c r="N99" i="16"/>
  <c r="Q99" i="16" s="1"/>
  <c r="N20" i="16"/>
  <c r="Q20" i="16" s="1"/>
  <c r="N115" i="16"/>
  <c r="N165" i="16" s="1"/>
  <c r="Q165" i="16" s="1"/>
  <c r="AP18" i="16"/>
  <c r="AP13" i="16"/>
  <c r="AP14" i="16"/>
  <c r="AP208" i="16"/>
  <c r="N189" i="16"/>
  <c r="Q18" i="16"/>
  <c r="N39" i="16"/>
  <c r="Q39" i="16" s="1"/>
  <c r="Q13" i="16"/>
  <c r="N34" i="16"/>
  <c r="Q34" i="16" s="1"/>
  <c r="N152" i="16"/>
  <c r="Q152" i="16" s="1"/>
  <c r="Q102" i="16"/>
  <c r="N219" i="16"/>
  <c r="AP219" i="16"/>
  <c r="N175" i="16"/>
  <c r="Q175" i="16" s="1"/>
  <c r="Q125" i="16"/>
  <c r="N177" i="16"/>
  <c r="Q177" i="16" s="1"/>
  <c r="Q127" i="16"/>
  <c r="N155" i="16"/>
  <c r="Q155" i="16" s="1"/>
  <c r="Q105" i="16"/>
  <c r="N162" i="16"/>
  <c r="Q162" i="16" s="1"/>
  <c r="Q112" i="16"/>
  <c r="Q15" i="16"/>
  <c r="N36" i="16"/>
  <c r="Q36" i="16" s="1"/>
  <c r="AP179" i="16"/>
  <c r="N88" i="16"/>
  <c r="N145" i="16"/>
  <c r="Q145" i="16" s="1"/>
  <c r="Q95" i="16"/>
  <c r="Q126" i="16"/>
  <c r="N176" i="16"/>
  <c r="Q176" i="16" s="1"/>
  <c r="N61" i="16"/>
  <c r="AP61" i="16"/>
  <c r="N317" i="16"/>
  <c r="Q317" i="16" s="1"/>
  <c r="Q300" i="16"/>
  <c r="Q298" i="16"/>
  <c r="N315" i="16"/>
  <c r="Q315" i="16" s="1"/>
  <c r="Q301" i="16"/>
  <c r="N318" i="16"/>
  <c r="Q318" i="16" s="1"/>
  <c r="N316" i="16"/>
  <c r="Q316" i="16" s="1"/>
  <c r="Q299" i="16"/>
  <c r="Q193" i="16"/>
  <c r="N207" i="16"/>
  <c r="Q207" i="16" s="1"/>
  <c r="Q94" i="16"/>
  <c r="N144" i="16"/>
  <c r="Q144" i="16" s="1"/>
  <c r="N35" i="16"/>
  <c r="Q35" i="16" s="1"/>
  <c r="Q14" i="16"/>
  <c r="N164" i="16"/>
  <c r="Q164" i="16" s="1"/>
  <c r="Q114" i="16"/>
  <c r="Q98" i="16"/>
  <c r="N148" i="16"/>
  <c r="Q148" i="16" s="1"/>
  <c r="Q124" i="16"/>
  <c r="N174" i="16"/>
  <c r="Q174" i="16" s="1"/>
  <c r="N159" i="16"/>
  <c r="Q159" i="16" s="1"/>
  <c r="Q109" i="16"/>
  <c r="N160" i="16"/>
  <c r="Q160" i="16" s="1"/>
  <c r="Q110" i="16"/>
  <c r="N146" i="16"/>
  <c r="Q146" i="16" s="1"/>
  <c r="Q96" i="16"/>
  <c r="N147" i="16"/>
  <c r="Q147" i="16" s="1"/>
  <c r="Q97" i="16"/>
  <c r="N220" i="16"/>
  <c r="AP220" i="16"/>
  <c r="N158" i="16"/>
  <c r="Q158" i="16" s="1"/>
  <c r="Q108" i="16"/>
  <c r="N205" i="16"/>
  <c r="Q205" i="16" s="1"/>
  <c r="Q191" i="16"/>
  <c r="N56" i="16"/>
  <c r="AP56" i="16"/>
  <c r="N60" i="16"/>
  <c r="AP60" i="16"/>
  <c r="Q111" i="16"/>
  <c r="N161" i="16"/>
  <c r="Q161" i="16" s="1"/>
  <c r="Q115" i="16"/>
  <c r="N59" i="16"/>
  <c r="AP59" i="16"/>
  <c r="N335" i="16"/>
  <c r="AP335" i="16"/>
  <c r="N333" i="16"/>
  <c r="AP333" i="16"/>
  <c r="AP322" i="16"/>
  <c r="N297" i="16"/>
  <c r="N334" i="16"/>
  <c r="AP334" i="16"/>
  <c r="Q117" i="16"/>
  <c r="N167" i="16"/>
  <c r="Q167" i="16" s="1"/>
  <c r="N282" i="16"/>
  <c r="Q282" i="16" s="1"/>
  <c r="Q267" i="16"/>
  <c r="AP274" i="16"/>
  <c r="N266" i="16"/>
  <c r="N272" i="16" s="1"/>
  <c r="Q118" i="16"/>
  <c r="N168" i="16"/>
  <c r="Q168" i="16" s="1"/>
  <c r="N58" i="16"/>
  <c r="AP58" i="16"/>
  <c r="N57" i="16"/>
  <c r="AP57" i="16"/>
  <c r="N170" i="16"/>
  <c r="Q170" i="16" s="1"/>
  <c r="Q120" i="16"/>
  <c r="N163" i="16"/>
  <c r="Q163" i="16" s="1"/>
  <c r="Q113" i="16"/>
  <c r="AP45" i="16"/>
  <c r="N12" i="16"/>
  <c r="N143" i="16"/>
  <c r="Q143" i="16" s="1"/>
  <c r="Q93" i="16"/>
  <c r="N151" i="16"/>
  <c r="Q151" i="16" s="1"/>
  <c r="Q101" i="16"/>
  <c r="N204" i="16"/>
  <c r="Q204" i="16" s="1"/>
  <c r="Q190" i="16"/>
  <c r="N154" i="16"/>
  <c r="Q154" i="16" s="1"/>
  <c r="Q104" i="16"/>
  <c r="Q268" i="16"/>
  <c r="N283" i="16"/>
  <c r="Q283" i="16" s="1"/>
  <c r="Q116" i="16"/>
  <c r="N166" i="16"/>
  <c r="Q166" i="16" s="1"/>
  <c r="N153" i="16"/>
  <c r="Q153" i="16" s="1"/>
  <c r="Q103" i="16"/>
  <c r="N141" i="16"/>
  <c r="Q141" i="16" s="1"/>
  <c r="Q91" i="16"/>
  <c r="Q360" i="16"/>
  <c r="N373" i="16"/>
  <c r="Q373" i="16" s="1"/>
  <c r="Q362" i="16"/>
  <c r="N375" i="16"/>
  <c r="Q375" i="16" s="1"/>
  <c r="AP256" i="16"/>
  <c r="N245" i="16"/>
  <c r="AP349" i="16"/>
  <c r="N332" i="16"/>
  <c r="AP332" i="16"/>
  <c r="N374" i="16"/>
  <c r="Q374" i="16" s="1"/>
  <c r="Q361" i="16"/>
  <c r="AP193" i="16"/>
  <c r="AP189" i="16"/>
  <c r="Q90" i="16"/>
  <c r="N140" i="16"/>
  <c r="Q140" i="16" s="1"/>
  <c r="N221" i="16"/>
  <c r="AP221" i="16"/>
  <c r="Q192" i="16"/>
  <c r="N206" i="16"/>
  <c r="Q206" i="16" s="1"/>
  <c r="Q106" i="16"/>
  <c r="N156" i="16"/>
  <c r="Q156" i="16" s="1"/>
  <c r="N44" i="16"/>
  <c r="Q44" i="16" s="1"/>
  <c r="Q269" i="16"/>
  <c r="N284" i="16"/>
  <c r="Q284" i="16" s="1"/>
  <c r="N149" i="16"/>
  <c r="Q149" i="16" s="1"/>
  <c r="N38" i="16"/>
  <c r="Q38" i="16" s="1"/>
  <c r="Q17" i="16"/>
  <c r="N139" i="16"/>
  <c r="Q139" i="16" s="1"/>
  <c r="Q89" i="16"/>
  <c r="Q21" i="16"/>
  <c r="N42" i="16"/>
  <c r="Q42" i="16" s="1"/>
  <c r="N157" i="16"/>
  <c r="Q157" i="16" s="1"/>
  <c r="Q107" i="16"/>
  <c r="Q100" i="16"/>
  <c r="N150" i="16"/>
  <c r="Q150" i="16" s="1"/>
  <c r="AP235" i="16"/>
  <c r="N218" i="16"/>
  <c r="AP218" i="16"/>
  <c r="Q92" i="16"/>
  <c r="N142" i="16"/>
  <c r="Q142" i="16" s="1"/>
  <c r="N40" i="16"/>
  <c r="Q40" i="16" s="1"/>
  <c r="Q19" i="16"/>
  <c r="AP78" i="16"/>
  <c r="N55" i="16"/>
  <c r="AP55" i="16"/>
  <c r="Q304" i="16"/>
  <c r="N321" i="16"/>
  <c r="Q321" i="16" s="1"/>
  <c r="N320" i="16"/>
  <c r="Q320" i="16" s="1"/>
  <c r="Q303" i="16"/>
  <c r="N319" i="16"/>
  <c r="Q319" i="16" s="1"/>
  <c r="Q302" i="16"/>
  <c r="AP376" i="16"/>
  <c r="N359" i="16"/>
  <c r="AN121" i="15"/>
  <c r="B38" i="17"/>
  <c r="AN39" i="15"/>
  <c r="AN41" i="15" s="1"/>
  <c r="AO131" i="16"/>
  <c r="B49" i="17"/>
  <c r="B54" i="17"/>
  <c r="B43" i="17"/>
  <c r="B59" i="17"/>
  <c r="B52" i="17"/>
  <c r="AP363" i="16"/>
  <c r="AP365" i="16" s="1"/>
  <c r="B53" i="17"/>
  <c r="B42" i="17"/>
  <c r="B58" i="17"/>
  <c r="B47" i="17"/>
  <c r="B40" i="17"/>
  <c r="B56" i="17"/>
  <c r="B41" i="17"/>
  <c r="B57" i="17"/>
  <c r="B46" i="17"/>
  <c r="B62" i="17"/>
  <c r="B51" i="17"/>
  <c r="B44" i="17"/>
  <c r="B60" i="17"/>
  <c r="B45" i="17"/>
  <c r="B61" i="17"/>
  <c r="B50" i="17"/>
  <c r="B39" i="17"/>
  <c r="B55" i="17"/>
  <c r="B48" i="17"/>
  <c r="N178" i="16" l="1"/>
  <c r="Q178" i="16" s="1"/>
  <c r="Q119" i="16"/>
  <c r="N37" i="16"/>
  <c r="Q37" i="16" s="1"/>
  <c r="AP24" i="16"/>
  <c r="AP26" i="16" s="1"/>
  <c r="AP194" i="16"/>
  <c r="AP196" i="16" s="1"/>
  <c r="N41" i="16"/>
  <c r="Q41" i="16" s="1"/>
  <c r="AP131" i="16"/>
  <c r="AP62" i="16"/>
  <c r="AP64" i="16" s="1"/>
  <c r="AP336" i="16"/>
  <c r="AP338" i="16" s="1"/>
  <c r="AP222" i="16"/>
  <c r="AP224" i="16" s="1"/>
  <c r="N345" i="16"/>
  <c r="N336" i="16"/>
  <c r="Q332" i="16"/>
  <c r="N33" i="16"/>
  <c r="N24" i="16"/>
  <c r="Q12" i="16"/>
  <c r="Q24" i="16" s="1"/>
  <c r="N281" i="16"/>
  <c r="N287" i="16" s="1"/>
  <c r="Q266" i="16"/>
  <c r="Q272" i="16" s="1"/>
  <c r="N314" i="16"/>
  <c r="Q297" i="16"/>
  <c r="Q305" i="16" s="1"/>
  <c r="N305" i="16"/>
  <c r="N74" i="16"/>
  <c r="Q74" i="16" s="1"/>
  <c r="Q58" i="16"/>
  <c r="N348" i="16"/>
  <c r="Q348" i="16" s="1"/>
  <c r="Q335" i="16"/>
  <c r="N76" i="16"/>
  <c r="Q76" i="16" s="1"/>
  <c r="Q60" i="16"/>
  <c r="Q220" i="16"/>
  <c r="N233" i="16"/>
  <c r="Q233" i="16" s="1"/>
  <c r="N232" i="16"/>
  <c r="Q232" i="16" s="1"/>
  <c r="Q219" i="16"/>
  <c r="Q359" i="16"/>
  <c r="Q363" i="16" s="1"/>
  <c r="N372" i="16"/>
  <c r="N363" i="16"/>
  <c r="N222" i="16"/>
  <c r="N231" i="16"/>
  <c r="Q218" i="16"/>
  <c r="N246" i="16"/>
  <c r="N255" i="16"/>
  <c r="Q245" i="16"/>
  <c r="Q246" i="16" s="1"/>
  <c r="N129" i="16"/>
  <c r="N138" i="16"/>
  <c r="Q88" i="16"/>
  <c r="Q129" i="16" s="1"/>
  <c r="Q189" i="16"/>
  <c r="Q194" i="16" s="1"/>
  <c r="N203" i="16"/>
  <c r="N194" i="16"/>
  <c r="Q55" i="16"/>
  <c r="N62" i="16"/>
  <c r="N71" i="16"/>
  <c r="Q221" i="16"/>
  <c r="N234" i="16"/>
  <c r="Q234" i="16" s="1"/>
  <c r="N73" i="16"/>
  <c r="Q73" i="16" s="1"/>
  <c r="Q57" i="16"/>
  <c r="N347" i="16"/>
  <c r="Q347" i="16" s="1"/>
  <c r="Q334" i="16"/>
  <c r="Q333" i="16"/>
  <c r="N346" i="16"/>
  <c r="Q346" i="16" s="1"/>
  <c r="Q59" i="16"/>
  <c r="N75" i="16"/>
  <c r="Q75" i="16" s="1"/>
  <c r="Q56" i="16"/>
  <c r="N72" i="16"/>
  <c r="Q72" i="16" s="1"/>
  <c r="N77" i="16"/>
  <c r="Q77" i="16" s="1"/>
  <c r="Q61" i="16"/>
  <c r="B70" i="17"/>
  <c r="B80" i="17"/>
  <c r="B76" i="17"/>
  <c r="B79" i="17"/>
  <c r="B86" i="17"/>
  <c r="B87" i="17"/>
  <c r="B83" i="17"/>
  <c r="B90" i="17"/>
  <c r="B81" i="17"/>
  <c r="B71" i="17"/>
  <c r="B94" i="17"/>
  <c r="B74" i="17"/>
  <c r="B82" i="17"/>
  <c r="O82" i="17" s="1"/>
  <c r="B78" i="17"/>
  <c r="B85" i="17"/>
  <c r="B93" i="17"/>
  <c r="B89" i="17"/>
  <c r="B77" i="17"/>
  <c r="B73" i="17"/>
  <c r="B84" i="17"/>
  <c r="B88" i="17"/>
  <c r="B91" i="17"/>
  <c r="B92" i="17"/>
  <c r="B72" i="17"/>
  <c r="B75" i="17"/>
  <c r="H39" i="17" l="1"/>
  <c r="J16" i="17"/>
  <c r="Q71" i="16"/>
  <c r="Q78" i="16" s="1"/>
  <c r="N78" i="16"/>
  <c r="Q203" i="16"/>
  <c r="Q208" i="16" s="1"/>
  <c r="N208" i="16"/>
  <c r="Q222" i="16"/>
  <c r="Q372" i="16"/>
  <c r="Q376" i="16" s="1"/>
  <c r="N376" i="16"/>
  <c r="Q281" i="16"/>
  <c r="Q287" i="16" s="1"/>
  <c r="Q33" i="16"/>
  <c r="Q45" i="16" s="1"/>
  <c r="N45" i="16"/>
  <c r="Q231" i="16"/>
  <c r="Q235" i="16" s="1"/>
  <c r="N235" i="16"/>
  <c r="Q336" i="16"/>
  <c r="Q62" i="16"/>
  <c r="N256" i="16"/>
  <c r="Q255" i="16"/>
  <c r="Q256" i="16" s="1"/>
  <c r="Q314" i="16"/>
  <c r="Q322" i="16" s="1"/>
  <c r="N322" i="16"/>
  <c r="N179" i="16"/>
  <c r="Q138" i="16"/>
  <c r="Q179" i="16" s="1"/>
  <c r="Q345" i="16"/>
  <c r="Q349" i="16" s="1"/>
  <c r="N349" i="16"/>
  <c r="L8" i="17"/>
  <c r="M57" i="17"/>
  <c r="P48" i="17"/>
  <c r="O39" i="17"/>
  <c r="J57" i="17"/>
  <c r="N61" i="17"/>
  <c r="I48" i="17"/>
  <c r="O48" i="17"/>
  <c r="N53" i="17"/>
  <c r="I46" i="17"/>
  <c r="O46" i="17"/>
  <c r="E50" i="17"/>
  <c r="I56" i="17"/>
  <c r="O56" i="17"/>
  <c r="N42" i="17"/>
  <c r="I62" i="17"/>
  <c r="M62" i="17"/>
  <c r="O41" i="17"/>
  <c r="F49" i="17"/>
  <c r="I49" i="17"/>
  <c r="F58" i="17"/>
  <c r="M51" i="17"/>
  <c r="J51" i="17"/>
  <c r="P55" i="17"/>
  <c r="J52" i="17"/>
  <c r="M52" i="17"/>
  <c r="F54" i="17"/>
  <c r="N47" i="17"/>
  <c r="J47" i="17"/>
  <c r="F44" i="17"/>
  <c r="F45" i="17"/>
  <c r="I45" i="17"/>
  <c r="P43" i="17"/>
  <c r="K40" i="17"/>
  <c r="M40" i="17"/>
  <c r="N60" i="17"/>
  <c r="N59" i="17"/>
  <c r="J59" i="17"/>
  <c r="G38" i="17"/>
  <c r="L24" i="17"/>
  <c r="F25" i="17"/>
  <c r="E24" i="17"/>
  <c r="K30" i="17"/>
  <c r="P28" i="17"/>
  <c r="K23" i="17"/>
  <c r="L16" i="17"/>
  <c r="H18" i="17"/>
  <c r="E11" i="17"/>
  <c r="H20" i="17"/>
  <c r="L6" i="17"/>
  <c r="E8" i="17"/>
  <c r="P23" i="17"/>
  <c r="N18" i="17"/>
  <c r="F8" i="17"/>
  <c r="K16" i="17"/>
  <c r="N21" i="17"/>
  <c r="O30" i="17"/>
  <c r="I28" i="17"/>
  <c r="M15" i="17"/>
  <c r="E19" i="17"/>
  <c r="H56" i="17"/>
  <c r="K10" i="17"/>
  <c r="M25" i="17"/>
  <c r="P10" i="17"/>
  <c r="H11" i="17"/>
  <c r="M7" i="17"/>
  <c r="L26" i="17"/>
  <c r="L7" i="17"/>
  <c r="M23" i="17"/>
  <c r="O7" i="17"/>
  <c r="K15" i="17"/>
  <c r="P30" i="17"/>
  <c r="I19" i="17"/>
  <c r="I17" i="17"/>
  <c r="P16" i="17"/>
  <c r="E29" i="17"/>
  <c r="E57" i="17"/>
  <c r="M39" i="17"/>
  <c r="F57" i="17"/>
  <c r="I57" i="17"/>
  <c r="O61" i="17"/>
  <c r="K48" i="17"/>
  <c r="M48" i="17"/>
  <c r="O53" i="17"/>
  <c r="J46" i="17"/>
  <c r="M46" i="17"/>
  <c r="F50" i="17"/>
  <c r="J56" i="17"/>
  <c r="M56" i="17"/>
  <c r="E42" i="17"/>
  <c r="K62" i="17"/>
  <c r="H62" i="17"/>
  <c r="H41" i="17"/>
  <c r="G49" i="17"/>
  <c r="K49" i="17"/>
  <c r="N58" i="17"/>
  <c r="O51" i="17"/>
  <c r="K51" i="17"/>
  <c r="F55" i="17"/>
  <c r="K52" i="17"/>
  <c r="H52" i="17"/>
  <c r="N54" i="17"/>
  <c r="M47" i="17"/>
  <c r="K47" i="17"/>
  <c r="N44" i="17"/>
  <c r="G45" i="17"/>
  <c r="K45" i="17"/>
  <c r="F43" i="17"/>
  <c r="J40" i="17"/>
  <c r="H40" i="17"/>
  <c r="E60" i="17"/>
  <c r="O59" i="17"/>
  <c r="K59" i="17"/>
  <c r="O38" i="17"/>
  <c r="P6" i="17"/>
  <c r="P19" i="17"/>
  <c r="E10" i="17"/>
  <c r="J25" i="17"/>
  <c r="M27" i="17"/>
  <c r="N10" i="17"/>
  <c r="H10" i="17"/>
  <c r="K11" i="17"/>
  <c r="G13" i="17"/>
  <c r="O16" i="17"/>
  <c r="G24" i="17"/>
  <c r="N6" i="17"/>
  <c r="O20" i="17"/>
  <c r="P11" i="17"/>
  <c r="H7" i="17"/>
  <c r="M24" i="17"/>
  <c r="I18" i="17"/>
  <c r="E30" i="17"/>
  <c r="H26" i="17"/>
  <c r="F14" i="17"/>
  <c r="L10" i="17"/>
  <c r="P25" i="17"/>
  <c r="J13" i="17"/>
  <c r="P18" i="17"/>
  <c r="J30" i="17"/>
  <c r="K19" i="17"/>
  <c r="J21" i="17"/>
  <c r="H22" i="17"/>
  <c r="M28" i="17"/>
  <c r="L17" i="17"/>
  <c r="P8" i="17"/>
  <c r="N15" i="17"/>
  <c r="O27" i="17"/>
  <c r="J23" i="17"/>
  <c r="H12" i="17"/>
  <c r="J19" i="17"/>
  <c r="L27" i="17"/>
  <c r="F39" i="17"/>
  <c r="G57" i="17"/>
  <c r="K57" i="17"/>
  <c r="H61" i="17"/>
  <c r="J48" i="17"/>
  <c r="H48" i="17"/>
  <c r="H53" i="17"/>
  <c r="K46" i="17"/>
  <c r="H46" i="17"/>
  <c r="N50" i="17"/>
  <c r="K56" i="17"/>
  <c r="P56" i="17"/>
  <c r="G42" i="17"/>
  <c r="L62" i="17"/>
  <c r="P62" i="17"/>
  <c r="P41" i="17"/>
  <c r="M49" i="17"/>
  <c r="L49" i="17"/>
  <c r="G58" i="17"/>
  <c r="E51" i="17"/>
  <c r="L51" i="17"/>
  <c r="H55" i="17"/>
  <c r="L52" i="17"/>
  <c r="P52" i="17"/>
  <c r="G54" i="17"/>
  <c r="E47" i="17"/>
  <c r="L47" i="17"/>
  <c r="G44" i="17"/>
  <c r="M45" i="17"/>
  <c r="L45" i="17"/>
  <c r="H43" i="17"/>
  <c r="L40" i="17"/>
  <c r="P40" i="17"/>
  <c r="G60" i="17"/>
  <c r="E59" i="17"/>
  <c r="L59" i="17"/>
  <c r="H38" i="17"/>
  <c r="K6" i="17"/>
  <c r="P17" i="17"/>
  <c r="I22" i="17"/>
  <c r="J7" i="17"/>
  <c r="O29" i="17"/>
  <c r="J17" i="17"/>
  <c r="O17" i="17"/>
  <c r="M9" i="17"/>
  <c r="H25" i="17"/>
  <c r="N13" i="17"/>
  <c r="O6" i="17"/>
  <c r="O24" i="17"/>
  <c r="O11" i="17"/>
  <c r="H23" i="17"/>
  <c r="E17" i="17"/>
  <c r="N9" i="17"/>
  <c r="P13" i="17"/>
  <c r="J29" i="17"/>
  <c r="J27" i="17"/>
  <c r="G12" i="17"/>
  <c r="J15" i="17"/>
  <c r="J22" i="17"/>
  <c r="G20" i="17"/>
  <c r="F23" i="17"/>
  <c r="J9" i="17"/>
  <c r="P21" i="17"/>
  <c r="H15" i="17"/>
  <c r="J14" i="17"/>
  <c r="M6" i="17"/>
  <c r="L19" i="17"/>
  <c r="L9" i="17"/>
  <c r="M16" i="17"/>
  <c r="O19" i="17"/>
  <c r="M14" i="17"/>
  <c r="F19" i="17"/>
  <c r="H19" i="17"/>
  <c r="E22" i="17"/>
  <c r="P53" i="17"/>
  <c r="L46" i="17"/>
  <c r="P46" i="17"/>
  <c r="G50" i="17"/>
  <c r="L56" i="17"/>
  <c r="I42" i="17"/>
  <c r="O42" i="17"/>
  <c r="E62" i="17"/>
  <c r="F41" i="17"/>
  <c r="I41" i="17"/>
  <c r="N49" i="17"/>
  <c r="K58" i="17"/>
  <c r="O58" i="17"/>
  <c r="G51" i="17"/>
  <c r="M55" i="17"/>
  <c r="I55" i="17"/>
  <c r="F52" i="17"/>
  <c r="K54" i="17"/>
  <c r="O54" i="17"/>
  <c r="F47" i="17"/>
  <c r="I44" i="17"/>
  <c r="O44" i="17"/>
  <c r="O45" i="17"/>
  <c r="O43" i="17"/>
  <c r="J43" i="17"/>
  <c r="E40" i="17"/>
  <c r="I60" i="17"/>
  <c r="O60" i="17"/>
  <c r="F59" i="17"/>
  <c r="L38" i="17"/>
  <c r="P38" i="17"/>
  <c r="O15" i="17"/>
  <c r="F29" i="17"/>
  <c r="I7" i="17"/>
  <c r="P15" i="17"/>
  <c r="I30" i="17"/>
  <c r="I6" i="17"/>
  <c r="J28" i="17"/>
  <c r="M21" i="17"/>
  <c r="E12" i="17"/>
  <c r="H16" i="17"/>
  <c r="G29" i="17"/>
  <c r="F17" i="17"/>
  <c r="I8" i="17"/>
  <c r="F26" i="17"/>
  <c r="H27" i="17"/>
  <c r="P26" i="17"/>
  <c r="I15" i="17"/>
  <c r="O28" i="17"/>
  <c r="E27" i="17"/>
  <c r="N25" i="17"/>
  <c r="O8" i="17"/>
  <c r="M29" i="17"/>
  <c r="K9" i="17"/>
  <c r="L11" i="17"/>
  <c r="L23" i="17"/>
  <c r="N28" i="17"/>
  <c r="J8" i="17"/>
  <c r="F13" i="17"/>
  <c r="F21" i="17"/>
  <c r="F27" i="17"/>
  <c r="G23" i="17"/>
  <c r="G15" i="17"/>
  <c r="E15" i="17"/>
  <c r="G25" i="17"/>
  <c r="F30" i="17"/>
  <c r="F11" i="17"/>
  <c r="N8" i="17"/>
  <c r="P61" i="17"/>
  <c r="J39" i="17"/>
  <c r="P39" i="17"/>
  <c r="O57" i="17"/>
  <c r="E61" i="17"/>
  <c r="J61" i="17"/>
  <c r="F48" i="17"/>
  <c r="E53" i="17"/>
  <c r="J53" i="17"/>
  <c r="E46" i="17"/>
  <c r="I50" i="17"/>
  <c r="O50" i="17"/>
  <c r="F56" i="17"/>
  <c r="J42" i="17"/>
  <c r="M42" i="17"/>
  <c r="F62" i="17"/>
  <c r="E41" i="17"/>
  <c r="J41" i="17"/>
  <c r="O49" i="17"/>
  <c r="J58" i="17"/>
  <c r="M58" i="17"/>
  <c r="P51" i="17"/>
  <c r="N55" i="17"/>
  <c r="J55" i="17"/>
  <c r="N52" i="17"/>
  <c r="I54" i="17"/>
  <c r="M54" i="17"/>
  <c r="G47" i="17"/>
  <c r="J44" i="17"/>
  <c r="M44" i="17"/>
  <c r="H45" i="17"/>
  <c r="M43" i="17"/>
  <c r="I43" i="17"/>
  <c r="F40" i="17"/>
  <c r="J60" i="17"/>
  <c r="M60" i="17"/>
  <c r="G59" i="17"/>
  <c r="E38" i="17"/>
  <c r="I38" i="17"/>
  <c r="H17" i="17"/>
  <c r="N23" i="17"/>
  <c r="M11" i="17"/>
  <c r="N20" i="17"/>
  <c r="K25" i="17"/>
  <c r="I10" i="17"/>
  <c r="F12" i="17"/>
  <c r="L30" i="17"/>
  <c r="H29" i="17"/>
  <c r="K14" i="17"/>
  <c r="K17" i="17"/>
  <c r="J12" i="17"/>
  <c r="G28" i="17"/>
  <c r="O13" i="17"/>
  <c r="H9" i="17"/>
  <c r="F10" i="17"/>
  <c r="L29" i="17"/>
  <c r="K28" i="17"/>
  <c r="I26" i="17"/>
  <c r="O25" i="17"/>
  <c r="P22" i="17"/>
  <c r="P14" i="17"/>
  <c r="N14" i="17"/>
  <c r="M30" i="17"/>
  <c r="E7" i="17"/>
  <c r="I21" i="17"/>
  <c r="G17" i="17"/>
  <c r="M26" i="17"/>
  <c r="O14" i="17"/>
  <c r="M20" i="17"/>
  <c r="N17" i="17"/>
  <c r="K29" i="17"/>
  <c r="N19" i="17"/>
  <c r="M19" i="17"/>
  <c r="F16" i="17"/>
  <c r="O26" i="17"/>
  <c r="I16" i="17"/>
  <c r="E39" i="17"/>
  <c r="I39" i="17"/>
  <c r="H57" i="17"/>
  <c r="F61" i="17"/>
  <c r="I61" i="17"/>
  <c r="N48" i="17"/>
  <c r="F53" i="17"/>
  <c r="I53" i="17"/>
  <c r="F46" i="17"/>
  <c r="J50" i="17"/>
  <c r="M50" i="17"/>
  <c r="N56" i="17"/>
  <c r="K42" i="17"/>
  <c r="H42" i="17"/>
  <c r="N62" i="17"/>
  <c r="G41" i="17"/>
  <c r="K41" i="17"/>
  <c r="H49" i="17"/>
  <c r="I58" i="17"/>
  <c r="H58" i="17"/>
  <c r="F51" i="17"/>
  <c r="O55" i="17"/>
  <c r="K55" i="17"/>
  <c r="E52" i="17"/>
  <c r="J54" i="17"/>
  <c r="H54" i="17"/>
  <c r="P47" i="17"/>
  <c r="K44" i="17"/>
  <c r="H44" i="17"/>
  <c r="N45" i="17"/>
  <c r="N43" i="17"/>
  <c r="K43" i="17"/>
  <c r="N40" i="17"/>
  <c r="K60" i="17"/>
  <c r="H60" i="17"/>
  <c r="P59" i="17"/>
  <c r="M38" i="17"/>
  <c r="J38" i="17"/>
  <c r="H24" i="17"/>
  <c r="E21" i="17"/>
  <c r="F20" i="17"/>
  <c r="N7" i="17"/>
  <c r="L20" i="17"/>
  <c r="L14" i="17"/>
  <c r="G7" i="17"/>
  <c r="G16" i="17"/>
  <c r="P7" i="17"/>
  <c r="K8" i="17"/>
  <c r="O21" i="17"/>
  <c r="I25" i="17"/>
  <c r="E23" i="17"/>
  <c r="F24" i="17"/>
  <c r="G18" i="17"/>
  <c r="E25" i="17"/>
  <c r="H30" i="17"/>
  <c r="J26" i="17"/>
  <c r="P27" i="17"/>
  <c r="N12" i="17"/>
  <c r="O9" i="17"/>
  <c r="E20" i="17"/>
  <c r="P20" i="17"/>
  <c r="K18" i="17"/>
  <c r="P24" i="17"/>
  <c r="K22" i="17"/>
  <c r="L22" i="17"/>
  <c r="M22" i="17"/>
  <c r="G30" i="17"/>
  <c r="J10" i="17"/>
  <c r="H13" i="17"/>
  <c r="F22" i="17"/>
  <c r="E26" i="17"/>
  <c r="G21" i="17"/>
  <c r="O22" i="17"/>
  <c r="K21" i="17"/>
  <c r="K27" i="17"/>
  <c r="L48" i="17"/>
  <c r="N39" i="17"/>
  <c r="K39" i="17"/>
  <c r="N57" i="17"/>
  <c r="G61" i="17"/>
  <c r="K61" i="17"/>
  <c r="E48" i="17"/>
  <c r="G53" i="17"/>
  <c r="K53" i="17"/>
  <c r="N46" i="17"/>
  <c r="K50" i="17"/>
  <c r="H50" i="17"/>
  <c r="E56" i="17"/>
  <c r="L42" i="17"/>
  <c r="P42" i="17"/>
  <c r="G62" i="17"/>
  <c r="M41" i="17"/>
  <c r="L41" i="17"/>
  <c r="P49" i="17"/>
  <c r="L58" i="17"/>
  <c r="P58" i="17"/>
  <c r="H51" i="17"/>
  <c r="E55" i="17"/>
  <c r="L55" i="17"/>
  <c r="G52" i="17"/>
  <c r="L54" i="17"/>
  <c r="P54" i="17"/>
  <c r="H47" i="17"/>
  <c r="L44" i="17"/>
  <c r="P44" i="17"/>
  <c r="P45" i="17"/>
  <c r="E43" i="17"/>
  <c r="L43" i="17"/>
  <c r="G40" i="17"/>
  <c r="L60" i="17"/>
  <c r="P60" i="17"/>
  <c r="H59" i="17"/>
  <c r="F38" i="17"/>
  <c r="K38" i="17"/>
  <c r="F18" i="17"/>
  <c r="J18" i="17"/>
  <c r="O18" i="17"/>
  <c r="F15" i="17"/>
  <c r="J24" i="17"/>
  <c r="I13" i="17"/>
  <c r="G11" i="17"/>
  <c r="J20" i="17"/>
  <c r="H14" i="17"/>
  <c r="I23" i="17"/>
  <c r="F7" i="17"/>
  <c r="F9" i="17"/>
  <c r="F28" i="17"/>
  <c r="M12" i="17"/>
  <c r="E14" i="17"/>
  <c r="P12" i="17"/>
  <c r="I29" i="17"/>
  <c r="L28" i="17"/>
  <c r="K26" i="17"/>
  <c r="M18" i="17"/>
  <c r="O23" i="17"/>
  <c r="F6" i="17"/>
  <c r="M10" i="17"/>
  <c r="G14" i="17"/>
  <c r="P9" i="17"/>
  <c r="K12" i="17"/>
  <c r="H21" i="17"/>
  <c r="G6" i="17"/>
  <c r="J6" i="17"/>
  <c r="M8" i="17"/>
  <c r="G22" i="17"/>
  <c r="K20" i="17"/>
  <c r="L25" i="17"/>
  <c r="J11" i="17"/>
  <c r="I14" i="17"/>
  <c r="E18" i="17"/>
  <c r="L57" i="17"/>
  <c r="N16" i="17"/>
  <c r="G10" i="17"/>
  <c r="G8" i="17"/>
  <c r="K24" i="17"/>
  <c r="I12" i="17"/>
  <c r="G39" i="17"/>
  <c r="L39" i="17"/>
  <c r="P57" i="17"/>
  <c r="M61" i="17"/>
  <c r="L61" i="17"/>
  <c r="G48" i="17"/>
  <c r="M53" i="17"/>
  <c r="L53" i="17"/>
  <c r="G46" i="17"/>
  <c r="L50" i="17"/>
  <c r="P50" i="17"/>
  <c r="G56" i="17"/>
  <c r="F42" i="17"/>
  <c r="J62" i="17"/>
  <c r="O62" i="17"/>
  <c r="N41" i="17"/>
  <c r="E49" i="17"/>
  <c r="J49" i="17"/>
  <c r="E58" i="17"/>
  <c r="N51" i="17"/>
  <c r="I51" i="17"/>
  <c r="G55" i="17"/>
  <c r="I52" i="17"/>
  <c r="O52" i="17"/>
  <c r="E54" i="17"/>
  <c r="O47" i="17"/>
  <c r="I47" i="17"/>
  <c r="E44" i="17"/>
  <c r="E45" i="17"/>
  <c r="J45" i="17"/>
  <c r="G43" i="17"/>
  <c r="I40" i="17"/>
  <c r="O40" i="17"/>
  <c r="F60" i="17"/>
  <c r="M59" i="17"/>
  <c r="I59" i="17"/>
  <c r="N38" i="17"/>
  <c r="G27" i="17"/>
  <c r="K13" i="17"/>
  <c r="N22" i="17"/>
  <c r="L12" i="17"/>
  <c r="L15" i="17"/>
  <c r="I27" i="17"/>
  <c r="E13" i="17"/>
  <c r="N11" i="17"/>
  <c r="N24" i="17"/>
  <c r="N26" i="17"/>
  <c r="E9" i="17"/>
  <c r="O10" i="17"/>
  <c r="O12" i="17"/>
  <c r="I9" i="17"/>
  <c r="E16" i="17"/>
  <c r="I11" i="17"/>
  <c r="N29" i="17"/>
  <c r="H28" i="17"/>
  <c r="I20" i="17"/>
  <c r="G9" i="17"/>
  <c r="G26" i="17"/>
  <c r="E6" i="17"/>
  <c r="H8" i="17"/>
  <c r="K7" i="17"/>
  <c r="L21" i="17"/>
  <c r="N30" i="17"/>
  <c r="L18" i="17"/>
  <c r="M13" i="17"/>
  <c r="I24" i="17"/>
  <c r="P29" i="17"/>
  <c r="G19" i="17"/>
  <c r="L13" i="17"/>
  <c r="M17" i="17"/>
  <c r="E28" i="17"/>
  <c r="N27" i="17"/>
  <c r="H6" i="17"/>
  <c r="H93" i="17"/>
  <c r="G93" i="17"/>
  <c r="L93" i="17"/>
  <c r="F93" i="17"/>
  <c r="P93" i="17"/>
  <c r="E93" i="17"/>
  <c r="N93" i="17"/>
  <c r="I93" i="17"/>
  <c r="J93" i="17"/>
  <c r="K93" i="17"/>
  <c r="O93" i="17"/>
  <c r="M93" i="17"/>
  <c r="J86" i="17"/>
  <c r="I86" i="17"/>
  <c r="O86" i="17"/>
  <c r="G86" i="17"/>
  <c r="E86" i="17"/>
  <c r="M86" i="17"/>
  <c r="L86" i="17"/>
  <c r="N86" i="17"/>
  <c r="H86" i="17"/>
  <c r="F86" i="17"/>
  <c r="K86" i="17"/>
  <c r="P86" i="17"/>
  <c r="E77" i="17"/>
  <c r="N77" i="17"/>
  <c r="J77" i="17"/>
  <c r="H77" i="17"/>
  <c r="I77" i="17"/>
  <c r="F77" i="17"/>
  <c r="O77" i="17"/>
  <c r="M77" i="17"/>
  <c r="K77" i="17"/>
  <c r="P77" i="17"/>
  <c r="G77" i="17"/>
  <c r="L77" i="17"/>
  <c r="O94" i="17"/>
  <c r="P94" i="17"/>
  <c r="I94" i="17"/>
  <c r="M94" i="17"/>
  <c r="K94" i="17"/>
  <c r="J94" i="17"/>
  <c r="L94" i="17"/>
  <c r="H94" i="17"/>
  <c r="E94" i="17"/>
  <c r="G94" i="17"/>
  <c r="N94" i="17"/>
  <c r="F94" i="17"/>
  <c r="E90" i="17"/>
  <c r="O90" i="17"/>
  <c r="J90" i="17"/>
  <c r="N90" i="17"/>
  <c r="H90" i="17"/>
  <c r="G90" i="17"/>
  <c r="F90" i="17"/>
  <c r="M90" i="17"/>
  <c r="L90" i="17"/>
  <c r="K90" i="17"/>
  <c r="P90" i="17"/>
  <c r="I90" i="17"/>
  <c r="H92" i="17"/>
  <c r="I92" i="17"/>
  <c r="F92" i="17"/>
  <c r="N92" i="17"/>
  <c r="E92" i="17"/>
  <c r="L92" i="17"/>
  <c r="P92" i="17"/>
  <c r="M92" i="17"/>
  <c r="G92" i="17"/>
  <c r="J92" i="17"/>
  <c r="O92" i="17"/>
  <c r="K92" i="17"/>
  <c r="F76" i="17"/>
  <c r="K76" i="17"/>
  <c r="O76" i="17"/>
  <c r="P76" i="17"/>
  <c r="M76" i="17"/>
  <c r="I76" i="17"/>
  <c r="G76" i="17"/>
  <c r="J76" i="17"/>
  <c r="E76" i="17"/>
  <c r="N76" i="17"/>
  <c r="H76" i="17"/>
  <c r="L76" i="17"/>
  <c r="G78" i="17"/>
  <c r="E78" i="17"/>
  <c r="P78" i="17"/>
  <c r="L78" i="17"/>
  <c r="H78" i="17"/>
  <c r="N78" i="17"/>
  <c r="I78" i="17"/>
  <c r="J78" i="17"/>
  <c r="K78" i="17"/>
  <c r="F78" i="17"/>
  <c r="M78" i="17"/>
  <c r="O78" i="17"/>
  <c r="H72" i="17"/>
  <c r="G72" i="17"/>
  <c r="M72" i="17"/>
  <c r="P72" i="17"/>
  <c r="K72" i="17"/>
  <c r="N72" i="17"/>
  <c r="E72" i="17"/>
  <c r="O72" i="17"/>
  <c r="J72" i="17"/>
  <c r="L72" i="17"/>
  <c r="I72" i="17"/>
  <c r="F72" i="17"/>
  <c r="N87" i="17"/>
  <c r="K87" i="17"/>
  <c r="O87" i="17"/>
  <c r="J87" i="17"/>
  <c r="P87" i="17"/>
  <c r="E87" i="17"/>
  <c r="M87" i="17"/>
  <c r="L87" i="17"/>
  <c r="G87" i="17"/>
  <c r="I87" i="17"/>
  <c r="H87" i="17"/>
  <c r="F87" i="17"/>
  <c r="M89" i="17"/>
  <c r="J89" i="17"/>
  <c r="H89" i="17"/>
  <c r="P89" i="17"/>
  <c r="F89" i="17"/>
  <c r="O89" i="17"/>
  <c r="G89" i="17"/>
  <c r="I89" i="17"/>
  <c r="K89" i="17"/>
  <c r="E89" i="17"/>
  <c r="L89" i="17"/>
  <c r="N89" i="17"/>
  <c r="P73" i="17"/>
  <c r="I73" i="17"/>
  <c r="J73" i="17"/>
  <c r="G73" i="17"/>
  <c r="K73" i="17"/>
  <c r="L73" i="17"/>
  <c r="O73" i="17"/>
  <c r="N73" i="17"/>
  <c r="H73" i="17"/>
  <c r="E73" i="17"/>
  <c r="M73" i="17"/>
  <c r="F73" i="17"/>
  <c r="J74" i="17"/>
  <c r="N74" i="17"/>
  <c r="H74" i="17"/>
  <c r="O74" i="17"/>
  <c r="G74" i="17"/>
  <c r="F74" i="17"/>
  <c r="I74" i="17"/>
  <c r="K74" i="17"/>
  <c r="P74" i="17"/>
  <c r="M74" i="17"/>
  <c r="L74" i="17"/>
  <c r="E74" i="17"/>
  <c r="P91" i="17"/>
  <c r="N91" i="17"/>
  <c r="K91" i="17"/>
  <c r="M91" i="17"/>
  <c r="J91" i="17"/>
  <c r="O91" i="17"/>
  <c r="F91" i="17"/>
  <c r="H91" i="17"/>
  <c r="E91" i="17"/>
  <c r="L91" i="17"/>
  <c r="I91" i="17"/>
  <c r="G91" i="17"/>
  <c r="P85" i="17"/>
  <c r="N85" i="17"/>
  <c r="E85" i="17"/>
  <c r="G85" i="17"/>
  <c r="I85" i="17"/>
  <c r="F85" i="17"/>
  <c r="H85" i="17"/>
  <c r="L85" i="17"/>
  <c r="J85" i="17"/>
  <c r="K85" i="17"/>
  <c r="O85" i="17"/>
  <c r="M85" i="17"/>
  <c r="H79" i="17"/>
  <c r="E79" i="17"/>
  <c r="K79" i="17"/>
  <c r="O79" i="17"/>
  <c r="N79" i="17"/>
  <c r="F79" i="17"/>
  <c r="L79" i="17"/>
  <c r="G79" i="17"/>
  <c r="I79" i="17"/>
  <c r="J79" i="17"/>
  <c r="P79" i="17"/>
  <c r="M79" i="17"/>
  <c r="K88" i="17"/>
  <c r="J88" i="17"/>
  <c r="F88" i="17"/>
  <c r="L88" i="17"/>
  <c r="H88" i="17"/>
  <c r="G88" i="17"/>
  <c r="M88" i="17"/>
  <c r="O88" i="17"/>
  <c r="P88" i="17"/>
  <c r="E88" i="17"/>
  <c r="N88" i="17"/>
  <c r="I88" i="17"/>
  <c r="F81" i="17"/>
  <c r="K81" i="17"/>
  <c r="P81" i="17"/>
  <c r="I81" i="17"/>
  <c r="E81" i="17"/>
  <c r="H81" i="17"/>
  <c r="L81" i="17"/>
  <c r="J81" i="17"/>
  <c r="N81" i="17"/>
  <c r="O81" i="17"/>
  <c r="G81" i="17"/>
  <c r="M81" i="17"/>
  <c r="H75" i="17"/>
  <c r="M75" i="17"/>
  <c r="J75" i="17"/>
  <c r="N75" i="17"/>
  <c r="F75" i="17"/>
  <c r="O75" i="17"/>
  <c r="I75" i="17"/>
  <c r="L75" i="17"/>
  <c r="K75" i="17"/>
  <c r="G75" i="17"/>
  <c r="E75" i="17"/>
  <c r="P75" i="17"/>
  <c r="K70" i="17"/>
  <c r="L70" i="17"/>
  <c r="E70" i="17"/>
  <c r="N70" i="17"/>
  <c r="I70" i="17"/>
  <c r="F70" i="17"/>
  <c r="G70" i="17"/>
  <c r="M70" i="17"/>
  <c r="H70" i="17"/>
  <c r="P70" i="17"/>
  <c r="O70" i="17"/>
  <c r="J70" i="17"/>
  <c r="K71" i="17"/>
  <c r="O71" i="17"/>
  <c r="I71" i="17"/>
  <c r="H71" i="17"/>
  <c r="P71" i="17"/>
  <c r="E71" i="17"/>
  <c r="M71" i="17"/>
  <c r="L71" i="17"/>
  <c r="J71" i="17"/>
  <c r="G71" i="17"/>
  <c r="N71" i="17"/>
  <c r="F71" i="17"/>
  <c r="K83" i="17"/>
  <c r="M83" i="17"/>
  <c r="L83" i="17"/>
  <c r="F83" i="17"/>
  <c r="O83" i="17"/>
  <c r="P83" i="17"/>
  <c r="H83" i="17"/>
  <c r="E83" i="17"/>
  <c r="G83" i="17"/>
  <c r="J83" i="17"/>
  <c r="N83" i="17"/>
  <c r="I83" i="17"/>
  <c r="O84" i="17"/>
  <c r="L84" i="17"/>
  <c r="G84" i="17"/>
  <c r="J84" i="17"/>
  <c r="F84" i="17"/>
  <c r="K84" i="17"/>
  <c r="P84" i="17"/>
  <c r="M84" i="17"/>
  <c r="I84" i="17"/>
  <c r="E84" i="17"/>
  <c r="N84" i="17"/>
  <c r="H84" i="17"/>
  <c r="I82" i="17"/>
  <c r="F82" i="17"/>
  <c r="L82" i="17"/>
  <c r="J82" i="17"/>
  <c r="N82" i="17"/>
  <c r="H82" i="17"/>
  <c r="E82" i="17"/>
  <c r="M82" i="17"/>
  <c r="K82" i="17"/>
  <c r="P82" i="17"/>
  <c r="G82" i="17"/>
  <c r="O80" i="17"/>
  <c r="H80" i="17"/>
  <c r="P80" i="17"/>
  <c r="E80" i="17"/>
  <c r="N80" i="17"/>
  <c r="J80" i="17"/>
  <c r="G80" i="17"/>
  <c r="M80" i="17"/>
  <c r="L80" i="17"/>
  <c r="I80" i="17"/>
  <c r="F80" i="17"/>
  <c r="K80" i="17"/>
  <c r="D59" i="17" l="1"/>
  <c r="D41" i="17"/>
  <c r="D58" i="17"/>
  <c r="D57" i="17"/>
  <c r="D47" i="17"/>
  <c r="D43" i="17"/>
  <c r="D55" i="17"/>
  <c r="D40" i="17"/>
  <c r="D46" i="17"/>
  <c r="D44" i="17"/>
  <c r="D62" i="17"/>
  <c r="D51" i="17"/>
  <c r="D61" i="17"/>
  <c r="D52" i="17"/>
  <c r="D53" i="17"/>
  <c r="D56" i="17"/>
  <c r="D60" i="17"/>
  <c r="D50" i="17"/>
  <c r="D39" i="17"/>
  <c r="D28" i="17"/>
  <c r="D45" i="17"/>
  <c r="D38" i="17"/>
  <c r="D42" i="17"/>
  <c r="D48" i="17"/>
  <c r="D54" i="17"/>
  <c r="D49" i="17"/>
  <c r="D16" i="17"/>
  <c r="D27" i="17"/>
  <c r="D17" i="17"/>
  <c r="D8" i="17"/>
  <c r="D14" i="17"/>
  <c r="D24" i="17"/>
  <c r="D13" i="17"/>
  <c r="D21" i="17"/>
  <c r="D15" i="17"/>
  <c r="D12" i="17"/>
  <c r="D22" i="17"/>
  <c r="D6" i="17"/>
  <c r="D26" i="17"/>
  <c r="D11" i="17"/>
  <c r="D25" i="17"/>
  <c r="D18" i="17"/>
  <c r="D9" i="17"/>
  <c r="D20" i="17"/>
  <c r="D7" i="17"/>
  <c r="D10" i="17"/>
  <c r="D23" i="17"/>
  <c r="D30" i="17"/>
  <c r="D29" i="17"/>
  <c r="D19" i="17"/>
  <c r="D74" i="17"/>
  <c r="D72" i="17"/>
  <c r="D81" i="17"/>
  <c r="D76" i="17"/>
  <c r="D92" i="17"/>
  <c r="D90" i="17"/>
  <c r="D77" i="17"/>
  <c r="D86" i="17"/>
  <c r="D91" i="17"/>
  <c r="D94" i="17"/>
  <c r="D71" i="17"/>
  <c r="D73" i="17"/>
  <c r="D83" i="17"/>
  <c r="D80" i="17"/>
  <c r="D82" i="17"/>
  <c r="D75" i="17"/>
  <c r="D85" i="17"/>
  <c r="D70" i="17"/>
  <c r="D79" i="17"/>
  <c r="D78" i="17"/>
  <c r="D93" i="17"/>
  <c r="D84" i="17"/>
  <c r="D88" i="17"/>
  <c r="D89" i="17"/>
  <c r="D87" i="17"/>
  <c r="B5" i="14" l="1"/>
  <c r="E5" i="13" l="1"/>
  <c r="B6" i="14"/>
  <c r="B7" i="14" l="1"/>
  <c r="E7" i="13" s="1"/>
  <c r="E6" i="13"/>
  <c r="B8" i="14" l="1"/>
  <c r="B9" i="14" l="1"/>
  <c r="E8" i="13"/>
  <c r="E9" i="13" l="1"/>
  <c r="B10" i="14"/>
  <c r="E10" i="13" l="1"/>
  <c r="B11" i="14"/>
  <c r="B12" i="14" l="1"/>
  <c r="E11" i="13"/>
  <c r="E12" i="13" l="1"/>
  <c r="B13" i="14"/>
  <c r="E13" i="13" l="1"/>
  <c r="B14" i="14"/>
  <c r="E14" i="13" l="1"/>
  <c r="B15" i="14"/>
  <c r="E15" i="13" l="1"/>
  <c r="B16" i="14"/>
  <c r="B17" i="14" l="1"/>
  <c r="E16" i="13"/>
  <c r="B18" i="14" l="1"/>
  <c r="E17" i="13"/>
  <c r="E18" i="13" l="1"/>
  <c r="B19" i="14"/>
  <c r="E19" i="13" l="1"/>
  <c r="B20" i="14"/>
  <c r="E20" i="13" l="1"/>
  <c r="B21" i="14"/>
  <c r="B22" i="14" l="1"/>
  <c r="E21" i="13"/>
  <c r="B23" i="14" l="1"/>
  <c r="E22" i="13"/>
  <c r="B24" i="14" l="1"/>
  <c r="E23" i="13"/>
  <c r="E24" i="13" l="1"/>
  <c r="B25" i="14"/>
  <c r="B26" i="14" l="1"/>
  <c r="E25" i="13"/>
  <c r="B27" i="14" l="1"/>
  <c r="E26" i="13"/>
  <c r="B28" i="14" l="1"/>
  <c r="E27" i="13"/>
  <c r="E28" i="13" l="1"/>
  <c r="I24" i="13" l="1"/>
  <c r="I19" i="13"/>
  <c r="I22" i="13"/>
  <c r="I6" i="13"/>
  <c r="I17" i="13"/>
  <c r="I15" i="13"/>
  <c r="I8" i="13"/>
  <c r="I5" i="13"/>
  <c r="I16" i="13"/>
  <c r="I21" i="13"/>
  <c r="I12" i="13"/>
  <c r="I25" i="13"/>
  <c r="I11" i="13"/>
  <c r="I10" i="13"/>
  <c r="I14" i="13"/>
  <c r="I20" i="13"/>
  <c r="I7" i="13"/>
  <c r="I23" i="13"/>
  <c r="I26" i="13"/>
  <c r="I18" i="13"/>
  <c r="I28" i="13"/>
  <c r="I9" i="13"/>
  <c r="I13" i="13"/>
  <c r="I27" i="13"/>
  <c r="Q121" i="15" l="1"/>
  <c r="Q123" i="15" l="1"/>
  <c r="R123" i="15" s="1"/>
  <c r="S123" i="15" s="1"/>
  <c r="Q126" i="15" l="1"/>
  <c r="R126" i="15"/>
  <c r="T123" i="15"/>
  <c r="S126" i="15"/>
  <c r="U123" i="15" l="1"/>
  <c r="T126" i="15"/>
  <c r="V123" i="15" l="1"/>
  <c r="U126" i="15"/>
  <c r="V126" i="15" l="1"/>
  <c r="W123" i="15"/>
  <c r="W126" i="15" l="1"/>
  <c r="X123" i="15"/>
  <c r="X126" i="15" l="1"/>
  <c r="Y123" i="15"/>
  <c r="Y126" i="15" l="1"/>
  <c r="Z123" i="15"/>
  <c r="Z126" i="15" l="1"/>
  <c r="AA123" i="15"/>
  <c r="AB123" i="15" l="1"/>
  <c r="AA126" i="15"/>
  <c r="AB126" i="15" l="1"/>
  <c r="AC123" i="15"/>
  <c r="AC126" i="15" l="1"/>
  <c r="AD123" i="15"/>
  <c r="AE123" i="15" l="1"/>
  <c r="AD126" i="15"/>
  <c r="AE126" i="15" l="1"/>
  <c r="AF123" i="15"/>
  <c r="AG123" i="15" l="1"/>
  <c r="AF126" i="15"/>
  <c r="AG126" i="15" l="1"/>
  <c r="AH123" i="15"/>
  <c r="AH126" i="15" l="1"/>
  <c r="AI123" i="15"/>
  <c r="AJ123" i="15" l="1"/>
  <c r="AI126" i="15"/>
  <c r="AJ126" i="15" l="1"/>
  <c r="AK123" i="15"/>
  <c r="AK126" i="15" l="1"/>
  <c r="AL123" i="15"/>
  <c r="AL126" i="15" l="1"/>
  <c r="AM123" i="15"/>
  <c r="AM126" i="15" l="1"/>
  <c r="AN123" i="15"/>
  <c r="AN126" i="15" s="1"/>
  <c r="C5" i="14" l="1"/>
  <c r="F5" i="14"/>
  <c r="F6" i="14" s="1"/>
  <c r="D5" i="14" l="1"/>
  <c r="C6" i="14"/>
  <c r="B5" i="13"/>
  <c r="F7" i="14"/>
  <c r="H5" i="14" l="1"/>
  <c r="D6" i="14"/>
  <c r="C7" i="14"/>
  <c r="B6" i="13"/>
  <c r="F8" i="14"/>
  <c r="H5" i="13"/>
  <c r="H6" i="14" l="1"/>
  <c r="F9" i="14"/>
  <c r="D7" i="14"/>
  <c r="C8" i="14"/>
  <c r="B7" i="13"/>
  <c r="H6" i="13"/>
  <c r="H7" i="14" l="1"/>
  <c r="D8" i="14"/>
  <c r="C9" i="14"/>
  <c r="F10" i="14"/>
  <c r="H7" i="13"/>
  <c r="B8" i="13"/>
  <c r="H8" i="14" l="1"/>
  <c r="B9" i="13"/>
  <c r="F11" i="14"/>
  <c r="H8" i="13"/>
  <c r="D9" i="14"/>
  <c r="C10" i="14"/>
  <c r="H9" i="14" l="1"/>
  <c r="H9" i="13"/>
  <c r="F12" i="14"/>
  <c r="D10" i="14"/>
  <c r="C11" i="14"/>
  <c r="B10" i="13"/>
  <c r="H10" i="14" l="1"/>
  <c r="D11" i="14"/>
  <c r="C12" i="14"/>
  <c r="F13" i="14"/>
  <c r="B11" i="13"/>
  <c r="H10" i="13"/>
  <c r="H11" i="14" l="1"/>
  <c r="F14" i="14"/>
  <c r="D12" i="14"/>
  <c r="C13" i="14"/>
  <c r="B12" i="13"/>
  <c r="H11" i="13"/>
  <c r="H12" i="14" l="1"/>
  <c r="D13" i="14"/>
  <c r="C14" i="14"/>
  <c r="F15" i="14"/>
  <c r="H12" i="13"/>
  <c r="B13" i="13"/>
  <c r="H13" i="14" l="1"/>
  <c r="F16" i="14"/>
  <c r="D14" i="14"/>
  <c r="C15" i="14"/>
  <c r="H13" i="13"/>
  <c r="B14" i="13"/>
  <c r="H14" i="14" l="1"/>
  <c r="D15" i="14"/>
  <c r="C16" i="14"/>
  <c r="F17" i="14"/>
  <c r="H14" i="13"/>
  <c r="B15" i="13"/>
  <c r="H15" i="14" l="1"/>
  <c r="F18" i="14"/>
  <c r="D16" i="14"/>
  <c r="C17" i="14"/>
  <c r="H15" i="13"/>
  <c r="B16" i="13"/>
  <c r="H16" i="14" l="1"/>
  <c r="D17" i="14"/>
  <c r="C18" i="14"/>
  <c r="F19" i="14"/>
  <c r="H16" i="13"/>
  <c r="B17" i="13"/>
  <c r="H17" i="14" l="1"/>
  <c r="F20" i="14"/>
  <c r="D18" i="14"/>
  <c r="C19" i="14"/>
  <c r="H17" i="13"/>
  <c r="B18" i="13"/>
  <c r="H18" i="14" l="1"/>
  <c r="D19" i="14"/>
  <c r="C20" i="14"/>
  <c r="F21" i="14"/>
  <c r="B19" i="13"/>
  <c r="H18" i="13"/>
  <c r="H19" i="14" l="1"/>
  <c r="B20" i="13"/>
  <c r="H20" i="13" s="1"/>
  <c r="F22" i="14"/>
  <c r="D20" i="14"/>
  <c r="C21" i="14"/>
  <c r="H19" i="13"/>
  <c r="H20" i="14" l="1"/>
  <c r="B21" i="13"/>
  <c r="H21" i="13" s="1"/>
  <c r="F23" i="14"/>
  <c r="D21" i="14"/>
  <c r="C22" i="14"/>
  <c r="H21" i="14" l="1"/>
  <c r="F24" i="14"/>
  <c r="D22" i="14"/>
  <c r="C23" i="14"/>
  <c r="B22" i="13"/>
  <c r="H22" i="14" l="1"/>
  <c r="F25" i="14"/>
  <c r="D23" i="14"/>
  <c r="C24" i="14"/>
  <c r="B23" i="13"/>
  <c r="H22" i="13"/>
  <c r="H23" i="14" l="1"/>
  <c r="D24" i="14"/>
  <c r="C25" i="14"/>
  <c r="H23" i="13"/>
  <c r="B24" i="13"/>
  <c r="F26" i="14"/>
  <c r="H24" i="14" l="1"/>
  <c r="B25" i="13"/>
  <c r="H25" i="13" s="1"/>
  <c r="F27" i="14"/>
  <c r="D25" i="14"/>
  <c r="C26" i="14"/>
  <c r="H24" i="13"/>
  <c r="H25" i="14" l="1"/>
  <c r="F28" i="14"/>
  <c r="D26" i="14"/>
  <c r="C27" i="14"/>
  <c r="B26" i="13"/>
  <c r="H26" i="14" l="1"/>
  <c r="D27" i="14"/>
  <c r="C28" i="14"/>
  <c r="H26" i="13"/>
  <c r="B27" i="13"/>
  <c r="H27" i="14" l="1"/>
  <c r="D28" i="14"/>
  <c r="H27" i="13"/>
  <c r="B28" i="13"/>
  <c r="H28" i="14" l="1"/>
  <c r="H28" i="13"/>
  <c r="C5" i="18" l="1"/>
  <c r="H7" i="18"/>
  <c r="E8" i="18"/>
  <c r="K9" i="18"/>
  <c r="E10" i="18"/>
  <c r="G10" i="18"/>
  <c r="G11" i="18"/>
  <c r="H14" i="18"/>
  <c r="E15" i="18"/>
  <c r="K17" i="18"/>
  <c r="K21" i="18" s="1"/>
  <c r="E5" i="18"/>
  <c r="C7" i="18"/>
  <c r="H8" i="18"/>
  <c r="C10" i="18"/>
  <c r="I11" i="18"/>
  <c r="K13" i="18"/>
  <c r="G14" i="18"/>
  <c r="H16" i="18"/>
  <c r="H17" i="18"/>
  <c r="H21" i="18" s="1"/>
  <c r="E13" i="18"/>
  <c r="D15" i="18"/>
  <c r="H6" i="18"/>
  <c r="E9" i="18"/>
  <c r="I13" i="18"/>
  <c r="F15" i="18"/>
  <c r="I5" i="18"/>
  <c r="C6" i="18"/>
  <c r="I8" i="18"/>
  <c r="F9" i="18"/>
  <c r="C11" i="18"/>
  <c r="H13" i="18"/>
  <c r="K14" i="18"/>
  <c r="D16" i="18"/>
  <c r="F16" i="18"/>
  <c r="C17" i="18"/>
  <c r="C21" i="18" s="1"/>
  <c r="I6" i="18"/>
  <c r="K8" i="18"/>
  <c r="F11" i="18"/>
  <c r="C13" i="18"/>
  <c r="H15" i="18"/>
  <c r="G16" i="18"/>
  <c r="E11" i="18"/>
  <c r="I14" i="18"/>
  <c r="K16" i="18"/>
  <c r="K5" i="18"/>
  <c r="D9" i="18"/>
  <c r="K12" i="18"/>
  <c r="F14" i="18"/>
  <c r="G5" i="18"/>
  <c r="E6" i="18"/>
  <c r="D7" i="18"/>
  <c r="G8" i="18"/>
  <c r="D8" i="18"/>
  <c r="I9" i="18"/>
  <c r="D10" i="18"/>
  <c r="D11" i="18"/>
  <c r="G12" i="18"/>
  <c r="F13" i="18"/>
  <c r="C14" i="18"/>
  <c r="C15" i="18"/>
  <c r="C16" i="18"/>
  <c r="E16" i="18"/>
  <c r="E17" i="18"/>
  <c r="E21" i="18" s="1"/>
  <c r="H5" i="18"/>
  <c r="F6" i="18"/>
  <c r="G6" i="18"/>
  <c r="G7" i="18"/>
  <c r="F8" i="18"/>
  <c r="G9" i="18"/>
  <c r="F10" i="18"/>
  <c r="D12" i="18"/>
  <c r="D14" i="18"/>
  <c r="I12" i="18"/>
  <c r="E14" i="18"/>
  <c r="D17" i="18"/>
  <c r="D21" i="18" s="1"/>
  <c r="F5" i="18"/>
  <c r="D6" i="18"/>
  <c r="I7" i="18"/>
  <c r="F7" i="18"/>
  <c r="C8" i="18"/>
  <c r="H9" i="18"/>
  <c r="H10" i="18"/>
  <c r="K11" i="18"/>
  <c r="E12" i="18"/>
  <c r="F12" i="18"/>
  <c r="D13" i="18"/>
  <c r="K15" i="18"/>
  <c r="I15" i="18"/>
  <c r="I16" i="18"/>
  <c r="I17" i="18"/>
  <c r="I21" i="18" s="1"/>
  <c r="D5" i="18"/>
  <c r="K6" i="18"/>
  <c r="K7" i="18"/>
  <c r="E7" i="18"/>
  <c r="C9" i="18"/>
  <c r="K10" i="18"/>
  <c r="I10" i="18"/>
  <c r="H11" i="18"/>
  <c r="C12" i="18"/>
  <c r="H12" i="18"/>
  <c r="G13" i="18"/>
  <c r="G15" i="18"/>
  <c r="G17" i="18"/>
  <c r="G21" i="18" s="1"/>
  <c r="F17" i="18"/>
  <c r="F21" i="18" s="1"/>
  <c r="L7" i="18" l="1"/>
  <c r="L11" i="18"/>
  <c r="L15" i="18"/>
  <c r="L16" i="18"/>
  <c r="L17" i="18"/>
  <c r="L21" i="18" s="1"/>
  <c r="L5" i="18"/>
  <c r="L9" i="18"/>
  <c r="L10" i="18"/>
  <c r="L13" i="18"/>
  <c r="L8" i="18"/>
  <c r="L12" i="18"/>
  <c r="L14" i="18"/>
  <c r="L6" i="18"/>
  <c r="B14" i="18"/>
  <c r="G18" i="18"/>
  <c r="B8" i="18"/>
  <c r="B16" i="18"/>
  <c r="D18" i="18"/>
  <c r="B6" i="18"/>
  <c r="B13" i="18"/>
  <c r="B15" i="18"/>
  <c r="B17" i="18"/>
  <c r="B21" i="18" s="1"/>
  <c r="F18" i="18"/>
  <c r="I18" i="18"/>
  <c r="B10" i="18"/>
  <c r="E18" i="18"/>
  <c r="B9" i="18"/>
  <c r="H18" i="18"/>
  <c r="K18" i="18"/>
  <c r="B5" i="18"/>
  <c r="B7" i="18"/>
  <c r="B12" i="18"/>
  <c r="B11" i="18"/>
  <c r="C18" i="18"/>
  <c r="L18" i="18" l="1"/>
  <c r="M17" i="18"/>
  <c r="M5" i="18"/>
  <c r="B18" i="18"/>
  <c r="M14" i="18"/>
  <c r="M11" i="18"/>
  <c r="M8" i="18"/>
  <c r="M10" i="18" l="1"/>
  <c r="M15" i="18"/>
  <c r="M7" i="18"/>
  <c r="M16" i="18"/>
  <c r="M13" i="18"/>
  <c r="M9" i="18"/>
  <c r="M12" i="18"/>
  <c r="M6" i="18"/>
  <c r="J18" i="18"/>
  <c r="M18" i="18" l="1"/>
</calcChain>
</file>

<file path=xl/sharedStrings.xml><?xml version="1.0" encoding="utf-8"?>
<sst xmlns="http://schemas.openxmlformats.org/spreadsheetml/2006/main" count="1515" uniqueCount="490">
  <si>
    <t>Forecast Additions to Net Plant</t>
  </si>
  <si>
    <t>Non-Incentive</t>
  </si>
  <si>
    <t>Incentive</t>
  </si>
  <si>
    <t>Total Non-Incentive and Incentive</t>
  </si>
  <si>
    <t>Forecast Period Mon-Yr</t>
  </si>
  <si>
    <t>Gross Additions</t>
  </si>
  <si>
    <t>Transmission High / Low Voltage Summary ($000)</t>
  </si>
  <si>
    <t>High Voltage</t>
  </si>
  <si>
    <t>Low Voltage</t>
  </si>
  <si>
    <t>Month</t>
  </si>
  <si>
    <t>Total</t>
  </si>
  <si>
    <t>Total Adds</t>
  </si>
  <si>
    <t>Non-Incentive Plant Additions Forecast</t>
  </si>
  <si>
    <t>First Forecast Month</t>
  </si>
  <si>
    <t xml:space="preserve">Blanket Forecast </t>
  </si>
  <si>
    <t>WBS</t>
  </si>
  <si>
    <t>WBS Description</t>
  </si>
  <si>
    <t>Pin #</t>
  </si>
  <si>
    <t>Voltage</t>
  </si>
  <si>
    <t>Forecast Date</t>
  </si>
  <si>
    <t>Asset Class</t>
  </si>
  <si>
    <t>Collectible %</t>
  </si>
  <si>
    <t>ISO %</t>
  </si>
  <si>
    <t>Total Blankets</t>
  </si>
  <si>
    <t>Total Incremental Blankets Plant Balance</t>
  </si>
  <si>
    <t>Non-Incentive Specifics Forecast</t>
  </si>
  <si>
    <t>Total Specifics</t>
  </si>
  <si>
    <t>Total Incremental Non-Incentive Specifics Plant Balance</t>
  </si>
  <si>
    <t>Total Incremental Non-Incentive Plant Balance</t>
  </si>
  <si>
    <t>Incentive CWIP &amp; Plant Additions Forecast</t>
  </si>
  <si>
    <t>Devers Colorado River (DCR)</t>
  </si>
  <si>
    <t>Incentive Specifics Forecast</t>
  </si>
  <si>
    <t>Note: Incentive Specific Projects are loaded for OH and closed based on the specific date
No AFUDC on Incentive Projects (*INC), Trailing Charges are closed the month expenditures are incurred</t>
  </si>
  <si>
    <t>Closings</t>
  </si>
  <si>
    <t>CWIP Incentive Expenditure Forecast</t>
  </si>
  <si>
    <t>Note: Incentive CWIP is part of Rate Base as Expenditures are made, No AFUDC is applied, Includes Incentive LHFFU</t>
  </si>
  <si>
    <t>Expenditures</t>
  </si>
  <si>
    <t>Total Incentive CWIP Expenditures (Excludes OH)</t>
  </si>
  <si>
    <t>Tehachapi Segments 3B &amp; 3C</t>
  </si>
  <si>
    <t>Tehachapi Segments 4-11</t>
  </si>
  <si>
    <t>Red Bluff Substation</t>
  </si>
  <si>
    <t>Eldorado - Ivanpah</t>
  </si>
  <si>
    <t>Lugo-Pisgah</t>
  </si>
  <si>
    <t>West of Devers</t>
  </si>
  <si>
    <t>Note: Incentive Specific Projects are loaded for OH and closed based on the specific date</t>
  </si>
  <si>
    <t>Colorado River Substation</t>
  </si>
  <si>
    <t>Whirlwind Substation Expansion Project</t>
  </si>
  <si>
    <t>Incentive Expenditures</t>
  </si>
  <si>
    <t>Incentive CWIP Expenditures</t>
  </si>
  <si>
    <t>Total All Projects</t>
  </si>
  <si>
    <t>Tehachapi Segments 1 - 3A</t>
  </si>
  <si>
    <t>Recorded</t>
  </si>
  <si>
    <t>Forecast</t>
  </si>
  <si>
    <t>Rancho Vista</t>
  </si>
  <si>
    <t>Incentive Closings</t>
  </si>
  <si>
    <t>Incentive Plant Closings</t>
  </si>
  <si>
    <t>Beginning CWIP Closed to Plant in Service</t>
  </si>
  <si>
    <t>2012 CWIP Balances closed in Forecast Period</t>
  </si>
  <si>
    <t>Southern California Edison Company</t>
  </si>
  <si>
    <t>Incentive CWIP - FERC Projects Detail</t>
  </si>
  <si>
    <t xml:space="preserve">TRTP All Segments </t>
  </si>
  <si>
    <t>DCR</t>
  </si>
  <si>
    <t>Red Bluff</t>
  </si>
  <si>
    <t>Eldorado-Ivanpah</t>
  </si>
  <si>
    <t>Colorado River</t>
  </si>
  <si>
    <t>Whirlwind</t>
  </si>
  <si>
    <t>South of Kramer</t>
  </si>
  <si>
    <t>13 Mo. Avg</t>
  </si>
  <si>
    <t>CET-ET-TP-EC-484700</t>
  </si>
  <si>
    <t xml:space="preserve">DCR: Preliminary Engineering, Licensing </t>
  </si>
  <si>
    <t>High</t>
  </si>
  <si>
    <t>TR-LINE</t>
  </si>
  <si>
    <t>CET-ET-TP-EC-484701</t>
  </si>
  <si>
    <t>Devers - Colorado River #2 500KV T/L: Build 110 mile single circuit 500kV T/L with 2B-2156 ACSR conductor, including OPGW, paralleling the existing Devers - Palo Verde #1 500kV T/L terminating at Colorado River Substation.</t>
  </si>
  <si>
    <t>CET-ET-TP-EC-484705</t>
  </si>
  <si>
    <t>Devers - Valley #2 500kV T/L: Build a new 42 mile single circuit 500kV T/L, including OPGW, with 2B-2156 KCMIL ACSR conductor, paralleling the existing Devers - Valley 500kV line.</t>
  </si>
  <si>
    <t>CET-ET-TP-EC-484716</t>
  </si>
  <si>
    <t>I: DCR: Devers: Replace Circuit Breakers</t>
  </si>
  <si>
    <t>TR-SUB</t>
  </si>
  <si>
    <t>CET-ET-TP-EC-484717</t>
  </si>
  <si>
    <t>Devers Substation: Extend 500kV BUS two positions.</t>
  </si>
  <si>
    <t>CET-ET-TP-EC-484722</t>
  </si>
  <si>
    <t>Valley Substation: Equip line position 8X with two 4000A, 63kA, 500kV circuit breakers and other associated equipment to terminate the new Devers - Valley #2 500kV T/L.</t>
  </si>
  <si>
    <t xml:space="preserve">Devers-Colorado River 500KV SERIES CAP (CA): Install an additional 500KV SERIES CAPACITOR BANK for the new Devers - Colorado River No.2 500KV Transmission Line. </t>
  </si>
  <si>
    <t>CET-ET-TP-EC-484726</t>
  </si>
  <si>
    <t>Colorado River Switchyard: Construct a new 6 position 500kV switchyard.</t>
  </si>
  <si>
    <t>CET-ET-TP-EC-484728</t>
  </si>
  <si>
    <t>Development of the Material Yards and helicopter assembly yards.</t>
  </si>
  <si>
    <t>CET-ET-TP-EC-484704</t>
  </si>
  <si>
    <t>Devers - Valley T/L: Relocate approximately 0.25 mile of existing single - circuit 500kV T/L.</t>
  </si>
  <si>
    <t>Projects</t>
  </si>
  <si>
    <t>Balance Type</t>
  </si>
  <si>
    <t>CET-ET-TP-RL-514600</t>
  </si>
  <si>
    <t>Various Substations: Fire Mitigation</t>
  </si>
  <si>
    <t>Blanket</t>
  </si>
  <si>
    <t>CET-ET-IR-CB-421100</t>
  </si>
  <si>
    <t>Low</t>
  </si>
  <si>
    <t>CET-ET-IR-ME-313800</t>
  </si>
  <si>
    <t>Sylmar Converter Station &amp; HVDC T/L: Capital Additions &amp; Betterment</t>
  </si>
  <si>
    <t>CET-ET-IR-ME-465100</t>
  </si>
  <si>
    <t>CET-ET-IR-RP-508900</t>
  </si>
  <si>
    <t>CET-OT-OT-BP-642801</t>
  </si>
  <si>
    <t>CET-PD-IR-TP-TREAST</t>
  </si>
  <si>
    <t>CET-PD-BM-TU-TREAST</t>
  </si>
  <si>
    <t>CET-PD-OT-PJ-729801</t>
  </si>
  <si>
    <t>CET-PD-CL-TC-TREAST</t>
  </si>
  <si>
    <t>CET-PD-ST-TS-TREAST</t>
  </si>
  <si>
    <t>CET-ET-TP-RN-755900</t>
  </si>
  <si>
    <t>Colorado Riv(NU) install 220kV CBs &amp; Remote Terminal Unit (RTU)</t>
  </si>
  <si>
    <t>CET-ET-TP-RN-669400</t>
  </si>
  <si>
    <t xml:space="preserve">Devers: Upgrade the Devers RTU </t>
  </si>
  <si>
    <t>CET-ET-TP-RN-669407</t>
  </si>
  <si>
    <t>Vista Sub: Upgrade line protection at the Devers #1 220kV T/L position.</t>
  </si>
  <si>
    <t>CET-ET-TP-RN-669402</t>
  </si>
  <si>
    <t>El Casco Sub: Install one SEL-2407 satellite synchronized clock and two N60 relays</t>
  </si>
  <si>
    <t>CET-ET-TP-RN-669405</t>
  </si>
  <si>
    <t>San Bernardino Sub: Install one SEL-2407 satellite synchronized clock and four N60 relays</t>
  </si>
  <si>
    <t>CET-ET-LG-TS-610705</t>
  </si>
  <si>
    <t>Pardee Sub:  Install new double breaker 220 kV CB's in position 11 to terminate bank leads</t>
  </si>
  <si>
    <t>CET-ET-TP-RL-495601</t>
  </si>
  <si>
    <t>Big Creek #3-Springville 220-kV: Construct approx. 23 miles of new double-circuit 230kV T/L</t>
  </si>
  <si>
    <t>CET-ET-TP-RL-615405</t>
  </si>
  <si>
    <t>N of Magunden : Install a 2nd set of Bushing Current Transformer's on 220kV CB #1 on position 1</t>
  </si>
  <si>
    <t>CET-ET-TP-RL-615409</t>
  </si>
  <si>
    <t xml:space="preserve">Vestal - Install a second set of BCT’s on 220kV CB’s #1 and 2 on position 1 </t>
  </si>
  <si>
    <t>CET-ET-TP-RL-641502</t>
  </si>
  <si>
    <t>Mirage Sub: PHASE 2 - Replace two (2) 2000A 220kV CB's at positions 2S and 3S</t>
  </si>
  <si>
    <t>CET-ET-TP-RL-641500</t>
  </si>
  <si>
    <t>Devers-Mirage #1 230kV T/L: Build 15 mil (Path 42) Double Circuit 220kV T/L</t>
  </si>
  <si>
    <t>CET-ET-TP-RL-641503</t>
  </si>
  <si>
    <t>Devers Sub: PHASE 1 - Install relays, meters and logic controllers as necessary for IID's new SPS</t>
  </si>
  <si>
    <t>CET-ET-TP-RL-641504</t>
  </si>
  <si>
    <t>Mirage Sub: PHASE 1 - Install relays, meters and logic controllers as necessary for IID's new SPS</t>
  </si>
  <si>
    <t>CET-ET-TP-RL-679100</t>
  </si>
  <si>
    <t>Lugo 500kV Sub breaker installation for No. 1AA &amp; No. 2AA banks</t>
  </si>
  <si>
    <t>CET-ET-TP-RL-679101</t>
  </si>
  <si>
    <t>CET-ET-TP-RN-724800</t>
  </si>
  <si>
    <t>Eldorado: Install (1) 500 kV Switchyard Operating Bus extension, (8) bus dead-end structures, (48) bus dead-end insulator assemblies.</t>
  </si>
  <si>
    <t>CET-ET-TP-RL-724100</t>
  </si>
  <si>
    <t>Eldorado: Install (2) 500 kV CBs, (3) 500 kV gang operated disconnects and other associated equipment to terminate the 3 AA bank to the number 3 position on the Eldorado 500 kV bus</t>
  </si>
  <si>
    <t>CET-ET-TP-RL-737600</t>
  </si>
  <si>
    <t>Eldorado-Install Fire Mitigation 3AA</t>
  </si>
  <si>
    <t>CET-ET-TP-RN-742600</t>
  </si>
  <si>
    <t>Primm (POS NU): New 220kV Sub</t>
  </si>
  <si>
    <t>Eldorado-Ivanpah #1(NU): Loop into Primm</t>
  </si>
  <si>
    <t>CET-ET-TP-RL-711600</t>
  </si>
  <si>
    <t>Villa Park: Equip the 230 KV A-Bank positions (no. 1 &amp; 2) with circuit breakers</t>
  </si>
  <si>
    <t>CET-ET-TP-RL-711700</t>
  </si>
  <si>
    <t>Kramer Sub: Equip 1A &amp; 2A with CBs ---- Kramer: Equip 1A &amp; 2A with CBs</t>
  </si>
  <si>
    <t>CET-ET-TP-RL-712100</t>
  </si>
  <si>
    <t>Padua: Equip 2A &amp; 3A with CBs</t>
  </si>
  <si>
    <t>CET-ET-TP-RL-679200</t>
  </si>
  <si>
    <t>CET-OT-OT-BP-642800</t>
  </si>
  <si>
    <t>CET-ET-TP-RN-643406</t>
  </si>
  <si>
    <t>CET-ET-TP-RN-718300</t>
  </si>
  <si>
    <t>230 kV Transmission Line Between Highwind and Winhub Substations</t>
  </si>
  <si>
    <t>CET-ET-TP-RN-718301</t>
  </si>
  <si>
    <t>Highwind Substation Construction</t>
  </si>
  <si>
    <t>CET-ET-TP-RN-718302</t>
  </si>
  <si>
    <t>TRTP Segment 3B: Highwind-Windhub</t>
  </si>
  <si>
    <t>CET-ET-TP-RN-701401</t>
  </si>
  <si>
    <t xml:space="preserve">I: TRTP Segment 3C: Windhub Sub: Install transformer banks 1AA and 2AA. </t>
  </si>
  <si>
    <t>CET-ET-TP-RN-701404</t>
  </si>
  <si>
    <t>I: TRTP 3C-5: Antelope 500kV Sub upgrade.</t>
  </si>
  <si>
    <t>CET-ET-TP-RN-547202</t>
  </si>
  <si>
    <t>I: TRTP 5-3: Antelope-Vincent #2 500kV: Construct new 18-miles single-circuit T/L on existing right of way.</t>
  </si>
  <si>
    <t>CET-ET-TP-RN-547206</t>
  </si>
  <si>
    <t>TRTP 4-11: Licensing</t>
  </si>
  <si>
    <t>CET-ET-TP-RN-524301</t>
  </si>
  <si>
    <t xml:space="preserve">I: TRTP 6-2: New Vincent-Duarte 500kV: Construct new 27 miles single-circuit 500kV T/L on existing ROW vacated by Antelope-Mesa line. </t>
  </si>
  <si>
    <t>CET-ET-TP-RN-524300</t>
  </si>
  <si>
    <t xml:space="preserve">I: TRTP 6-4: New Vincent-ANF 500kV: Construct 5 miles single-circuit 500kV T/L between Vincent SS and ANF boundary (M0-T1). </t>
  </si>
  <si>
    <t>CET-RP-TP-RN-524300</t>
  </si>
  <si>
    <t xml:space="preserve">I: TRTP 6-6: Land Acquisition. </t>
  </si>
  <si>
    <t>CET-ET-TP-RN-643803</t>
  </si>
  <si>
    <t xml:space="preserve">I: TRTP 7-2: Vincent-Rio Hondo #2: Construct 0.61 mile DC 500kV T/L cutover to connect new 27-miles 500kV T/L to existing Vincent-Rio Hondo #2.  </t>
  </si>
  <si>
    <t>CET-ET-TP-RN-643801</t>
  </si>
  <si>
    <t xml:space="preserve">I: TRTP 7-3: Antelope-Mesa 230kV T/L: Construct new 16-mile double-circuit 500kV T/L (2B-2156 ACSR)between the City of Duarte and near the Mesa SS.  </t>
  </si>
  <si>
    <t>CET-RP-TP-RN-643800</t>
  </si>
  <si>
    <t xml:space="preserve">I: TRTP 7-7: Land Acquisition. </t>
  </si>
  <si>
    <t>CET-ET-TP-RN-643905</t>
  </si>
  <si>
    <t xml:space="preserve">I: TRTP 8-2: MA1-T4 to MA1-T2: Construct 1.33 miles double-circuit 220kV T/L at Rose Hills from MA1-T4 to MA1-T2. </t>
  </si>
  <si>
    <t>CET-ET-TP-RN-643904</t>
  </si>
  <si>
    <t>I: TRTP 8-4: Construct 0.44 miles 220kV T/L at water tank/ Fullerton Rd.</t>
  </si>
  <si>
    <t>CET-ET-TP-RN-643902</t>
  </si>
  <si>
    <t xml:space="preserve">I: TRTP 8-7: Chino-Mira Loma #1 &amp; #2: Construct 7.26 miles Chino-Mira Loma #1 &amp; #2 220kV T/L.  </t>
  </si>
  <si>
    <t>CET-ET-TP-RN-643907</t>
  </si>
  <si>
    <t xml:space="preserve">I: TRTP 8-8: Mira Loma-Vincent: Construct new 33 miles 500kV T/L between Mesa and Mira Loma (Section of Mira Loma and Vincent).  </t>
  </si>
  <si>
    <t>CET-ET-TP-RN-643911</t>
  </si>
  <si>
    <t xml:space="preserve">I: TRTP 8: Chino Hills State Park 500kV reroute alternative 4CM.  </t>
  </si>
  <si>
    <t>CET-RP-TP-RN-643900</t>
  </si>
  <si>
    <t>I: TRTP 8-12: Land Acquisition.</t>
  </si>
  <si>
    <t>CET-ET-TP-RN-755304</t>
  </si>
  <si>
    <t>CET-ET-TP-RN-755300</t>
  </si>
  <si>
    <t>Mira Loma Substation</t>
  </si>
  <si>
    <t>CET-ET-TP-RN-755301</t>
  </si>
  <si>
    <t>Vincent Substation</t>
  </si>
  <si>
    <t>CET-RP-TP-RN-755300</t>
  </si>
  <si>
    <t>ACQ: CHUG - TRTP-Segment 8</t>
  </si>
  <si>
    <t>CET-ET-TP-RN-755302</t>
  </si>
  <si>
    <t>East Transition Station</t>
  </si>
  <si>
    <t>CET-ET-TP-RN-755303</t>
  </si>
  <si>
    <t>West Transition Station</t>
  </si>
  <si>
    <t>CET-ET-TP-RN-644017</t>
  </si>
  <si>
    <t>TRTP SEGMENT 9: WHIRLWIND - CONSTRUCT NEW SUBSTATION</t>
  </si>
  <si>
    <t>CET-ET-TP-RN-644009</t>
  </si>
  <si>
    <t>TRTP SEGMENT 9: ANTELOPE - CONSTRUCT ADDITION TO EXISTING SUBSTATION</t>
  </si>
  <si>
    <t>CET-ET-TP-RN-644006</t>
  </si>
  <si>
    <t>TRTP SEGMENT 9: VINCENT - EXTEND 500KV SWITCHRACK ADDING FOUR BAY POSITIONS. EXTEND 220KV SWITCHRACK ADDING ONE BAY POSITION.</t>
  </si>
  <si>
    <t>CET-ET-TP-RN-644016</t>
  </si>
  <si>
    <t>TRTP SEGMENT 9: MESA SUB - EQUIP 220KV line protection</t>
  </si>
  <si>
    <t>CET-ET-TP-RN-644007</t>
  </si>
  <si>
    <t>TRTP SEGMENT 9: MIRA LOMA SUB - EQUIP 1 500KV line protection</t>
  </si>
  <si>
    <t>CET-ET-TP-RN-644000</t>
  </si>
  <si>
    <t>TRTP SEGMENT 9: GOULD - ADD CB'S ON TRANSFORMERS TO COMPLY WITH L&amp;B CRITERIA. ADD NEW 220KV LINE POSITION (PART OF SEGMENT 9-1)</t>
  </si>
  <si>
    <t>CET-ET-TP-RN-644030</t>
  </si>
  <si>
    <t>Vincent Substation Administration and Control Building</t>
  </si>
  <si>
    <t>CET-ET-TP-RN-644100</t>
  </si>
  <si>
    <t xml:space="preserve">I: TRTP 10-1: Whirlwind-Windhub 500kV: Construct approx. 17 miles of new single-circuit 500kV T/L between Whirlwind and Windhub Substations. </t>
  </si>
  <si>
    <t>CET-ET-TP-RN-644203</t>
  </si>
  <si>
    <t xml:space="preserve">I: TRTP 11-1: Mesa-Vincent #1 500kV: Construct 18.6 miles Mesa-Vincent #1 500kV T/L. Construct approx. 18 miles of new single-circuit 500kV T/L from Vincent SS to the Gould SS area. </t>
  </si>
  <si>
    <t>CET-ET-TP-RN-644202</t>
  </si>
  <si>
    <t>I: TRTP 11-2: Mesa-Gould 220kV: String approx. 18 miles of new 220kV conductor on vacant position of existing 220kV double-circuit tower line between Mesa and Gould area.</t>
  </si>
  <si>
    <t>CET-ET-TP-RN-644200</t>
  </si>
  <si>
    <t xml:space="preserve">I: TRTP 11-4: Eagle Rock-Pardee 230kV: Construct 2 miles of single-circuit T/L to terminate Eagle Rock-Pardee 230kV T/L into Vincent. Construct approx. 0.2 mile of single-circuit T/L to connect Eagle Rock-Pardee T/L into Gould SS. </t>
  </si>
  <si>
    <t>CET-RP-TP-RN-644200</t>
  </si>
  <si>
    <t xml:space="preserve">I: TRTP 11-9: Land Acquisition. </t>
  </si>
  <si>
    <t>CET-ET-TP-RN-692901</t>
  </si>
  <si>
    <t>Modify Existing CA Series Capacitor Bank, to Provide for 70% Compensation on the D-CRS#1- 500kV Line.</t>
  </si>
  <si>
    <t>CET-ET-TP-RN-692900</t>
  </si>
  <si>
    <t>Red Bluff Substation: Construct a new 500/230kV substation.</t>
  </si>
  <si>
    <t>CET-ET-TP-RN-655101</t>
  </si>
  <si>
    <t>Construct a New Ivanpah 220/115 kV Substation</t>
  </si>
  <si>
    <t>CET-ET-TP-RN-655103</t>
  </si>
  <si>
    <t>Eldorado 220 kV Substation: Upgrades</t>
  </si>
  <si>
    <t>CET-ET-TP-RN-655104</t>
  </si>
  <si>
    <t>Eldorado-Ivanpah 220 kV T/L (California): Construct California portion of new 35 to 39-mile double-circuit 220 kV T/L (2B-1590).</t>
  </si>
  <si>
    <t>CET-ET-TP-RN-655105</t>
  </si>
  <si>
    <t xml:space="preserve">Eldorado-Ivanpah 220 kV T/L (Nevada): Construct Nevada portion of new 35 to 39-mile double-circuit 220 kV T/L (2B-1590) </t>
  </si>
  <si>
    <t>CET-ET-TP-RL-701800</t>
  </si>
  <si>
    <t>Pisgah Sub: Siting Study for New Substation</t>
  </si>
  <si>
    <t>Suspended</t>
  </si>
  <si>
    <t>CET-ET-TP-RN-709100</t>
  </si>
  <si>
    <t>TBD</t>
  </si>
  <si>
    <t>CET-ET-TP-RN-642001</t>
  </si>
  <si>
    <t>Pre-Engineering (Morongo Transmission Relocation Project)</t>
  </si>
  <si>
    <t>CET-ET-TP-RL-707600</t>
  </si>
  <si>
    <t>Colorado River Substation: Install Equipment to support Large Generation Interconnections.</t>
  </si>
  <si>
    <t>Devers: Relays for D-RB 500kV N-2 SPS</t>
  </si>
  <si>
    <t>Red Bluff Sub: Install the following SPS Relays at each location:" Two N6</t>
  </si>
  <si>
    <t>CET-ET-TP-RN-706102</t>
  </si>
  <si>
    <t>Colorado River Sub Install the following SPS Relays:" Four N60 relays (Tw</t>
  </si>
  <si>
    <t>CET-ET-TP-RN-706700</t>
  </si>
  <si>
    <t>Whirlwind 2nd AA Bank</t>
  </si>
  <si>
    <t>CET-ET-TP-RN-706701</t>
  </si>
  <si>
    <t>Whirlwind 2nd AA bank and SPS</t>
  </si>
  <si>
    <t>2015 Total Expenditures</t>
  </si>
  <si>
    <t>2015 ISO Expenditures Less Collectible</t>
  </si>
  <si>
    <t>CWIP</t>
  </si>
  <si>
    <t>CET-ET-TP-RN-692905</t>
  </si>
  <si>
    <t xml:space="preserve">Devers-Palo Verde 500 kV Line: Loop the existing line in and out of Red Bluff Substation and form the two new Colorado River-Red Bluff and Devers-Red Bluff 500kV T/L's. </t>
  </si>
  <si>
    <t>6929</t>
  </si>
  <si>
    <t>CET-ET-TP-RN-692907</t>
  </si>
  <si>
    <t>Devers - Colorado River #2 500 kV T/L:  Loop the DCR #2 line into Red Bluff Substation and form the two new Devers- Red Bluff #2 and Colorado River-Red Bluff #2 500kV T/Ls.</t>
  </si>
  <si>
    <t>TR-LINEINC</t>
  </si>
  <si>
    <t>7076</t>
  </si>
  <si>
    <t>7061</t>
  </si>
  <si>
    <t>5472</t>
  </si>
  <si>
    <t>5243</t>
  </si>
  <si>
    <t>6438</t>
  </si>
  <si>
    <t>6439</t>
  </si>
  <si>
    <t>7553</t>
  </si>
  <si>
    <t>6440</t>
  </si>
  <si>
    <t>6441</t>
  </si>
  <si>
    <t>6442</t>
  </si>
  <si>
    <t>CET-ET-TP-RN-701400</t>
  </si>
  <si>
    <t xml:space="preserve">I: TRTP 3C-1: Windhub 500kV Sub upgrade. </t>
  </si>
  <si>
    <t>CET-ET-TP-RN-643500</t>
  </si>
  <si>
    <t xml:space="preserve">I: TRTP 4-1: Antelope-Whirlwind 500kV T/L: Construct new 14-mile single-circuit 500kV T/L. </t>
  </si>
  <si>
    <t>CET-ET-TP-RN-643502</t>
  </si>
  <si>
    <t xml:space="preserve">I: TRTP 4-3: Path 26 Loop: Construct approx. 2-miles of new single-circuit 500kV T/L to loop existing Midway-Vincent No.3 500kV. </t>
  </si>
  <si>
    <t>CET-ET-TP-RN-644010</t>
  </si>
  <si>
    <t>TRTP SEGMENT 9: WINDHUB - CONSTRUCT 500kV SWITCHYARD &amp; AA TRANSFORMER BANK</t>
  </si>
  <si>
    <t>CET-ET-TP-RN-644008</t>
  </si>
  <si>
    <t>TRTP SEGMENT 9: VINCENT - EXTEND 500KV SWITCHRACK ADDING FOUR BAY POSITIONS. EXTEND 220KV SWITCHRACK ADDING ONE BAY POSITION. REMOVE MIDWAY NO. 3 SERIES CAPACITOR.</t>
  </si>
  <si>
    <t>CET-ET-TP-RN-644028</t>
  </si>
  <si>
    <t>TRTP SEGMENT 9: Replace the protective relays at Lugo Substation for the Mira Loma No.3 500kV transmission line.</t>
  </si>
  <si>
    <t>6435</t>
  </si>
  <si>
    <t>TR-SUBINC</t>
  </si>
  <si>
    <t>New Coolwater-Lugo 220 kV Transmission Line</t>
  </si>
  <si>
    <t>Current 2013 File</t>
  </si>
  <si>
    <t>Adjustments</t>
  </si>
  <si>
    <t>TRTP All Segments</t>
  </si>
  <si>
    <t>Check</t>
  </si>
  <si>
    <t>Coolwater-Lugo</t>
  </si>
  <si>
    <t>Devers - Palo Verde 500kV T/L (CA): Loop existing DPV 500kV T/L into Colorado River Switchyard.</t>
  </si>
  <si>
    <t>Highwind Substation: Visual Mitigation Measures</t>
  </si>
  <si>
    <t>Cancelled</t>
  </si>
  <si>
    <t>Mira Loma-Vincent 500 kV T/L (UG): Civil &amp; Cable Portion</t>
  </si>
  <si>
    <t>CET-ET-TP-RN-755305</t>
  </si>
  <si>
    <t>Chino Hills Related OH Line Work</t>
  </si>
  <si>
    <t>FIP- Red Bluff Minor</t>
  </si>
  <si>
    <t>7091</t>
  </si>
  <si>
    <t>CET-ET-TP-RN-709102</t>
  </si>
  <si>
    <t>Coolwater-Desert View 220kV T/L</t>
  </si>
  <si>
    <t>CET-ET-TP-RN-709103</t>
  </si>
  <si>
    <t>Desert View-Lugo 220kV T/L</t>
  </si>
  <si>
    <t>CET-ET-TP-RN-709104</t>
  </si>
  <si>
    <t>Coolwater Substation</t>
  </si>
  <si>
    <t>6420</t>
  </si>
  <si>
    <t>CET-ET-TP-RN-642012</t>
  </si>
  <si>
    <t>Devers Sub: Install 220kV CBs &amp; DSs</t>
  </si>
  <si>
    <t>CET-ET-TP-RN-642013</t>
  </si>
  <si>
    <t>El Casco Sub: Install 220kV Termnal Equipment</t>
  </si>
  <si>
    <t>CET-ET-TP-RN-642014</t>
  </si>
  <si>
    <t>Etiwanda Sub: Install 220kV Relay Equipment</t>
  </si>
  <si>
    <t>CET-ET-TP-RN-642015</t>
  </si>
  <si>
    <t>San Bernardino : Install Disconnects</t>
  </si>
  <si>
    <t>CET-ET-TP-RN-642017</t>
  </si>
  <si>
    <t>Rebuild Devers-El Casco &amp; El Casco-San Bernandino 220kV</t>
  </si>
  <si>
    <t>CET-ET-TP-RN-642016</t>
  </si>
  <si>
    <t>Vista Sub: Install Disconnects</t>
  </si>
  <si>
    <t>CET-RP-TP-RN-642000</t>
  </si>
  <si>
    <t>ACQ: West of Devers</t>
  </si>
  <si>
    <t>7067</t>
  </si>
  <si>
    <t>CET-ET-TP-RL-769500</t>
  </si>
  <si>
    <t>Install N60 relays to add generation to Whirlwind AA Bank SPS</t>
  </si>
  <si>
    <t>7695</t>
  </si>
  <si>
    <t>CET-ET-TP-RN-765000</t>
  </si>
  <si>
    <t>Whirlwind 3rd AA bank and SPS</t>
  </si>
  <si>
    <t>7650</t>
  </si>
  <si>
    <t>2014 CWIP</t>
  </si>
  <si>
    <t>2016 Total Expenditures</t>
  </si>
  <si>
    <t>2014 ISO CWIP Less Collectible</t>
  </si>
  <si>
    <t>2016 ISO Expenditures Less Collectible</t>
  </si>
  <si>
    <t>CET-ET-IR-ME-313800/01</t>
  </si>
  <si>
    <t>Bulk Circuit Breaker Replacement Program (220kV and 500kV)</t>
  </si>
  <si>
    <t>CET-ET-IR-CB-432911</t>
  </si>
  <si>
    <t>Non-Bulk Circuit Breaker Replacement Program (115kV and Below) - FERC</t>
  </si>
  <si>
    <t>CET-ET-IR-RP-434300-2</t>
  </si>
  <si>
    <t>Non-Bulk Relay Replacement Program (115kV and Below) - FERC</t>
  </si>
  <si>
    <t>CET-ET-IR-ME-448400-2</t>
  </si>
  <si>
    <t>Coupling Capacitor Voltage Transformer (CCVT) Replacement Program - FERC</t>
  </si>
  <si>
    <t>PALO VERDE SWITCHRACK: REPLACE OBSOLETE</t>
  </si>
  <si>
    <t>CET-ET-IR-ME-475600-2</t>
  </si>
  <si>
    <t>Miscellaneous Substation Equipment Replacement Program - FERC</t>
  </si>
  <si>
    <t>CET-ET-CR-WC-479102</t>
  </si>
  <si>
    <t>VARIOUS: ENGINEER AND CONSTRUCT NEW INTE</t>
  </si>
  <si>
    <t>Bulk Relay Replacement Program (220kV and 500kV)</t>
  </si>
  <si>
    <t>CET-ET-IR-TB-521001</t>
  </si>
  <si>
    <t>Bulk Transformer Replacement Program ("AA" and "A" Banks) - FERC</t>
  </si>
  <si>
    <t>CET-ET-IR-ME-619700-2</t>
  </si>
  <si>
    <t>Online Monitoring of Transformers Program - FERC</t>
  </si>
  <si>
    <t>CET-ET-GA-EM-644600-3</t>
  </si>
  <si>
    <t>INSTALL PHASOR MEASUREMENT SYST</t>
  </si>
  <si>
    <t>CET-ET-GA-EM-644600-9</t>
  </si>
  <si>
    <t>CET-ET-GA-EM-644603</t>
  </si>
  <si>
    <t>Devers: Install necessary phasor measurement</t>
  </si>
  <si>
    <t>CET-ET-GA-EM-644605</t>
  </si>
  <si>
    <t>Magunden: Install necessary phasor measurement</t>
  </si>
  <si>
    <t>CET-ET-GA-EM-644606</t>
  </si>
  <si>
    <t>Mohave GS: Install necessary phasor measurement</t>
  </si>
  <si>
    <t>CET-PD-IR-TR</t>
  </si>
  <si>
    <t>Transmission Pole Replacement</t>
  </si>
  <si>
    <t>CET-PD-IR-PT</t>
  </si>
  <si>
    <t>Pole Remediation Trans (IR)</t>
  </si>
  <si>
    <t>CET-PD-CL-SC</t>
  </si>
  <si>
    <t>Substation - Claim</t>
  </si>
  <si>
    <t>CET-PD-BM-SU</t>
  </si>
  <si>
    <t>Substation Maintenance &amp; Testing Unplanned</t>
  </si>
  <si>
    <t>CRAS Program Phase - T&amp;D</t>
  </si>
  <si>
    <t>CET-PD-IR-SP</t>
  </si>
  <si>
    <t>Substation Maintenance &amp; Testing Planned</t>
  </si>
  <si>
    <t>TRANSMISSION MAINTENANCE UNPLANNED</t>
  </si>
  <si>
    <t>TRANSMISSION MAINTENANCE PLANNED</t>
  </si>
  <si>
    <t>TRANSMISSION - CLAIM</t>
  </si>
  <si>
    <t>LINE RATING MITIGATION - ISO</t>
  </si>
  <si>
    <t>7298</t>
  </si>
  <si>
    <t>TRANSMISSION - STORM</t>
  </si>
  <si>
    <t>CET-PD-OT-FACOP1</t>
  </si>
  <si>
    <t>Facilities- Operational Budgeting</t>
  </si>
  <si>
    <t>CET-ET-IR-ME-768101</t>
  </si>
  <si>
    <t>NERC/ CIP-14 Physical Security</t>
  </si>
  <si>
    <t>7681</t>
  </si>
  <si>
    <t>CRAS Project Phase - T&amp;D</t>
  </si>
  <si>
    <t>CET-ET-GA-CR-766600</t>
  </si>
  <si>
    <t>CRAS Program - Phase 1: Colorado River Corridor RAS</t>
  </si>
  <si>
    <t>CET-PD-CI-CI</t>
  </si>
  <si>
    <t>Critical Spares</t>
  </si>
  <si>
    <t>LADWP DC electrode replacement (LAND segment)</t>
  </si>
  <si>
    <t>CET-ET-TP-RL-705001</t>
  </si>
  <si>
    <t>Blythe Solar Energy Center ---- ColRvr(NU): 220kV Line/Bank Pos for BSEC</t>
  </si>
  <si>
    <t>CET-ET-TP-RN-705900</t>
  </si>
  <si>
    <t>Red Bluff Sub (IF): Install the following interconnection facilities comp</t>
  </si>
  <si>
    <t>CET-ET-TP-RL-755600</t>
  </si>
  <si>
    <t>Del Sur: Install equipment for network upgrade</t>
  </si>
  <si>
    <t>CET-ET-TP-RN-758000</t>
  </si>
  <si>
    <t>Whirlwind(NU): Install 220kV CBs, RTU</t>
  </si>
  <si>
    <t>CET-ET-TP-RN-769100</t>
  </si>
  <si>
    <t>Antelope(NU): Equip 1 220kV CB position</t>
  </si>
  <si>
    <t>CET-ET-TP-RN-773300</t>
  </si>
  <si>
    <t>Whirlwind(POS): Equip 220kV position</t>
  </si>
  <si>
    <t>CET-ET-TP-RN-775602</t>
  </si>
  <si>
    <t>Whirlwind POS-Equip one 220kv Position</t>
  </si>
  <si>
    <t>TRTP Seg 3A Vegetation Remediation (Environmental Mitigation)</t>
  </si>
  <si>
    <t>Lugo-Rancho Vista 500kV Line: Relocate Rancho Vista 500kV line from Pos 5 E to Pos 4 W Bus</t>
  </si>
  <si>
    <t>CET-ET-TP-RN-724802</t>
  </si>
  <si>
    <t>Ivanpah Sub: Install a dedicated 220 kV double-breaker line position on a breaker-and-a-half configuration</t>
  </si>
  <si>
    <t>CET-ET-TP-RN-724801</t>
  </si>
  <si>
    <t xml:space="preserve">Eldorado-Lugo: Rotate the A and C phases of the transmission line conductors on the Lugo transmission line between the last transmission structure and the south dead-end structure of the 500 kV series capacitor bank.
</t>
  </si>
  <si>
    <t>CET-ET-TP-RN-724803</t>
  </si>
  <si>
    <t>Ivanpah Sub (NU): Update the GE-N60 RAS relay settings at Ivanpah substation to receive new breaker status points from the customer's N60 relays. Install a total of three (3) new test switches on existing RAS relay racks Z57, Z59 and Z61 (one test switch per rack). Install a total of three (3) new cables from the N60 relay racks to the existing PLC (one cable per N60 rack). Wire a total of six (6) outputs from the N60 RAS relays to inputs on the PLC. Update PLC and HMI to receive new breaker status points and display them on the HMI. Update Elementary, Wiring, Logic and Point List prints at Ivanpah substation to reflect all changes.</t>
  </si>
  <si>
    <t>PSC (POS NU) Eldorado RTU</t>
  </si>
  <si>
    <t>Eldorado-Install fire mitigation for 4AA</t>
  </si>
  <si>
    <t>CET-ET-TP-RN-742603</t>
  </si>
  <si>
    <t>Ivanpah:replace relay on loopin to Primm</t>
  </si>
  <si>
    <t>CET-RP-TP-RN-742600</t>
  </si>
  <si>
    <t>Obtain easements and / or acquire land</t>
  </si>
  <si>
    <t>CET-ET-TP-RL-724300</t>
  </si>
  <si>
    <t>Eisenhower Sub: Install (4) GE N60 relay</t>
  </si>
  <si>
    <t>CET-ET-TP-RL-724301</t>
  </si>
  <si>
    <t>Farrell Sub: Install (2) GE N60 relays</t>
  </si>
  <si>
    <t>CET-ET-TP-RL-724302</t>
  </si>
  <si>
    <t>Garnet Sub: Install (2) GE N60 relays</t>
  </si>
  <si>
    <t>CET-ET-TP-RL-724303</t>
  </si>
  <si>
    <t>Thornhill Sub: Install (2) GE N60 relays</t>
  </si>
  <si>
    <t>CET-ET-TP-RL-724304</t>
  </si>
  <si>
    <t>Devers Sub: Install (4) GE N60 relay</t>
  </si>
  <si>
    <t>CET-ET-TP-RL-764500</t>
  </si>
  <si>
    <t>Loop Kramer-Lugo 230 kV #1 &amp; #2 lines   into Victor substation</t>
  </si>
  <si>
    <t>CET-ET-TP-RL-764501</t>
  </si>
  <si>
    <t>Lugo Sub: Perform Protection upgrade</t>
  </si>
  <si>
    <t>CET-ET-TP-RL-764502</t>
  </si>
  <si>
    <t>Kramer Sub: Perform Protection upgrade</t>
  </si>
  <si>
    <t>CET-ET-TP-RL-764503</t>
  </si>
  <si>
    <t>Kramer-Lugo lines: Loop into Victor Sub</t>
  </si>
  <si>
    <t>CET-ET-TP-RL-745100</t>
  </si>
  <si>
    <t>Bailey Sub: Upgrade protection as requir</t>
  </si>
  <si>
    <t xml:space="preserve">Pastoria Substation: Replace relays due to work at Bailey Sub. </t>
  </si>
  <si>
    <t>CET-ET-TP-RN-776300</t>
  </si>
  <si>
    <t>Eldorado 500/220 kV (T):
Install ten (10) N60 relays
Install one (1) ethernet switch
Install one (1) satellite switch
PSC- RTU Point additions at Eldorado</t>
  </si>
  <si>
    <t>CET-ET-TP-RN-776301</t>
  </si>
  <si>
    <t>Lugo 500/220 kV (T)
Install two (2) N60 relays
Install one (1) ethernet switch
Install one (1) satellite switch
PSC- RTU Point additions at Lugo
PSC-Modify Lugo-Victorville SPS program and test</t>
  </si>
  <si>
    <t>CET-ET-TP-RN-776302</t>
  </si>
  <si>
    <t>Mohave 500 kV
Install two (2) N60 relays
Install one (1) ethernet switch
Install one (1) satellite switch
PSC- RTU Point additions at Mohave</t>
  </si>
  <si>
    <t>CET-ET-TP-RL-646800</t>
  </si>
  <si>
    <t>8049-5065--VICTOR SUB: UPGRADE PROTECTIO VICTOR SUB: UPGRADE PROTECTION AND INST</t>
  </si>
  <si>
    <t>CET-ET-TP-RL-711200</t>
  </si>
  <si>
    <t>Devers:  Equip the 230 KV A-Bank positions (3 &amp; 4) with circuit breakers</t>
  </si>
  <si>
    <t>CET-ET-LG-TS-711300</t>
  </si>
  <si>
    <t>El Nido: Install 230 kV (63 kA) double breakers on No. 1 A bank at position 3 and No. 3A bank at position 6</t>
  </si>
  <si>
    <t>CET-ET-TP-RL-711901</t>
  </si>
  <si>
    <t>Mesa Sub: Install an L90 relay.</t>
  </si>
  <si>
    <t>Rector 220/66kV Sub: Install 2X79.2 MVAR switching shunt cap</t>
  </si>
  <si>
    <t>CET-ET-TP-RL-746600</t>
  </si>
  <si>
    <t>Big Creek 3: Build MEER Building</t>
  </si>
  <si>
    <t>CET-ET-TP-RL-751800</t>
  </si>
  <si>
    <t>Springville Sub: Redesign high side feed</t>
  </si>
  <si>
    <t>CET-ET-TP-RN-709300</t>
  </si>
  <si>
    <t>Windhub: Install SPS to trip Windhub are</t>
  </si>
  <si>
    <t>CET-ET-TP-RN-644005</t>
  </si>
  <si>
    <t>CET-ET-TP-RN-643800</t>
  </si>
  <si>
    <t>CET-ET-TP-RN-643901</t>
  </si>
  <si>
    <t>CET-ET-TP-RN-643903</t>
  </si>
  <si>
    <t>CET-ET-TP-RN-643906</t>
  </si>
  <si>
    <t>CET-ET-TP-RL-775800</t>
  </si>
  <si>
    <t>CET-ET-TP-RL-775801</t>
  </si>
  <si>
    <t>7093</t>
  </si>
  <si>
    <t>REMOVAL: Highwind: Visual Mitigation Measure(removal)</t>
  </si>
  <si>
    <t>REMOVAL: TRTP 9: VINCENT SUBSTATION - REMOVE EQUIPMENT</t>
  </si>
  <si>
    <t>Removal 7-1 Antelope Mesa</t>
  </si>
  <si>
    <t>Removal 8-5 Chino Mesa</t>
  </si>
  <si>
    <t>Removal 8-6 Chino Mira Loma</t>
  </si>
  <si>
    <t>Removal 8-8 Mira Loma</t>
  </si>
  <si>
    <t>Removal 8-1 Mesa Walnut</t>
  </si>
  <si>
    <t>REMOVAL: Serrano Substation: Remove equipment associated with the VDLT RAS.</t>
  </si>
  <si>
    <t>REMOVAL: Valley Substation: Remove equipment associated with the VDLT RAS.</t>
  </si>
  <si>
    <t>Jasper: LGIA Engineer and construct a new interconnection facility</t>
  </si>
  <si>
    <t>CWIP evenly closed</t>
  </si>
  <si>
    <t>CET-ET-TP-RN-644001</t>
  </si>
  <si>
    <t>CET-ET-TP-RN-644014</t>
  </si>
  <si>
    <t xml:space="preserve">TRTP SEGMENT 9: Windhub - Construct 500kV breaker  </t>
  </si>
  <si>
    <t>CET-ET-TP-RN-644011</t>
  </si>
  <si>
    <t>TRTP SEGMENT 9: Whirlwind - Construct new 500/220</t>
  </si>
  <si>
    <t>TRTP SEGMENT 9: Antelope - Construct new 500kV switchyard</t>
  </si>
  <si>
    <t>Colorado River Substation: Upgrade HVAC system kV MEER Building</t>
  </si>
  <si>
    <t>On hold</t>
  </si>
  <si>
    <t>CET-ET-TP-RN-690200</t>
  </si>
  <si>
    <t>CET-ET-TP-RN-709107</t>
  </si>
  <si>
    <t>Perform all necessary work at Lugo ubstation to support the Coolwater-Lugo 220 kV T/L and SPS</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</si>
</sst>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0_);_(* \(#,##0\);_(* &quot;-&quot;_);_(@_)"/>
    <numFmt numFmtId="43" formatCode="_(* #,##0.00_);_(* \(#,##0.00\);_(* &quot;-&quot;??_);_(@_)"/>
    <numFmt numFmtId="164" formatCode="[$-409]mmm\-yy;@"/>
    <numFmt numFmtId="165" formatCode="_(* #,##0_);_(* \(#,##0\);_(* &quot;-&quot;??_);_(@_)"/>
    <numFmt numFmtId="166" formatCode="0.0%"/>
    <numFmt numFmtId="167" formatCode="_(* #,##0_);_(* \(#,##0\);_(* &quot;-&quot;?_);_(@_)"/>
    <numFmt numFmtId="168" formatCode="_(* #,##0.0_);_(* \(#,##0.0\);_(* &quot;-&quot;?_);_(@_)"/>
    <numFmt numFmtId="169" formatCode="_(* #,##0.00000_);_(* \(#,##0.00000\);_(* &quot;-&quot;?_);_(@_)"/>
    <numFmt numFmtId="170" formatCode="#,##0.0"/>
    <numFmt numFmtId="171" formatCode="_(* #,##0.000_);_(* \(#,##0.000\);_(* &quot;-&quot;??_);_(@_)"/>
    <numFmt numFmtId="172" formatCode="&quot;$&quot;#,##0"/>
    <numFmt numFmtId="173" formatCode="mm/dd/yy;@"/>
    <numFmt numFmtId="174" formatCode="_(* #,##0.000_);_(* \(#,##0.000\);_(* &quot;-&quot;?_);_(@_)"/>
  </numFmts>
  <fonts count="30" x14ac:knownFonts="1">
    <font>
      <sz val="11"/>
      <color theme="1"/>
      <name val="Calibri"/>
      <family val="2"/>
      <scheme val="minor"/>
    </font>
    <font>
      <sz val="11"/>
      <color theme="1"/>
      <name val="Calibri"/>
      <family val="2"/>
      <scheme val="minor"/>
    </font>
    <font>
      <b/>
      <sz val="11"/>
      <color theme="1"/>
      <name val="Calibri"/>
      <family val="2"/>
      <scheme val="minor"/>
    </font>
    <font>
      <b/>
      <i/>
      <sz val="14"/>
      <color theme="1"/>
      <name val="Calibri"/>
      <family val="2"/>
      <scheme val="minor"/>
    </font>
    <font>
      <b/>
      <i/>
      <sz val="11"/>
      <color theme="1"/>
      <name val="Calibri"/>
      <family val="2"/>
      <scheme val="minor"/>
    </font>
    <font>
      <sz val="11"/>
      <name val="Calibri"/>
      <family val="2"/>
      <scheme val="minor"/>
    </font>
    <font>
      <b/>
      <sz val="11"/>
      <name val="Calibri"/>
      <family val="2"/>
      <scheme val="minor"/>
    </font>
    <font>
      <b/>
      <u/>
      <sz val="11"/>
      <name val="Calibri"/>
      <family val="2"/>
      <scheme val="minor"/>
    </font>
    <font>
      <b/>
      <i/>
      <sz val="11"/>
      <name val="Calibri"/>
      <family val="2"/>
    </font>
    <font>
      <b/>
      <u/>
      <sz val="11"/>
      <color indexed="8"/>
      <name val="Calibri"/>
      <family val="2"/>
    </font>
    <font>
      <b/>
      <u/>
      <sz val="11"/>
      <name val="Calibri"/>
      <family val="2"/>
    </font>
    <font>
      <sz val="11"/>
      <name val="Calibri"/>
      <family val="2"/>
    </font>
    <font>
      <b/>
      <sz val="11"/>
      <name val="Calibri"/>
      <family val="2"/>
    </font>
    <font>
      <sz val="12"/>
      <name val="Arial"/>
      <family val="2"/>
    </font>
    <font>
      <b/>
      <sz val="12"/>
      <name val="Arial"/>
      <family val="2"/>
    </font>
    <font>
      <sz val="10"/>
      <name val="Arial"/>
      <family val="2"/>
    </font>
    <font>
      <b/>
      <u val="singleAccounting"/>
      <sz val="10"/>
      <name val="Arial"/>
      <family val="2"/>
    </font>
    <font>
      <i/>
      <sz val="10"/>
      <name val="Arial"/>
      <family val="2"/>
    </font>
    <font>
      <b/>
      <i/>
      <sz val="10"/>
      <name val="Arial"/>
      <family val="2"/>
    </font>
    <font>
      <b/>
      <sz val="10"/>
      <name val="Arial"/>
      <family val="2"/>
    </font>
    <font>
      <u val="singleAccounting"/>
      <sz val="10"/>
      <name val="Arial"/>
      <family val="2"/>
    </font>
    <font>
      <b/>
      <i/>
      <sz val="16"/>
      <name val="Calibri"/>
      <family val="2"/>
    </font>
    <font>
      <b/>
      <i/>
      <sz val="14"/>
      <name val="Calibri"/>
      <family val="2"/>
    </font>
    <font>
      <i/>
      <sz val="11"/>
      <name val="Calibri"/>
      <family val="2"/>
    </font>
    <font>
      <sz val="11"/>
      <color theme="0"/>
      <name val="Calibri"/>
      <family val="2"/>
      <scheme val="minor"/>
    </font>
    <font>
      <u/>
      <sz val="11"/>
      <color indexed="8"/>
      <name val="Calibri"/>
      <family val="2"/>
    </font>
    <font>
      <i/>
      <sz val="11"/>
      <color theme="0"/>
      <name val="Calibri"/>
      <family val="2"/>
      <scheme val="minor"/>
    </font>
    <font>
      <sz val="20"/>
      <color theme="1"/>
      <name val="Calibri"/>
      <family val="2"/>
      <scheme val="minor"/>
    </font>
    <font>
      <b/>
      <sz val="12"/>
      <color theme="0"/>
      <name val="Calibri"/>
      <family val="2"/>
      <scheme val="minor"/>
    </font>
    <font>
      <b/>
      <sz val="14"/>
      <color theme="0"/>
      <name val="Calibri"/>
      <family val="2"/>
    </font>
  </fonts>
  <fills count="6">
    <fill>
      <patternFill patternType="none"/>
    </fill>
    <fill>
      <patternFill patternType="gray125"/>
    </fill>
    <fill>
      <patternFill patternType="solid">
        <fgColor rgb="FFFFFFCC"/>
      </patternFill>
    </fill>
    <fill>
      <patternFill patternType="solid">
        <fgColor theme="5"/>
      </patternFill>
    </fill>
    <fill>
      <patternFill patternType="solid">
        <fgColor theme="7"/>
      </patternFill>
    </fill>
    <fill>
      <patternFill patternType="solid">
        <fgColor theme="4"/>
      </patternFill>
    </fill>
  </fills>
  <borders count="3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style="medium">
        <color indexed="64"/>
      </right>
      <top style="medium">
        <color indexed="64"/>
      </top>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rgb="FFB2B2B2"/>
      </left>
      <right style="thin">
        <color rgb="FFB2B2B2"/>
      </right>
      <top style="thin">
        <color rgb="FFB2B2B2"/>
      </top>
      <bottom style="thin">
        <color rgb="FFB2B2B2"/>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s>
  <cellStyleXfs count="8">
    <xf numFmtId="0" fontId="0" fillId="0" borderId="0"/>
    <xf numFmtId="43" fontId="1" fillId="0" borderId="0" applyFont="0" applyFill="0" applyBorder="0" applyAlignment="0" applyProtection="0"/>
    <xf numFmtId="9" fontId="1" fillId="0" borderId="0" applyFont="0" applyFill="0" applyBorder="0" applyAlignment="0" applyProtection="0"/>
    <xf numFmtId="0" fontId="1" fillId="2" borderId="35" applyNumberFormat="0" applyFont="0" applyAlignment="0" applyProtection="0"/>
    <xf numFmtId="0" fontId="15" fillId="0" borderId="0"/>
    <xf numFmtId="0" fontId="24" fillId="3" borderId="0" applyNumberFormat="0" applyBorder="0" applyAlignment="0" applyProtection="0"/>
    <xf numFmtId="0" fontId="24" fillId="4" borderId="0" applyNumberFormat="0" applyBorder="0" applyAlignment="0" applyProtection="0"/>
    <xf numFmtId="0" fontId="24" fillId="5" borderId="0" applyNumberFormat="0" applyBorder="0" applyAlignment="0" applyProtection="0"/>
  </cellStyleXfs>
  <cellXfs count="329">
    <xf numFmtId="0" fontId="0" fillId="0" borderId="0" xfId="0"/>
    <xf numFmtId="0" fontId="3" fillId="0" borderId="0" xfId="0" applyFont="1"/>
    <xf numFmtId="0" fontId="0" fillId="0" borderId="0" xfId="0"/>
    <xf numFmtId="165" fontId="1" fillId="0" borderId="0" xfId="1" applyNumberFormat="1"/>
    <xf numFmtId="0" fontId="4" fillId="0" borderId="0" xfId="0" applyFont="1"/>
    <xf numFmtId="166" fontId="1" fillId="0" borderId="0" xfId="2" applyNumberFormat="1"/>
    <xf numFmtId="43" fontId="2" fillId="0" borderId="3" xfId="0" applyNumberFormat="1" applyFont="1" applyBorder="1" applyAlignment="1">
      <alignment horizontal="center" wrapText="1"/>
    </xf>
    <xf numFmtId="43" fontId="2" fillId="0" borderId="1" xfId="0" applyNumberFormat="1" applyFont="1" applyBorder="1" applyAlignment="1">
      <alignment horizontal="center" wrapText="1"/>
    </xf>
    <xf numFmtId="43" fontId="2" fillId="0" borderId="2" xfId="0" applyNumberFormat="1" applyFont="1" applyBorder="1" applyAlignment="1">
      <alignment horizontal="center" wrapText="1"/>
    </xf>
    <xf numFmtId="165" fontId="1" fillId="0" borderId="0" xfId="1" applyNumberFormat="1" applyFont="1"/>
    <xf numFmtId="0" fontId="1" fillId="0" borderId="0" xfId="0" applyFont="1"/>
    <xf numFmtId="165" fontId="0" fillId="0" borderId="0" xfId="1" applyNumberFormat="1" applyFont="1"/>
    <xf numFmtId="164" fontId="0" fillId="0" borderId="4" xfId="0" applyNumberFormat="1" applyBorder="1" applyAlignment="1">
      <alignment horizontal="center"/>
    </xf>
    <xf numFmtId="167" fontId="0" fillId="0" borderId="5" xfId="0" applyNumberFormat="1" applyBorder="1" applyAlignment="1"/>
    <xf numFmtId="167" fontId="0" fillId="0" borderId="6" xfId="0" applyNumberFormat="1" applyBorder="1" applyAlignment="1"/>
    <xf numFmtId="167" fontId="1" fillId="0" borderId="0" xfId="1" applyNumberFormat="1"/>
    <xf numFmtId="167" fontId="0" fillId="0" borderId="7" xfId="0" applyNumberFormat="1" applyBorder="1" applyAlignment="1"/>
    <xf numFmtId="167" fontId="0" fillId="0" borderId="8" xfId="0" applyNumberFormat="1" applyBorder="1" applyAlignment="1"/>
    <xf numFmtId="167" fontId="0" fillId="0" borderId="0" xfId="0" applyNumberFormat="1"/>
    <xf numFmtId="164" fontId="0" fillId="0" borderId="9" xfId="0" applyNumberFormat="1" applyBorder="1" applyAlignment="1">
      <alignment horizontal="center"/>
    </xf>
    <xf numFmtId="167" fontId="0" fillId="0" borderId="10" xfId="0" applyNumberFormat="1" applyBorder="1" applyAlignment="1"/>
    <xf numFmtId="167" fontId="0" fillId="0" borderId="11" xfId="0" applyNumberFormat="1" applyBorder="1" applyAlignment="1"/>
    <xf numFmtId="0" fontId="0" fillId="0" borderId="0" xfId="0" applyFont="1"/>
    <xf numFmtId="0" fontId="5" fillId="0" borderId="0" xfId="0" applyFont="1" applyBorder="1" applyAlignment="1">
      <alignment horizontal="center" vertical="center"/>
    </xf>
    <xf numFmtId="0" fontId="5" fillId="0" borderId="0" xfId="0" applyFont="1"/>
    <xf numFmtId="0" fontId="6" fillId="0" borderId="13" xfId="0" applyNumberFormat="1" applyFont="1" applyBorder="1" applyAlignment="1">
      <alignment horizontal="center"/>
    </xf>
    <xf numFmtId="0" fontId="5" fillId="0" borderId="0" xfId="0" applyFont="1" applyBorder="1"/>
    <xf numFmtId="165" fontId="5" fillId="0" borderId="0" xfId="0" applyNumberFormat="1" applyFont="1"/>
    <xf numFmtId="0" fontId="7" fillId="0" borderId="3" xfId="0" applyFont="1" applyBorder="1" applyAlignment="1">
      <alignment horizontal="center" vertical="center"/>
    </xf>
    <xf numFmtId="0" fontId="7" fillId="0" borderId="3" xfId="0" applyNumberFormat="1" applyFont="1" applyBorder="1" applyAlignment="1">
      <alignment horizontal="center"/>
    </xf>
    <xf numFmtId="0" fontId="7" fillId="0" borderId="9" xfId="0" applyNumberFormat="1" applyFont="1" applyBorder="1" applyAlignment="1">
      <alignment horizontal="center"/>
    </xf>
    <xf numFmtId="165" fontId="5" fillId="0" borderId="12" xfId="1" applyNumberFormat="1" applyFont="1" applyFill="1" applyBorder="1" applyAlignment="1">
      <alignment horizontal="center"/>
    </xf>
    <xf numFmtId="165" fontId="5" fillId="0" borderId="12" xfId="0" applyNumberFormat="1" applyFont="1" applyBorder="1"/>
    <xf numFmtId="165" fontId="5" fillId="0" borderId="13" xfId="0" applyNumberFormat="1" applyFont="1" applyBorder="1"/>
    <xf numFmtId="165" fontId="5" fillId="0" borderId="0" xfId="0" applyNumberFormat="1" applyFont="1" applyBorder="1"/>
    <xf numFmtId="165" fontId="5" fillId="0" borderId="0" xfId="1" applyNumberFormat="1" applyFont="1" applyFill="1" applyBorder="1" applyAlignment="1">
      <alignment horizontal="center"/>
    </xf>
    <xf numFmtId="165" fontId="5" fillId="0" borderId="4" xfId="0" applyNumberFormat="1" applyFont="1" applyBorder="1"/>
    <xf numFmtId="165" fontId="5" fillId="0" borderId="14" xfId="1" applyNumberFormat="1" applyFont="1" applyFill="1" applyBorder="1" applyAlignment="1">
      <alignment horizontal="center"/>
    </xf>
    <xf numFmtId="165" fontId="5" fillId="0" borderId="14" xfId="0" applyNumberFormat="1" applyFont="1" applyBorder="1"/>
    <xf numFmtId="165" fontId="5" fillId="0" borderId="9" xfId="0" applyNumberFormat="1" applyFont="1" applyBorder="1"/>
    <xf numFmtId="0" fontId="5" fillId="0" borderId="0" xfId="0" applyFont="1" applyFill="1" applyBorder="1" applyAlignment="1">
      <alignment horizontal="center"/>
    </xf>
    <xf numFmtId="43" fontId="0" fillId="0" borderId="0" xfId="0" applyNumberFormat="1"/>
    <xf numFmtId="0" fontId="0" fillId="0" borderId="0" xfId="0" applyNumberFormat="1"/>
    <xf numFmtId="0" fontId="8" fillId="0" borderId="0" xfId="0" applyFont="1" applyFill="1"/>
    <xf numFmtId="164" fontId="10" fillId="0" borderId="15" xfId="0" quotePrefix="1" applyNumberFormat="1" applyFont="1" applyFill="1" applyBorder="1" applyAlignment="1">
      <alignment horizontal="center" wrapText="1"/>
    </xf>
    <xf numFmtId="164" fontId="10" fillId="0" borderId="16" xfId="0" quotePrefix="1" applyNumberFormat="1" applyFont="1" applyFill="1" applyBorder="1" applyAlignment="1">
      <alignment horizontal="center" wrapText="1"/>
    </xf>
    <xf numFmtId="164" fontId="10" fillId="0" borderId="17" xfId="0" quotePrefix="1" applyNumberFormat="1" applyFont="1" applyFill="1" applyBorder="1" applyAlignment="1">
      <alignment horizontal="center" wrapText="1"/>
    </xf>
    <xf numFmtId="164" fontId="10" fillId="0" borderId="18" xfId="0" quotePrefix="1" applyNumberFormat="1" applyFont="1" applyFill="1" applyBorder="1" applyAlignment="1">
      <alignment horizontal="center" wrapText="1"/>
    </xf>
    <xf numFmtId="164" fontId="10" fillId="0" borderId="0" xfId="0" quotePrefix="1" applyNumberFormat="1" applyFont="1" applyFill="1" applyBorder="1" applyAlignment="1">
      <alignment horizontal="center" wrapText="1"/>
    </xf>
    <xf numFmtId="166" fontId="11" fillId="0" borderId="0" xfId="0" applyNumberFormat="1" applyFont="1" applyFill="1" applyBorder="1"/>
    <xf numFmtId="14" fontId="5" fillId="0" borderId="0" xfId="0" applyNumberFormat="1" applyFont="1" applyFill="1"/>
    <xf numFmtId="0" fontId="10" fillId="0" borderId="15" xfId="0" quotePrefix="1" applyNumberFormat="1" applyFont="1" applyFill="1" applyBorder="1" applyAlignment="1">
      <alignment horizontal="center" wrapText="1"/>
    </xf>
    <xf numFmtId="0" fontId="10" fillId="0" borderId="16" xfId="0" quotePrefix="1" applyNumberFormat="1" applyFont="1" applyFill="1" applyBorder="1" applyAlignment="1"/>
    <xf numFmtId="0" fontId="10" fillId="0" borderId="16" xfId="0" quotePrefix="1" applyNumberFormat="1" applyFont="1" applyFill="1" applyBorder="1" applyAlignment="1">
      <alignment horizontal="center" wrapText="1"/>
    </xf>
    <xf numFmtId="164" fontId="10" fillId="0" borderId="16" xfId="0" applyNumberFormat="1" applyFont="1" applyFill="1" applyBorder="1" applyAlignment="1">
      <alignment horizontal="center" wrapText="1"/>
    </xf>
    <xf numFmtId="14" fontId="10" fillId="0" borderId="0" xfId="0" quotePrefix="1" applyNumberFormat="1" applyFont="1" applyFill="1" applyBorder="1" applyAlignment="1">
      <alignment horizontal="center" wrapText="1"/>
    </xf>
    <xf numFmtId="0" fontId="11" fillId="0" borderId="18" xfId="0" quotePrefix="1" applyNumberFormat="1" applyFont="1" applyFill="1" applyBorder="1" applyAlignment="1">
      <alignment horizontal="center" wrapText="1"/>
    </xf>
    <xf numFmtId="0" fontId="11" fillId="0" borderId="24" xfId="0" quotePrefix="1" applyNumberFormat="1" applyFont="1" applyFill="1" applyBorder="1" applyAlignment="1"/>
    <xf numFmtId="0" fontId="11" fillId="0" borderId="0" xfId="0" quotePrefix="1" applyNumberFormat="1" applyFont="1" applyFill="1" applyBorder="1" applyAlignment="1">
      <alignment horizontal="center" wrapText="1"/>
    </xf>
    <xf numFmtId="14" fontId="11" fillId="0" borderId="0" xfId="0" quotePrefix="1" applyNumberFormat="1" applyFont="1" applyFill="1" applyBorder="1" applyAlignment="1">
      <alignment horizontal="center" wrapText="1"/>
    </xf>
    <xf numFmtId="164" fontId="11" fillId="0" borderId="0" xfId="0" quotePrefix="1" applyNumberFormat="1" applyFont="1" applyFill="1" applyBorder="1" applyAlignment="1">
      <alignment horizontal="center" wrapText="1"/>
    </xf>
    <xf numFmtId="10" fontId="11" fillId="0" borderId="0" xfId="0" quotePrefix="1" applyNumberFormat="1" applyFont="1" applyFill="1" applyBorder="1" applyAlignment="1">
      <alignment horizontal="center" wrapText="1"/>
    </xf>
    <xf numFmtId="10" fontId="11" fillId="0" borderId="19" xfId="0" quotePrefix="1" applyNumberFormat="1" applyFont="1" applyFill="1" applyBorder="1" applyAlignment="1">
      <alignment horizontal="center" wrapText="1"/>
    </xf>
    <xf numFmtId="165" fontId="11" fillId="0" borderId="0" xfId="1" quotePrefix="1" applyNumberFormat="1" applyFont="1" applyFill="1" applyBorder="1" applyAlignment="1">
      <alignment horizontal="center" wrapText="1"/>
    </xf>
    <xf numFmtId="168" fontId="11" fillId="0" borderId="0" xfId="0" quotePrefix="1" applyNumberFormat="1" applyFont="1" applyFill="1" applyBorder="1" applyAlignment="1">
      <alignment horizontal="center" wrapText="1"/>
    </xf>
    <xf numFmtId="168" fontId="11" fillId="0" borderId="19" xfId="0" quotePrefix="1" applyNumberFormat="1" applyFont="1" applyFill="1" applyBorder="1" applyAlignment="1">
      <alignment horizontal="center" wrapText="1"/>
    </xf>
    <xf numFmtId="0" fontId="11" fillId="0" borderId="0" xfId="0" quotePrefix="1" applyNumberFormat="1" applyFont="1" applyFill="1" applyBorder="1" applyAlignment="1"/>
    <xf numFmtId="0" fontId="12" fillId="0" borderId="0" xfId="0" applyNumberFormat="1" applyFont="1" applyFill="1" applyBorder="1" applyAlignment="1">
      <alignment horizontal="center" vertical="center"/>
    </xf>
    <xf numFmtId="0" fontId="12" fillId="0" borderId="0" xfId="0" applyNumberFormat="1" applyFont="1" applyFill="1" applyBorder="1" applyAlignment="1">
      <alignment vertical="center"/>
    </xf>
    <xf numFmtId="164" fontId="10" fillId="0" borderId="15" xfId="0" applyNumberFormat="1" applyFont="1" applyFill="1" applyBorder="1" applyAlignment="1">
      <alignment horizontal="center" wrapText="1"/>
    </xf>
    <xf numFmtId="164" fontId="11" fillId="0" borderId="0" xfId="0" quotePrefix="1" applyNumberFormat="1" applyFont="1" applyFill="1" applyBorder="1" applyAlignment="1">
      <alignment horizontal="center" vertical="center" wrapText="1"/>
    </xf>
    <xf numFmtId="168" fontId="11" fillId="0" borderId="0" xfId="0" quotePrefix="1" applyNumberFormat="1" applyFont="1" applyFill="1" applyBorder="1" applyAlignment="1">
      <alignment horizontal="center" vertical="center" wrapText="1"/>
    </xf>
    <xf numFmtId="168" fontId="11" fillId="0" borderId="0" xfId="0" quotePrefix="1" applyNumberFormat="1" applyFont="1" applyFill="1" applyBorder="1" applyAlignment="1">
      <alignment horizontal="left" vertical="center" wrapText="1"/>
    </xf>
    <xf numFmtId="0" fontId="14" fillId="0" borderId="0" xfId="0" applyFont="1" applyFill="1" applyAlignment="1">
      <alignment horizontal="centerContinuous" vertical="center"/>
    </xf>
    <xf numFmtId="0" fontId="0" fillId="0" borderId="0" xfId="0" applyFill="1" applyAlignment="1">
      <alignment horizontal="centerContinuous" vertical="center"/>
    </xf>
    <xf numFmtId="0" fontId="13" fillId="0" borderId="0" xfId="0" applyFont="1" applyFill="1" applyAlignment="1">
      <alignment horizontal="centerContinuous" vertical="center" wrapText="1"/>
    </xf>
    <xf numFmtId="0" fontId="0" fillId="0" borderId="0" xfId="0" applyFill="1" applyAlignment="1">
      <alignment horizontal="centerContinuous" vertical="center" wrapText="1"/>
    </xf>
    <xf numFmtId="43" fontId="16" fillId="0" borderId="0" xfId="0" applyNumberFormat="1" applyFont="1" applyFill="1" applyAlignment="1">
      <alignment horizontal="center"/>
    </xf>
    <xf numFmtId="41" fontId="0" fillId="0" borderId="0" xfId="0" applyNumberFormat="1" applyFill="1"/>
    <xf numFmtId="0" fontId="18" fillId="0" borderId="0" xfId="0" applyFont="1" applyFill="1" applyAlignment="1">
      <alignment horizontal="left" indent="1"/>
    </xf>
    <xf numFmtId="0" fontId="0" fillId="0" borderId="0" xfId="0" applyFill="1"/>
    <xf numFmtId="0" fontId="10" fillId="0" borderId="25" xfId="0" quotePrefix="1" applyNumberFormat="1" applyFont="1" applyFill="1" applyBorder="1" applyAlignment="1">
      <alignment horizontal="center" wrapText="1"/>
    </xf>
    <xf numFmtId="0" fontId="10" fillId="0" borderId="24" xfId="0" quotePrefix="1" applyNumberFormat="1" applyFont="1" applyFill="1" applyBorder="1" applyAlignment="1"/>
    <xf numFmtId="0" fontId="10" fillId="0" borderId="24" xfId="0" quotePrefix="1" applyNumberFormat="1" applyFont="1" applyFill="1" applyBorder="1" applyAlignment="1">
      <alignment horizontal="center" wrapText="1"/>
    </xf>
    <xf numFmtId="164" fontId="10" fillId="0" borderId="24" xfId="0" applyNumberFormat="1" applyFont="1" applyFill="1" applyBorder="1" applyAlignment="1">
      <alignment horizontal="center" wrapText="1"/>
    </xf>
    <xf numFmtId="164" fontId="10" fillId="0" borderId="24" xfId="0" quotePrefix="1" applyNumberFormat="1" applyFont="1" applyFill="1" applyBorder="1" applyAlignment="1">
      <alignment horizontal="center" wrapText="1"/>
    </xf>
    <xf numFmtId="164" fontId="10" fillId="0" borderId="20" xfId="0" quotePrefix="1" applyNumberFormat="1" applyFont="1" applyFill="1" applyBorder="1" applyAlignment="1">
      <alignment horizontal="center" wrapText="1"/>
    </xf>
    <xf numFmtId="43" fontId="5" fillId="0" borderId="0" xfId="1" applyFont="1" applyFill="1"/>
    <xf numFmtId="167" fontId="0" fillId="0" borderId="8" xfId="0" applyNumberFormat="1" applyFill="1" applyBorder="1" applyAlignment="1"/>
    <xf numFmtId="167" fontId="0" fillId="0" borderId="6" xfId="0" applyNumberFormat="1" applyFill="1" applyBorder="1" applyAlignment="1"/>
    <xf numFmtId="167" fontId="0" fillId="0" borderId="11" xfId="0" applyNumberFormat="1" applyFill="1" applyBorder="1" applyAlignment="1"/>
    <xf numFmtId="165" fontId="15" fillId="0" borderId="0" xfId="1" applyNumberFormat="1" applyFont="1" applyFill="1"/>
    <xf numFmtId="0" fontId="19" fillId="0" borderId="0" xfId="0" applyFont="1" applyFill="1"/>
    <xf numFmtId="0" fontId="19" fillId="0" borderId="0" xfId="0" applyFont="1" applyFill="1" applyAlignment="1">
      <alignment horizontal="center"/>
    </xf>
    <xf numFmtId="165" fontId="0" fillId="0" borderId="0" xfId="0" applyNumberFormat="1" applyFill="1"/>
    <xf numFmtId="172" fontId="0" fillId="0" borderId="0" xfId="0" applyNumberFormat="1" applyFill="1"/>
    <xf numFmtId="164" fontId="11" fillId="0" borderId="18" xfId="0" quotePrefix="1" applyNumberFormat="1" applyFont="1" applyFill="1" applyBorder="1"/>
    <xf numFmtId="164" fontId="11" fillId="0" borderId="0" xfId="0" quotePrefix="1" applyNumberFormat="1" applyFont="1" applyFill="1" applyBorder="1"/>
    <xf numFmtId="0" fontId="11" fillId="0" borderId="0" xfId="0" quotePrefix="1" applyNumberFormat="1" applyFont="1" applyFill="1" applyBorder="1" applyAlignment="1">
      <alignment horizontal="center"/>
    </xf>
    <xf numFmtId="164" fontId="11" fillId="0" borderId="0" xfId="0" applyNumberFormat="1" applyFont="1" applyFill="1" applyBorder="1"/>
    <xf numFmtId="14" fontId="11" fillId="0" borderId="0" xfId="0" quotePrefix="1" applyNumberFormat="1" applyFont="1" applyFill="1" applyBorder="1" applyAlignment="1">
      <alignment horizontal="center"/>
    </xf>
    <xf numFmtId="10" fontId="11" fillId="0" borderId="0" xfId="0" quotePrefix="1" applyNumberFormat="1" applyFont="1" applyFill="1" applyBorder="1" applyAlignment="1">
      <alignment horizontal="center" vertical="center"/>
    </xf>
    <xf numFmtId="166" fontId="11" fillId="0" borderId="19" xfId="0" applyNumberFormat="1" applyFont="1" applyFill="1" applyBorder="1"/>
    <xf numFmtId="166" fontId="11" fillId="0" borderId="18" xfId="0" applyNumberFormat="1" applyFont="1" applyFill="1" applyBorder="1"/>
    <xf numFmtId="0" fontId="21" fillId="0" borderId="0" xfId="0" applyFont="1" applyFill="1"/>
    <xf numFmtId="0" fontId="5" fillId="0" borderId="0" xfId="0" applyFont="1" applyFill="1"/>
    <xf numFmtId="0" fontId="5" fillId="0" borderId="0" xfId="0" applyFont="1" applyFill="1" applyAlignment="1">
      <alignment horizontal="center"/>
    </xf>
    <xf numFmtId="0" fontId="5" fillId="0" borderId="0" xfId="0" applyFont="1" applyFill="1" applyBorder="1"/>
    <xf numFmtId="0" fontId="22" fillId="0" borderId="0" xfId="0" applyFont="1" applyFill="1"/>
    <xf numFmtId="0" fontId="12" fillId="0" borderId="0" xfId="0" applyFont="1" applyFill="1"/>
    <xf numFmtId="14" fontId="12" fillId="0" borderId="0" xfId="0" applyNumberFormat="1" applyFont="1" applyFill="1" applyBorder="1" applyAlignment="1">
      <alignment horizontal="left"/>
    </xf>
    <xf numFmtId="10" fontId="5" fillId="0" borderId="0" xfId="0" applyNumberFormat="1" applyFont="1" applyFill="1" applyAlignment="1">
      <alignment horizontal="left"/>
    </xf>
    <xf numFmtId="0" fontId="10" fillId="0" borderId="0" xfId="0" applyFont="1" applyFill="1"/>
    <xf numFmtId="0" fontId="10" fillId="0" borderId="0" xfId="0" applyFont="1" applyFill="1" applyAlignment="1">
      <alignment horizontal="center"/>
    </xf>
    <xf numFmtId="164" fontId="10" fillId="0" borderId="15" xfId="0" applyNumberFormat="1" applyFont="1" applyFill="1" applyBorder="1" applyAlignment="1">
      <alignment wrapText="1"/>
    </xf>
    <xf numFmtId="164" fontId="10" fillId="0" borderId="16" xfId="0" applyNumberFormat="1" applyFont="1" applyFill="1" applyBorder="1" applyAlignment="1">
      <alignment wrapText="1"/>
    </xf>
    <xf numFmtId="164" fontId="10" fillId="0" borderId="17" xfId="0" applyNumberFormat="1" applyFont="1" applyFill="1" applyBorder="1" applyAlignment="1">
      <alignment wrapText="1"/>
    </xf>
    <xf numFmtId="0" fontId="5" fillId="0" borderId="0" xfId="0" applyFont="1" applyFill="1" applyAlignment="1">
      <alignment wrapText="1"/>
    </xf>
    <xf numFmtId="0" fontId="5" fillId="0" borderId="0" xfId="0" applyFont="1" applyFill="1" applyBorder="1" applyAlignment="1">
      <alignment wrapText="1"/>
    </xf>
    <xf numFmtId="168" fontId="5" fillId="0" borderId="0" xfId="0" applyNumberFormat="1" applyFont="1" applyFill="1" applyBorder="1"/>
    <xf numFmtId="168" fontId="5" fillId="0" borderId="19" xfId="0" applyNumberFormat="1" applyFont="1" applyFill="1" applyBorder="1"/>
    <xf numFmtId="168" fontId="5" fillId="0" borderId="0" xfId="0" applyNumberFormat="1" applyFont="1" applyFill="1"/>
    <xf numFmtId="168" fontId="5" fillId="0" borderId="18" xfId="0" applyNumberFormat="1" applyFont="1" applyFill="1" applyBorder="1"/>
    <xf numFmtId="168" fontId="5" fillId="0" borderId="20" xfId="0" applyNumberFormat="1" applyFont="1" applyFill="1" applyBorder="1"/>
    <xf numFmtId="165" fontId="5" fillId="0" borderId="0" xfId="0" applyNumberFormat="1" applyFont="1" applyFill="1" applyBorder="1"/>
    <xf numFmtId="168" fontId="12" fillId="0" borderId="21" xfId="0" applyNumberFormat="1" applyFont="1" applyFill="1" applyBorder="1"/>
    <xf numFmtId="168" fontId="12" fillId="0" borderId="22" xfId="0" applyNumberFormat="1" applyFont="1" applyFill="1" applyBorder="1"/>
    <xf numFmtId="168" fontId="12" fillId="0" borderId="23" xfId="0" applyNumberFormat="1" applyFont="1" applyFill="1" applyBorder="1"/>
    <xf numFmtId="168" fontId="12" fillId="0" borderId="0" xfId="0" applyNumberFormat="1" applyFont="1" applyFill="1"/>
    <xf numFmtId="168" fontId="12" fillId="0" borderId="0" xfId="0" applyNumberFormat="1" applyFont="1" applyFill="1" applyBorder="1"/>
    <xf numFmtId="165" fontId="5" fillId="0" borderId="0" xfId="0" applyNumberFormat="1" applyFont="1" applyFill="1"/>
    <xf numFmtId="9" fontId="5" fillId="0" borderId="0" xfId="2" applyNumberFormat="1" applyFont="1" applyFill="1" applyBorder="1"/>
    <xf numFmtId="169" fontId="6" fillId="0" borderId="0" xfId="0" applyNumberFormat="1" applyFont="1" applyFill="1" applyBorder="1"/>
    <xf numFmtId="10" fontId="5" fillId="0" borderId="0" xfId="2" applyNumberFormat="1" applyFont="1" applyFill="1"/>
    <xf numFmtId="169" fontId="5" fillId="0" borderId="0" xfId="0" applyNumberFormat="1" applyFont="1" applyFill="1" applyBorder="1"/>
    <xf numFmtId="168" fontId="5" fillId="0" borderId="0" xfId="0" applyNumberFormat="1" applyFont="1" applyFill="1" applyBorder="1" applyAlignment="1">
      <alignment horizontal="right"/>
    </xf>
    <xf numFmtId="10" fontId="5" fillId="0" borderId="0" xfId="2" applyNumberFormat="1" applyFont="1" applyFill="1" applyBorder="1"/>
    <xf numFmtId="0" fontId="5" fillId="0" borderId="0" xfId="0" applyFont="1" applyFill="1" applyAlignment="1">
      <alignment horizontal="right"/>
    </xf>
    <xf numFmtId="41" fontId="5" fillId="0" borderId="25" xfId="0" applyNumberFormat="1" applyFont="1" applyFill="1" applyBorder="1"/>
    <xf numFmtId="170" fontId="5" fillId="0" borderId="0" xfId="0" applyNumberFormat="1" applyFont="1" applyFill="1"/>
    <xf numFmtId="41" fontId="5" fillId="0" borderId="18" xfId="0" applyNumberFormat="1" applyFont="1" applyFill="1" applyBorder="1"/>
    <xf numFmtId="14" fontId="12" fillId="0" borderId="0" xfId="0" quotePrefix="1" applyNumberFormat="1" applyFont="1" applyFill="1" applyBorder="1" applyAlignment="1">
      <alignment horizontal="center"/>
    </xf>
    <xf numFmtId="164" fontId="12" fillId="0" borderId="18" xfId="0" quotePrefix="1" applyNumberFormat="1" applyFont="1" applyFill="1" applyBorder="1"/>
    <xf numFmtId="164" fontId="12" fillId="0" borderId="0" xfId="0" quotePrefix="1" applyNumberFormat="1" applyFont="1" applyFill="1" applyBorder="1"/>
    <xf numFmtId="0" fontId="12" fillId="0" borderId="0" xfId="0" quotePrefix="1" applyNumberFormat="1" applyFont="1" applyFill="1" applyBorder="1" applyAlignment="1">
      <alignment horizontal="center"/>
    </xf>
    <xf numFmtId="164" fontId="12" fillId="0" borderId="0" xfId="0" applyNumberFormat="1" applyFont="1" applyFill="1" applyBorder="1"/>
    <xf numFmtId="10" fontId="12" fillId="0" borderId="0" xfId="0" quotePrefix="1" applyNumberFormat="1" applyFont="1" applyFill="1" applyBorder="1" applyAlignment="1">
      <alignment horizontal="center" vertical="center"/>
    </xf>
    <xf numFmtId="166" fontId="12" fillId="0" borderId="19" xfId="0" applyNumberFormat="1" applyFont="1" applyFill="1" applyBorder="1"/>
    <xf numFmtId="165" fontId="12" fillId="0" borderId="18" xfId="0" applyNumberFormat="1" applyFont="1" applyFill="1" applyBorder="1"/>
    <xf numFmtId="170" fontId="6" fillId="0" borderId="0" xfId="0" applyNumberFormat="1" applyFont="1" applyFill="1"/>
    <xf numFmtId="168" fontId="6" fillId="0" borderId="0" xfId="0" applyNumberFormat="1" applyFont="1" applyFill="1" applyBorder="1"/>
    <xf numFmtId="168" fontId="6" fillId="0" borderId="0" xfId="0" applyNumberFormat="1" applyFont="1" applyFill="1"/>
    <xf numFmtId="168" fontId="6" fillId="0" borderId="19" xfId="0" applyNumberFormat="1" applyFont="1" applyFill="1" applyBorder="1"/>
    <xf numFmtId="0" fontId="12" fillId="0" borderId="0" xfId="0" applyFont="1" applyFill="1" applyBorder="1"/>
    <xf numFmtId="0" fontId="11" fillId="0" borderId="18" xfId="0" quotePrefix="1" applyNumberFormat="1" applyFont="1" applyFill="1" applyBorder="1" applyAlignment="1">
      <alignment horizontal="left" wrapText="1"/>
    </xf>
    <xf numFmtId="164" fontId="11" fillId="0" borderId="0" xfId="0" applyNumberFormat="1" applyFont="1" applyFill="1" applyBorder="1" applyAlignment="1">
      <alignment horizontal="center" wrapText="1"/>
    </xf>
    <xf numFmtId="0" fontId="11" fillId="0" borderId="18" xfId="0" quotePrefix="1" applyNumberFormat="1" applyFont="1" applyFill="1" applyBorder="1" applyAlignment="1">
      <alignment horizontal="center" vertical="center" wrapText="1"/>
    </xf>
    <xf numFmtId="0" fontId="11" fillId="0" borderId="24" xfId="0" quotePrefix="1" applyNumberFormat="1" applyFont="1" applyFill="1" applyBorder="1" applyAlignment="1">
      <alignment vertical="center"/>
    </xf>
    <xf numFmtId="0" fontId="11" fillId="0" borderId="0" xfId="0" quotePrefix="1" applyNumberFormat="1" applyFont="1" applyFill="1" applyBorder="1" applyAlignment="1">
      <alignment horizontal="center" vertical="center" wrapText="1"/>
    </xf>
    <xf numFmtId="164" fontId="11" fillId="0" borderId="0" xfId="0" applyNumberFormat="1" applyFont="1" applyFill="1" applyBorder="1" applyAlignment="1">
      <alignment horizontal="center" vertical="center" wrapText="1"/>
    </xf>
    <xf numFmtId="14" fontId="11" fillId="0" borderId="0" xfId="0" quotePrefix="1" applyNumberFormat="1" applyFont="1" applyFill="1" applyBorder="1" applyAlignment="1">
      <alignment horizontal="center" vertical="center" wrapText="1"/>
    </xf>
    <xf numFmtId="10" fontId="11" fillId="0" borderId="0" xfId="0" quotePrefix="1" applyNumberFormat="1" applyFont="1" applyFill="1" applyBorder="1" applyAlignment="1">
      <alignment horizontal="center" vertical="center" wrapText="1"/>
    </xf>
    <xf numFmtId="10" fontId="11" fillId="0" borderId="19" xfId="0" quotePrefix="1" applyNumberFormat="1" applyFont="1" applyFill="1" applyBorder="1" applyAlignment="1">
      <alignment horizontal="center" vertical="center" wrapText="1"/>
    </xf>
    <xf numFmtId="0" fontId="11" fillId="0" borderId="0" xfId="0" quotePrefix="1" applyNumberFormat="1" applyFont="1" applyFill="1" applyBorder="1" applyAlignment="1">
      <alignment vertical="center"/>
    </xf>
    <xf numFmtId="173" fontId="11" fillId="0" borderId="0" xfId="0" quotePrefix="1" applyNumberFormat="1" applyFont="1" applyFill="1" applyBorder="1" applyAlignment="1">
      <alignment horizontal="center" wrapText="1"/>
    </xf>
    <xf numFmtId="10" fontId="11" fillId="0" borderId="0" xfId="2" quotePrefix="1" applyNumberFormat="1" applyFont="1" applyFill="1" applyBorder="1" applyAlignment="1">
      <alignment horizontal="center" wrapText="1"/>
    </xf>
    <xf numFmtId="10" fontId="11" fillId="0" borderId="19" xfId="2" quotePrefix="1" applyNumberFormat="1" applyFont="1" applyFill="1" applyBorder="1" applyAlignment="1">
      <alignment horizontal="center" wrapText="1"/>
    </xf>
    <xf numFmtId="0" fontId="11" fillId="0" borderId="18" xfId="0" quotePrefix="1" applyNumberFormat="1" applyFont="1" applyFill="1" applyBorder="1" applyAlignment="1">
      <alignment horizontal="left" vertical="center" wrapText="1"/>
    </xf>
    <xf numFmtId="0" fontId="11" fillId="0" borderId="0" xfId="0" quotePrefix="1" applyNumberFormat="1" applyFont="1" applyFill="1" applyBorder="1" applyAlignment="1">
      <alignment horizontal="left" vertical="center" wrapText="1"/>
    </xf>
    <xf numFmtId="0" fontId="5" fillId="0" borderId="0" xfId="0" applyFont="1" applyFill="1" applyAlignment="1">
      <alignment horizontal="left"/>
    </xf>
    <xf numFmtId="0" fontId="5" fillId="0" borderId="0" xfId="0" applyFont="1" applyFill="1" applyAlignment="1"/>
    <xf numFmtId="0" fontId="21" fillId="0" borderId="0" xfId="0" applyNumberFormat="1" applyFont="1" applyFill="1"/>
    <xf numFmtId="0" fontId="5" fillId="0" borderId="0" xfId="0" applyNumberFormat="1" applyFont="1" applyFill="1" applyAlignment="1"/>
    <xf numFmtId="0" fontId="5" fillId="0" borderId="0" xfId="0" applyNumberFormat="1" applyFont="1" applyFill="1"/>
    <xf numFmtId="0" fontId="22" fillId="0" borderId="0" xfId="0" applyNumberFormat="1" applyFont="1" applyFill="1"/>
    <xf numFmtId="0" fontId="12" fillId="0" borderId="0" xfId="0" applyNumberFormat="1" applyFont="1" applyFill="1"/>
    <xf numFmtId="0" fontId="10" fillId="0" borderId="0" xfId="0" applyNumberFormat="1" applyFont="1" applyFill="1"/>
    <xf numFmtId="164" fontId="10" fillId="0" borderId="17" xfId="0" applyNumberFormat="1" applyFont="1" applyFill="1" applyBorder="1" applyAlignment="1">
      <alignment horizontal="center" wrapText="1"/>
    </xf>
    <xf numFmtId="0" fontId="11" fillId="0" borderId="0" xfId="0" applyFont="1" applyFill="1" applyAlignment="1">
      <alignment horizontal="left"/>
    </xf>
    <xf numFmtId="0" fontId="11" fillId="0" borderId="0" xfId="0" applyFont="1" applyFill="1" applyAlignment="1"/>
    <xf numFmtId="168" fontId="11" fillId="0" borderId="18" xfId="0" applyNumberFormat="1" applyFont="1" applyFill="1" applyBorder="1" applyAlignment="1">
      <alignment horizontal="center" wrapText="1"/>
    </xf>
    <xf numFmtId="168" fontId="11" fillId="0" borderId="0" xfId="0" applyNumberFormat="1" applyFont="1" applyFill="1" applyBorder="1" applyAlignment="1">
      <alignment horizontal="center" wrapText="1"/>
    </xf>
    <xf numFmtId="168" fontId="11" fillId="0" borderId="19" xfId="0" applyNumberFormat="1" applyFont="1" applyFill="1" applyBorder="1" applyAlignment="1">
      <alignment horizontal="center" wrapText="1"/>
    </xf>
    <xf numFmtId="0" fontId="11" fillId="0" borderId="0" xfId="0" applyFont="1" applyFill="1" applyAlignment="1">
      <alignment wrapText="1"/>
    </xf>
    <xf numFmtId="168" fontId="12" fillId="0" borderId="21" xfId="0" applyNumberFormat="1" applyFont="1" applyFill="1" applyBorder="1" applyAlignment="1">
      <alignment horizontal="center"/>
    </xf>
    <xf numFmtId="168" fontId="12" fillId="0" borderId="22" xfId="0" applyNumberFormat="1" applyFont="1" applyFill="1" applyBorder="1" applyAlignment="1">
      <alignment horizontal="center"/>
    </xf>
    <xf numFmtId="168" fontId="12" fillId="0" borderId="23" xfId="0" applyNumberFormat="1" applyFont="1" applyFill="1" applyBorder="1" applyAlignment="1">
      <alignment horizontal="center"/>
    </xf>
    <xf numFmtId="0" fontId="5" fillId="0" borderId="0" xfId="0" applyFont="1" applyFill="1" applyBorder="1" applyAlignment="1">
      <alignment horizontal="left"/>
    </xf>
    <xf numFmtId="0" fontId="5" fillId="0" borderId="0" xfId="0" applyFont="1" applyFill="1" applyBorder="1" applyAlignment="1"/>
    <xf numFmtId="0" fontId="10" fillId="0" borderId="0" xfId="0" applyNumberFormat="1" applyFont="1" applyFill="1" applyBorder="1"/>
    <xf numFmtId="0" fontId="5" fillId="0" borderId="0" xfId="0" applyNumberFormat="1" applyFont="1" applyFill="1" applyBorder="1" applyAlignment="1"/>
    <xf numFmtId="0" fontId="5" fillId="0" borderId="0" xfId="0" applyNumberFormat="1" applyFont="1" applyFill="1" applyBorder="1"/>
    <xf numFmtId="0" fontId="5" fillId="0" borderId="0" xfId="0" applyFont="1" applyFill="1" applyBorder="1" applyAlignment="1">
      <alignment horizontal="center"/>
    </xf>
    <xf numFmtId="168" fontId="12" fillId="0" borderId="0" xfId="0" applyNumberFormat="1" applyFont="1" applyFill="1" applyBorder="1" applyAlignment="1">
      <alignment horizontal="center"/>
    </xf>
    <xf numFmtId="43" fontId="5" fillId="0" borderId="0" xfId="1" applyFont="1" applyFill="1" applyBorder="1" applyAlignment="1">
      <alignment horizontal="center"/>
    </xf>
    <xf numFmtId="43" fontId="5" fillId="0" borderId="0" xfId="1" applyFont="1" applyFill="1" applyAlignment="1">
      <alignment horizontal="center"/>
    </xf>
    <xf numFmtId="0" fontId="11" fillId="0" borderId="18" xfId="0" applyFont="1" applyFill="1" applyBorder="1" applyAlignment="1">
      <alignment wrapText="1"/>
    </xf>
    <xf numFmtId="168" fontId="11" fillId="0" borderId="20" xfId="0" applyNumberFormat="1" applyFont="1" applyFill="1" applyBorder="1" applyAlignment="1">
      <alignment horizontal="center" wrapText="1"/>
    </xf>
    <xf numFmtId="0" fontId="11" fillId="0" borderId="0" xfId="0" applyFont="1" applyFill="1" applyAlignment="1">
      <alignment horizontal="left" vertical="center"/>
    </xf>
    <xf numFmtId="168" fontId="11" fillId="0" borderId="18" xfId="0" applyNumberFormat="1" applyFont="1" applyFill="1" applyBorder="1" applyAlignment="1">
      <alignment horizontal="center" vertical="center" wrapText="1"/>
    </xf>
    <xf numFmtId="168" fontId="11" fillId="0" borderId="0" xfId="0" applyNumberFormat="1" applyFont="1" applyFill="1" applyBorder="1" applyAlignment="1">
      <alignment horizontal="center" vertical="center" wrapText="1"/>
    </xf>
    <xf numFmtId="168" fontId="11" fillId="0" borderId="19" xfId="0" applyNumberFormat="1" applyFont="1" applyFill="1" applyBorder="1" applyAlignment="1">
      <alignment horizontal="center" vertical="center" wrapText="1"/>
    </xf>
    <xf numFmtId="0" fontId="11" fillId="0" borderId="0" xfId="0" applyFont="1" applyFill="1" applyAlignment="1">
      <alignment vertical="center" wrapText="1"/>
    </xf>
    <xf numFmtId="0" fontId="5" fillId="0" borderId="0" xfId="0" applyNumberFormat="1" applyFont="1" applyFill="1" applyAlignment="1">
      <alignment horizontal="center"/>
    </xf>
    <xf numFmtId="164" fontId="10" fillId="0" borderId="25" xfId="0" applyNumberFormat="1" applyFont="1" applyFill="1" applyBorder="1" applyAlignment="1">
      <alignment horizontal="center" wrapText="1"/>
    </xf>
    <xf numFmtId="164" fontId="10" fillId="0" borderId="20" xfId="0" applyNumberFormat="1" applyFont="1" applyFill="1" applyBorder="1" applyAlignment="1">
      <alignment horizontal="center" wrapText="1"/>
    </xf>
    <xf numFmtId="168" fontId="11" fillId="0" borderId="25" xfId="0" applyNumberFormat="1" applyFont="1" applyFill="1" applyBorder="1" applyAlignment="1">
      <alignment horizontal="center" wrapText="1"/>
    </xf>
    <xf numFmtId="168" fontId="11" fillId="0" borderId="24" xfId="0" applyNumberFormat="1" applyFont="1" applyFill="1" applyBorder="1" applyAlignment="1">
      <alignment horizontal="center" wrapText="1"/>
    </xf>
    <xf numFmtId="168" fontId="12" fillId="0" borderId="30" xfId="0" applyNumberFormat="1" applyFont="1" applyFill="1" applyBorder="1" applyAlignment="1">
      <alignment horizontal="center"/>
    </xf>
    <xf numFmtId="168" fontId="12" fillId="0" borderId="31" xfId="0" applyNumberFormat="1" applyFont="1" applyFill="1" applyBorder="1" applyAlignment="1">
      <alignment horizontal="center"/>
    </xf>
    <xf numFmtId="168" fontId="12" fillId="0" borderId="32" xfId="0" applyNumberFormat="1" applyFont="1" applyFill="1" applyBorder="1" applyAlignment="1">
      <alignment horizontal="center"/>
    </xf>
    <xf numFmtId="0" fontId="11" fillId="0" borderId="0" xfId="0" applyFont="1" applyFill="1" applyAlignment="1">
      <alignment horizontal="left" vertical="center" wrapText="1"/>
    </xf>
    <xf numFmtId="168" fontId="5" fillId="0" borderId="0" xfId="0" applyNumberFormat="1" applyFont="1" applyFill="1" applyAlignment="1">
      <alignment horizontal="center"/>
    </xf>
    <xf numFmtId="0" fontId="5" fillId="0" borderId="0" xfId="0" applyFont="1" applyFill="1" applyAlignment="1">
      <alignment horizontal="center" wrapText="1"/>
    </xf>
    <xf numFmtId="0" fontId="5" fillId="0" borderId="0" xfId="0" applyFont="1" applyFill="1" applyAlignment="1">
      <alignment horizontal="left" vertical="center"/>
    </xf>
    <xf numFmtId="0" fontId="5" fillId="0" borderId="0" xfId="0" applyFont="1" applyFill="1" applyAlignment="1">
      <alignment horizontal="center" vertical="center"/>
    </xf>
    <xf numFmtId="43" fontId="5" fillId="0" borderId="0" xfId="1" applyFont="1" applyFill="1" applyAlignment="1"/>
    <xf numFmtId="43" fontId="11" fillId="0" borderId="0" xfId="1" applyFont="1" applyFill="1" applyAlignment="1">
      <alignment wrapText="1"/>
    </xf>
    <xf numFmtId="43" fontId="5" fillId="0" borderId="0" xfId="0" applyNumberFormat="1" applyFont="1" applyFill="1"/>
    <xf numFmtId="3" fontId="5" fillId="0" borderId="0" xfId="0" applyNumberFormat="1" applyFont="1" applyFill="1" applyAlignment="1">
      <alignment horizontal="center"/>
    </xf>
    <xf numFmtId="165" fontId="5" fillId="0" borderId="0" xfId="1" applyNumberFormat="1" applyFont="1" applyFill="1"/>
    <xf numFmtId="14" fontId="5" fillId="0" borderId="0" xfId="0" applyNumberFormat="1" applyFont="1" applyFill="1" applyAlignment="1">
      <alignment horizontal="center"/>
    </xf>
    <xf numFmtId="43" fontId="5" fillId="0" borderId="0" xfId="0" applyNumberFormat="1" applyFont="1" applyFill="1" applyAlignment="1">
      <alignment horizontal="center"/>
    </xf>
    <xf numFmtId="164" fontId="17" fillId="0" borderId="0" xfId="0" quotePrefix="1" applyNumberFormat="1" applyFont="1" applyFill="1" applyAlignment="1">
      <alignment horizontal="center"/>
    </xf>
    <xf numFmtId="0" fontId="17" fillId="0" borderId="0" xfId="0" applyFont="1" applyFill="1"/>
    <xf numFmtId="0" fontId="23" fillId="0" borderId="0" xfId="0" applyFont="1" applyFill="1" applyAlignment="1">
      <alignment wrapText="1"/>
    </xf>
    <xf numFmtId="164" fontId="12" fillId="0" borderId="21" xfId="0" applyNumberFormat="1" applyFont="1" applyFill="1" applyBorder="1" applyAlignment="1">
      <alignment vertical="center"/>
    </xf>
    <xf numFmtId="164" fontId="12" fillId="0" borderId="22" xfId="0" applyNumberFormat="1" applyFont="1" applyFill="1" applyBorder="1" applyAlignment="1">
      <alignment vertical="center"/>
    </xf>
    <xf numFmtId="164" fontId="12" fillId="0" borderId="23" xfId="0" applyNumberFormat="1" applyFont="1" applyFill="1" applyBorder="1" applyAlignment="1">
      <alignment vertical="center"/>
    </xf>
    <xf numFmtId="164" fontId="12" fillId="0" borderId="0" xfId="0" applyNumberFormat="1" applyFont="1" applyFill="1" applyBorder="1" applyAlignment="1">
      <alignment vertical="center"/>
    </xf>
    <xf numFmtId="164" fontId="12" fillId="0" borderId="30" xfId="0" applyNumberFormat="1" applyFont="1" applyFill="1" applyBorder="1" applyAlignment="1">
      <alignment vertical="center"/>
    </xf>
    <xf numFmtId="164" fontId="12" fillId="0" borderId="31" xfId="0" applyNumberFormat="1" applyFont="1" applyFill="1" applyBorder="1" applyAlignment="1">
      <alignment vertical="center"/>
    </xf>
    <xf numFmtId="164" fontId="12" fillId="0" borderId="32" xfId="0" applyNumberFormat="1" applyFont="1" applyFill="1" applyBorder="1" applyAlignment="1">
      <alignment vertical="center"/>
    </xf>
    <xf numFmtId="168" fontId="5" fillId="0" borderId="25" xfId="0" applyNumberFormat="1" applyFont="1" applyFill="1" applyBorder="1"/>
    <xf numFmtId="168" fontId="11" fillId="0" borderId="18" xfId="0" quotePrefix="1" applyNumberFormat="1" applyFont="1" applyFill="1" applyBorder="1" applyAlignment="1">
      <alignment horizontal="center" wrapText="1"/>
    </xf>
    <xf numFmtId="168" fontId="11" fillId="0" borderId="18" xfId="0" quotePrefix="1" applyNumberFormat="1" applyFont="1" applyFill="1" applyBorder="1" applyAlignment="1">
      <alignment horizontal="left" vertical="center" wrapText="1"/>
    </xf>
    <xf numFmtId="174" fontId="11" fillId="0" borderId="18" xfId="0" quotePrefix="1" applyNumberFormat="1" applyFont="1" applyFill="1" applyBorder="1" applyAlignment="1">
      <alignment horizontal="left" vertical="center" wrapText="1"/>
    </xf>
    <xf numFmtId="0" fontId="0" fillId="0" borderId="0" xfId="0" applyFill="1" applyAlignment="1">
      <alignment horizontal="center"/>
    </xf>
    <xf numFmtId="168" fontId="11" fillId="0" borderId="25" xfId="0" quotePrefix="1" applyNumberFormat="1" applyFont="1" applyFill="1" applyBorder="1" applyAlignment="1">
      <alignment horizontal="center" wrapText="1"/>
    </xf>
    <xf numFmtId="0" fontId="11" fillId="0" borderId="25" xfId="0" quotePrefix="1" applyNumberFormat="1" applyFont="1" applyFill="1" applyBorder="1" applyAlignment="1">
      <alignment horizontal="center" wrapText="1"/>
    </xf>
    <xf numFmtId="0" fontId="11" fillId="0" borderId="24" xfId="0" quotePrefix="1" applyNumberFormat="1" applyFont="1" applyFill="1" applyBorder="1" applyAlignment="1">
      <alignment horizontal="center" wrapText="1"/>
    </xf>
    <xf numFmtId="164" fontId="11" fillId="0" borderId="24" xfId="0" quotePrefix="1" applyNumberFormat="1" applyFont="1" applyFill="1" applyBorder="1" applyAlignment="1">
      <alignment horizontal="center" wrapText="1"/>
    </xf>
    <xf numFmtId="14" fontId="11" fillId="0" borderId="24" xfId="0" quotePrefix="1" applyNumberFormat="1" applyFont="1" applyFill="1" applyBorder="1" applyAlignment="1">
      <alignment horizontal="center" wrapText="1"/>
    </xf>
    <xf numFmtId="10" fontId="11" fillId="0" borderId="24" xfId="0" quotePrefix="1" applyNumberFormat="1" applyFont="1" applyFill="1" applyBorder="1" applyAlignment="1">
      <alignment horizontal="center" wrapText="1"/>
    </xf>
    <xf numFmtId="10" fontId="11" fillId="0" borderId="20" xfId="0" quotePrefix="1" applyNumberFormat="1" applyFont="1" applyFill="1" applyBorder="1" applyAlignment="1">
      <alignment horizontal="center" wrapText="1"/>
    </xf>
    <xf numFmtId="0" fontId="11" fillId="0" borderId="33" xfId="0" quotePrefix="1" applyNumberFormat="1" applyFont="1" applyFill="1" applyBorder="1" applyAlignment="1">
      <alignment horizontal="center" wrapText="1"/>
    </xf>
    <xf numFmtId="0" fontId="11" fillId="0" borderId="29" xfId="0" quotePrefix="1" applyNumberFormat="1" applyFont="1" applyFill="1" applyBorder="1" applyAlignment="1"/>
    <xf numFmtId="0" fontId="11" fillId="0" borderId="29" xfId="0" quotePrefix="1" applyNumberFormat="1" applyFont="1" applyFill="1" applyBorder="1" applyAlignment="1">
      <alignment horizontal="center" wrapText="1"/>
    </xf>
    <xf numFmtId="164" fontId="11" fillId="0" borderId="29" xfId="0" quotePrefix="1" applyNumberFormat="1" applyFont="1" applyFill="1" applyBorder="1" applyAlignment="1">
      <alignment horizontal="center" wrapText="1"/>
    </xf>
    <xf numFmtId="14" fontId="11" fillId="0" borderId="29" xfId="0" quotePrefix="1" applyNumberFormat="1" applyFont="1" applyFill="1" applyBorder="1" applyAlignment="1">
      <alignment horizontal="center" wrapText="1"/>
    </xf>
    <xf numFmtId="10" fontId="11" fillId="0" borderId="29" xfId="0" quotePrefix="1" applyNumberFormat="1" applyFont="1" applyFill="1" applyBorder="1" applyAlignment="1">
      <alignment horizontal="center" wrapText="1"/>
    </xf>
    <xf numFmtId="10" fontId="11" fillId="0" borderId="34" xfId="0" quotePrefix="1" applyNumberFormat="1" applyFont="1" applyFill="1" applyBorder="1" applyAlignment="1">
      <alignment horizontal="center" wrapText="1"/>
    </xf>
    <xf numFmtId="41" fontId="20" fillId="0" borderId="0" xfId="0" applyNumberFormat="1" applyFont="1" applyFill="1"/>
    <xf numFmtId="41" fontId="19" fillId="0" borderId="0" xfId="0" applyNumberFormat="1" applyFont="1" applyFill="1"/>
    <xf numFmtId="164" fontId="5" fillId="0" borderId="13" xfId="0" applyNumberFormat="1" applyFont="1" applyBorder="1" applyAlignment="1">
      <alignment horizontal="center" vertical="center"/>
    </xf>
    <xf numFmtId="164" fontId="5" fillId="0" borderId="4" xfId="0" applyNumberFormat="1" applyFont="1" applyBorder="1" applyAlignment="1">
      <alignment horizontal="center" vertical="center"/>
    </xf>
    <xf numFmtId="164" fontId="5" fillId="0" borderId="9" xfId="0" applyNumberFormat="1" applyFont="1" applyBorder="1" applyAlignment="1">
      <alignment horizontal="center" vertical="center"/>
    </xf>
    <xf numFmtId="168" fontId="11" fillId="0" borderId="33" xfId="0" applyNumberFormat="1" applyFont="1" applyFill="1" applyBorder="1" applyAlignment="1">
      <alignment horizontal="center" wrapText="1"/>
    </xf>
    <xf numFmtId="168" fontId="11" fillId="0" borderId="29" xfId="0" applyNumberFormat="1" applyFont="1" applyFill="1" applyBorder="1" applyAlignment="1">
      <alignment horizontal="center" wrapText="1"/>
    </xf>
    <xf numFmtId="168" fontId="11" fillId="0" borderId="34" xfId="0" applyNumberFormat="1" applyFont="1" applyFill="1" applyBorder="1" applyAlignment="1">
      <alignment horizontal="center" wrapText="1"/>
    </xf>
    <xf numFmtId="168" fontId="11" fillId="0" borderId="15" xfId="0" applyNumberFormat="1" applyFont="1" applyFill="1" applyBorder="1" applyAlignment="1">
      <alignment horizontal="center" wrapText="1"/>
    </xf>
    <xf numFmtId="168" fontId="11" fillId="0" borderId="16" xfId="0" applyNumberFormat="1" applyFont="1" applyFill="1" applyBorder="1" applyAlignment="1">
      <alignment horizontal="center" wrapText="1"/>
    </xf>
    <xf numFmtId="168" fontId="11" fillId="0" borderId="17" xfId="0" applyNumberFormat="1" applyFont="1" applyFill="1" applyBorder="1" applyAlignment="1">
      <alignment horizontal="center" wrapText="1"/>
    </xf>
    <xf numFmtId="0" fontId="11" fillId="0" borderId="0" xfId="0" applyNumberFormat="1" applyFont="1" applyFill="1" applyBorder="1"/>
    <xf numFmtId="167" fontId="5" fillId="0" borderId="0" xfId="0" applyNumberFormat="1" applyFont="1" applyFill="1"/>
    <xf numFmtId="165" fontId="0" fillId="0" borderId="0" xfId="1" applyNumberFormat="1" applyFont="1" applyFill="1"/>
    <xf numFmtId="165" fontId="12" fillId="0" borderId="0" xfId="0" applyNumberFormat="1" applyFont="1" applyFill="1" applyBorder="1" applyAlignment="1">
      <alignment horizontal="center"/>
    </xf>
    <xf numFmtId="167" fontId="12" fillId="0" borderId="0" xfId="0" applyNumberFormat="1" applyFont="1" applyFill="1" applyBorder="1" applyAlignment="1">
      <alignment horizontal="center"/>
    </xf>
    <xf numFmtId="0" fontId="11" fillId="0" borderId="0" xfId="1" quotePrefix="1" applyNumberFormat="1" applyFont="1" applyFill="1" applyBorder="1" applyAlignment="1">
      <alignment horizontal="center" wrapText="1"/>
    </xf>
    <xf numFmtId="0" fontId="10" fillId="0" borderId="0" xfId="0" quotePrefix="1" applyNumberFormat="1" applyFont="1" applyFill="1" applyBorder="1" applyAlignment="1">
      <alignment horizontal="center" wrapText="1"/>
    </xf>
    <xf numFmtId="0" fontId="5" fillId="0" borderId="0" xfId="1" applyNumberFormat="1" applyFont="1" applyFill="1"/>
    <xf numFmtId="171" fontId="5" fillId="0" borderId="0" xfId="0" applyNumberFormat="1" applyFont="1" applyBorder="1"/>
    <xf numFmtId="0" fontId="11" fillId="0" borderId="26" xfId="0" quotePrefix="1" applyNumberFormat="1" applyFont="1" applyFill="1" applyBorder="1" applyAlignment="1">
      <alignment horizontal="center" wrapText="1"/>
    </xf>
    <xf numFmtId="164" fontId="12" fillId="0" borderId="0" xfId="0" applyNumberFormat="1" applyFont="1" applyFill="1" applyBorder="1" applyAlignment="1">
      <alignment horizontal="center" vertical="center"/>
    </xf>
    <xf numFmtId="14" fontId="12" fillId="0" borderId="35" xfId="3" applyNumberFormat="1" applyFont="1" applyFill="1" applyAlignment="1"/>
    <xf numFmtId="0" fontId="29" fillId="0" borderId="0" xfId="0" applyNumberFormat="1" applyFont="1" applyFill="1" applyAlignment="1">
      <alignment horizontal="centerContinuous" vertical="center"/>
    </xf>
    <xf numFmtId="0" fontId="24" fillId="0" borderId="0" xfId="0" applyNumberFormat="1" applyFont="1" applyFill="1" applyAlignment="1">
      <alignment horizontal="centerContinuous"/>
    </xf>
    <xf numFmtId="0" fontId="24" fillId="0" borderId="0" xfId="0" applyFont="1" applyFill="1" applyAlignment="1">
      <alignment horizontal="centerContinuous"/>
    </xf>
    <xf numFmtId="14" fontId="24" fillId="0" borderId="0" xfId="5" quotePrefix="1" applyNumberFormat="1" applyFill="1" applyBorder="1" applyAlignment="1">
      <alignment horizontal="center" wrapText="1"/>
    </xf>
    <xf numFmtId="0" fontId="24" fillId="0" borderId="18" xfId="7" quotePrefix="1" applyNumberFormat="1" applyFill="1" applyBorder="1" applyAlignment="1">
      <alignment horizontal="left" wrapText="1"/>
    </xf>
    <xf numFmtId="0" fontId="24" fillId="0" borderId="0" xfId="7" quotePrefix="1" applyNumberFormat="1" applyFill="1" applyBorder="1" applyAlignment="1"/>
    <xf numFmtId="14" fontId="24" fillId="0" borderId="0" xfId="7" quotePrefix="1" applyNumberFormat="1" applyFill="1" applyBorder="1" applyAlignment="1">
      <alignment horizontal="center" wrapText="1"/>
    </xf>
    <xf numFmtId="168" fontId="24" fillId="0" borderId="18" xfId="5" applyNumberFormat="1" applyFill="1" applyBorder="1"/>
    <xf numFmtId="168" fontId="24" fillId="0" borderId="0" xfId="7" quotePrefix="1" applyNumberFormat="1" applyFill="1" applyBorder="1" applyAlignment="1">
      <alignment horizontal="center" wrapText="1"/>
    </xf>
    <xf numFmtId="168" fontId="24" fillId="0" borderId="18" xfId="5" quotePrefix="1" applyNumberFormat="1" applyFill="1" applyBorder="1" applyAlignment="1">
      <alignment horizontal="center" wrapText="1"/>
    </xf>
    <xf numFmtId="174" fontId="24" fillId="0" borderId="18" xfId="5" quotePrefix="1" applyNumberFormat="1" applyFill="1" applyBorder="1" applyAlignment="1">
      <alignment horizontal="left" vertical="center" wrapText="1"/>
    </xf>
    <xf numFmtId="174" fontId="24" fillId="0" borderId="18" xfId="7" quotePrefix="1" applyNumberFormat="1" applyFill="1" applyBorder="1" applyAlignment="1">
      <alignment horizontal="left" vertical="center" wrapText="1"/>
    </xf>
    <xf numFmtId="0" fontId="24" fillId="0" borderId="18" xfId="7" quotePrefix="1" applyNumberFormat="1" applyFill="1" applyBorder="1" applyAlignment="1">
      <alignment horizontal="center" wrapText="1"/>
    </xf>
    <xf numFmtId="0" fontId="24" fillId="0" borderId="0" xfId="7" quotePrefix="1" applyNumberFormat="1" applyFill="1" applyBorder="1" applyAlignment="1">
      <alignment horizontal="center" wrapText="1"/>
    </xf>
    <xf numFmtId="164" fontId="24" fillId="0" borderId="0" xfId="7" applyNumberFormat="1" applyFill="1" applyBorder="1" applyAlignment="1">
      <alignment horizontal="center" wrapText="1"/>
    </xf>
    <xf numFmtId="164" fontId="24" fillId="0" borderId="0" xfId="7" quotePrefix="1" applyNumberFormat="1" applyFill="1" applyBorder="1" applyAlignment="1">
      <alignment horizontal="center" wrapText="1"/>
    </xf>
    <xf numFmtId="10" fontId="24" fillId="0" borderId="0" xfId="7" quotePrefix="1" applyNumberFormat="1" applyFill="1" applyBorder="1" applyAlignment="1">
      <alignment horizontal="center" wrapText="1"/>
    </xf>
    <xf numFmtId="10" fontId="24" fillId="0" borderId="19" xfId="7" quotePrefix="1" applyNumberFormat="1" applyFill="1" applyBorder="1" applyAlignment="1">
      <alignment horizontal="center" wrapText="1"/>
    </xf>
    <xf numFmtId="168" fontId="24" fillId="0" borderId="18" xfId="7" quotePrefix="1" applyNumberFormat="1" applyFill="1" applyBorder="1" applyAlignment="1">
      <alignment horizontal="center" wrapText="1"/>
    </xf>
    <xf numFmtId="0" fontId="24" fillId="0" borderId="18" xfId="5" quotePrefix="1" applyNumberFormat="1" applyFill="1" applyBorder="1" applyAlignment="1">
      <alignment horizontal="center" wrapText="1"/>
    </xf>
    <xf numFmtId="0" fontId="24" fillId="0" borderId="24" xfId="5" quotePrefix="1" applyNumberFormat="1" applyFill="1" applyBorder="1" applyAlignment="1"/>
    <xf numFmtId="41" fontId="5" fillId="0" borderId="0" xfId="6" applyNumberFormat="1" applyFont="1" applyFill="1"/>
    <xf numFmtId="0" fontId="0" fillId="0" borderId="0" xfId="0" applyFont="1" applyFill="1" applyBorder="1" applyAlignment="1">
      <alignment horizontal="left" vertical="center"/>
    </xf>
    <xf numFmtId="0" fontId="27" fillId="0" borderId="0" xfId="0" applyFont="1" applyFill="1" applyBorder="1" applyAlignment="1">
      <alignment horizontal="left" vertical="center"/>
    </xf>
    <xf numFmtId="165" fontId="1" fillId="0" borderId="0" xfId="1" applyNumberFormat="1" applyFont="1" applyFill="1" applyBorder="1" applyAlignment="1">
      <alignment horizontal="left" vertical="center"/>
    </xf>
    <xf numFmtId="166" fontId="1" fillId="0" borderId="0" xfId="2" applyNumberFormat="1" applyFont="1" applyFill="1" applyBorder="1" applyAlignment="1">
      <alignment horizontal="left" vertical="center"/>
    </xf>
    <xf numFmtId="0" fontId="28" fillId="0" borderId="0" xfId="0" applyFont="1" applyFill="1" applyBorder="1" applyAlignment="1">
      <alignment horizontal="centerContinuous" vertical="center"/>
    </xf>
    <xf numFmtId="0" fontId="26" fillId="0" borderId="0" xfId="0" applyFont="1" applyFill="1" applyBorder="1" applyAlignment="1">
      <alignment horizontal="centerContinuous" vertical="center"/>
    </xf>
    <xf numFmtId="0" fontId="0" fillId="0" borderId="0" xfId="0" applyFont="1" applyFill="1" applyBorder="1" applyAlignment="1">
      <alignment horizontal="left" vertical="center" wrapText="1"/>
    </xf>
    <xf numFmtId="0" fontId="9" fillId="0" borderId="0" xfId="0" applyFont="1" applyFill="1" applyBorder="1" applyAlignment="1">
      <alignment horizontal="left" vertical="center" wrapText="1"/>
    </xf>
    <xf numFmtId="0" fontId="2" fillId="0" borderId="27" xfId="0" applyFont="1" applyFill="1" applyBorder="1" applyAlignment="1">
      <alignment horizontal="center" vertical="center" wrapText="1"/>
    </xf>
    <xf numFmtId="0" fontId="2" fillId="0" borderId="35" xfId="3" applyFont="1" applyFill="1" applyAlignment="1">
      <alignment horizontal="center" vertical="center" wrapText="1"/>
    </xf>
    <xf numFmtId="164" fontId="0" fillId="0" borderId="35" xfId="3" applyNumberFormat="1" applyFont="1" applyFill="1" applyAlignment="1">
      <alignment horizontal="left" vertical="center"/>
    </xf>
    <xf numFmtId="164" fontId="0" fillId="0" borderId="0" xfId="0" applyNumberFormat="1" applyFont="1" applyFill="1" applyBorder="1" applyAlignment="1">
      <alignment horizontal="left" vertical="center"/>
    </xf>
    <xf numFmtId="165" fontId="1" fillId="0" borderId="36" xfId="1" applyNumberFormat="1" applyFont="1" applyFill="1" applyBorder="1" applyAlignment="1">
      <alignment horizontal="left" vertical="center"/>
    </xf>
    <xf numFmtId="165" fontId="1" fillId="0" borderId="12" xfId="1" applyNumberFormat="1" applyFont="1" applyFill="1" applyBorder="1" applyAlignment="1">
      <alignment horizontal="left" vertical="center"/>
    </xf>
    <xf numFmtId="171" fontId="1" fillId="0" borderId="12" xfId="1" applyNumberFormat="1" applyFont="1" applyFill="1" applyBorder="1" applyAlignment="1">
      <alignment horizontal="left" vertical="center"/>
    </xf>
    <xf numFmtId="165" fontId="1" fillId="0" borderId="26" xfId="1" applyNumberFormat="1" applyFont="1" applyFill="1" applyBorder="1" applyAlignment="1">
      <alignment horizontal="left" vertical="center"/>
    </xf>
    <xf numFmtId="171" fontId="1" fillId="0" borderId="0" xfId="1" applyNumberFormat="1" applyFont="1" applyFill="1" applyBorder="1" applyAlignment="1">
      <alignment horizontal="left" vertical="center"/>
    </xf>
    <xf numFmtId="165" fontId="1" fillId="0" borderId="28" xfId="1" applyNumberFormat="1" applyFont="1" applyFill="1" applyBorder="1" applyAlignment="1">
      <alignment horizontal="left" vertical="center"/>
    </xf>
    <xf numFmtId="165" fontId="0" fillId="0" borderId="0" xfId="0" applyNumberFormat="1" applyFont="1" applyFill="1" applyBorder="1" applyAlignment="1">
      <alignment horizontal="left" vertical="center"/>
    </xf>
    <xf numFmtId="0" fontId="25" fillId="0" borderId="0" xfId="0" applyFont="1" applyFill="1" applyBorder="1" applyAlignment="1">
      <alignment horizontal="left" vertical="center" wrapText="1"/>
    </xf>
    <xf numFmtId="0" fontId="2" fillId="0" borderId="37" xfId="0" applyFont="1" applyFill="1" applyBorder="1" applyAlignment="1">
      <alignment horizontal="center" vertical="center" wrapText="1"/>
    </xf>
    <xf numFmtId="0" fontId="2" fillId="0" borderId="14" xfId="0" applyFont="1" applyFill="1" applyBorder="1" applyAlignment="1">
      <alignment horizontal="center" vertical="center" wrapText="1"/>
    </xf>
    <xf numFmtId="168" fontId="0" fillId="0" borderId="18" xfId="0" applyNumberFormat="1" applyFill="1" applyBorder="1"/>
    <xf numFmtId="0" fontId="2" fillId="0" borderId="1" xfId="0" applyFont="1" applyBorder="1" applyAlignment="1">
      <alignment horizontal="center"/>
    </xf>
    <xf numFmtId="0" fontId="2" fillId="0" borderId="2" xfId="0" applyFont="1" applyBorder="1" applyAlignment="1">
      <alignment horizontal="center"/>
    </xf>
    <xf numFmtId="0" fontId="6" fillId="0" borderId="5" xfId="0" applyNumberFormat="1" applyFont="1" applyBorder="1" applyAlignment="1">
      <alignment horizontal="center"/>
    </xf>
    <xf numFmtId="0" fontId="6" fillId="0" borderId="12" xfId="0" applyNumberFormat="1" applyFont="1" applyBorder="1" applyAlignment="1">
      <alignment horizontal="center"/>
    </xf>
    <xf numFmtId="0" fontId="6" fillId="0" borderId="6" xfId="0" applyNumberFormat="1" applyFont="1" applyBorder="1" applyAlignment="1">
      <alignment horizontal="center"/>
    </xf>
    <xf numFmtId="164" fontId="12" fillId="0" borderId="0" xfId="0" applyNumberFormat="1" applyFont="1" applyFill="1" applyBorder="1" applyAlignment="1">
      <alignment horizontal="center" vertical="center"/>
    </xf>
    <xf numFmtId="164" fontId="12" fillId="0" borderId="21" xfId="0" applyNumberFormat="1" applyFont="1" applyFill="1" applyBorder="1" applyAlignment="1">
      <alignment horizontal="center" vertical="center"/>
    </xf>
    <xf numFmtId="164" fontId="12" fillId="0" borderId="22" xfId="0" applyNumberFormat="1" applyFont="1" applyFill="1" applyBorder="1" applyAlignment="1">
      <alignment horizontal="center" vertical="center"/>
    </xf>
    <xf numFmtId="164" fontId="12" fillId="0" borderId="23" xfId="0" applyNumberFormat="1" applyFont="1" applyFill="1" applyBorder="1" applyAlignment="1">
      <alignment horizontal="center" vertical="center"/>
    </xf>
  </cellXfs>
  <cellStyles count="8">
    <cellStyle name="Accent1" xfId="7" builtinId="29"/>
    <cellStyle name="Accent2" xfId="5" builtinId="33"/>
    <cellStyle name="Accent4" xfId="6" builtinId="41"/>
    <cellStyle name="Comma" xfId="1" builtinId="3"/>
    <cellStyle name="Normal" xfId="0" builtinId="0"/>
    <cellStyle name="Normal 2" xfId="4"/>
    <cellStyle name="Note" xfId="3" builtinId="1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ce\workgroup\CapRec&amp;PropVal\CHUCK\Transmission%20Line%20(ISO)%20Studies\2007%20ISO%20TransLine%20Study\ISO%20TransLines%20ao%2012-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O"/>
      <sheetName val="TL COST SUMMARY"/>
      <sheetName val="ACCT_101-106"/>
      <sheetName val="ACCT_106"/>
      <sheetName val="MILEAGE ADJ"/>
      <sheetName val="Acct 101- Reconciliation"/>
      <sheetName val="Acct 106 - Reconciliation"/>
    </sheetNames>
    <sheetDataSet>
      <sheetData sheetId="0"/>
      <sheetData sheetId="1">
        <row r="107">
          <cell r="V107">
            <v>73689</v>
          </cell>
        </row>
      </sheetData>
      <sheetData sheetId="2"/>
      <sheetData sheetId="3"/>
      <sheetData sheetId="4"/>
      <sheetData sheetId="5"/>
      <sheetData sheetId="6"/>
    </sheetDataSet>
  </externalBook>
</externalLink>
</file>

<file path=xl/theme/theme1.xml><?xml version="1.0" encoding="utf-8"?>
<a:theme xmlns:a="http://schemas.openxmlformats.org/drawingml/2006/main" name="EIX theme">
  <a:themeElements>
    <a:clrScheme name="Custom 1">
      <a:dk1>
        <a:sysClr val="windowText" lastClr="000000"/>
      </a:dk1>
      <a:lt1>
        <a:srgbClr val="FFFFFF"/>
      </a:lt1>
      <a:dk2>
        <a:srgbClr val="006CB5"/>
      </a:dk2>
      <a:lt2>
        <a:srgbClr val="D9D9D9"/>
      </a:lt2>
      <a:accent1>
        <a:srgbClr val="00705C"/>
      </a:accent1>
      <a:accent2>
        <a:srgbClr val="006CB5"/>
      </a:accent2>
      <a:accent3>
        <a:srgbClr val="7C7D80"/>
      </a:accent3>
      <a:accent4>
        <a:srgbClr val="FFD151"/>
      </a:accent4>
      <a:accent5>
        <a:srgbClr val="6699C8"/>
      </a:accent5>
      <a:accent6>
        <a:srgbClr val="558170"/>
      </a:accent6>
      <a:hlink>
        <a:srgbClr val="658691"/>
      </a:hlink>
      <a:folHlink>
        <a:srgbClr val="BC4036"/>
      </a:folHlink>
    </a:clrScheme>
    <a:fontScheme name="Office Them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Them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EIX theme" id="{1C9B02C5-3EBB-4133-B67E-B97E8AB074C8}" vid="{4C453E64-92EB-4659-BE47-4B1842FC7DE8}"/>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7" tint="0.59999389629810485"/>
  </sheetPr>
  <dimension ref="A1:N29"/>
  <sheetViews>
    <sheetView tabSelected="1" zoomScale="80" zoomScaleNormal="80" workbookViewId="0"/>
  </sheetViews>
  <sheetFormatPr defaultColWidth="9.140625" defaultRowHeight="15" x14ac:dyDescent="0.25"/>
  <cols>
    <col min="1" max="1" width="16.140625" style="2" customWidth="1"/>
    <col min="2" max="3" width="16.28515625" style="2" customWidth="1"/>
    <col min="4" max="4" width="1" style="3" customWidth="1"/>
    <col min="5" max="6" width="17.28515625" style="2" customWidth="1"/>
    <col min="7" max="7" width="1.140625" style="2" customWidth="1"/>
    <col min="8" max="9" width="16.140625" style="2" customWidth="1"/>
    <col min="10" max="10" width="7" style="2" customWidth="1"/>
    <col min="11" max="11" width="17" style="3" bestFit="1" customWidth="1"/>
    <col min="12" max="12" width="14.42578125" style="3" customWidth="1"/>
    <col min="13" max="13" width="12.28515625" style="2" bestFit="1" customWidth="1"/>
    <col min="14" max="14" width="13.85546875" style="3" customWidth="1"/>
    <col min="15" max="16384" width="9.140625" style="2"/>
  </cols>
  <sheetData>
    <row r="1" spans="1:14" ht="18.75" x14ac:dyDescent="0.3">
      <c r="A1" s="1" t="s">
        <v>0</v>
      </c>
    </row>
    <row r="2" spans="1:14" x14ac:dyDescent="0.25">
      <c r="A2" s="4"/>
      <c r="B2" s="5"/>
    </row>
    <row r="3" spans="1:14" x14ac:dyDescent="0.25">
      <c r="B3" s="320" t="s">
        <v>1</v>
      </c>
      <c r="C3" s="321"/>
      <c r="E3" s="320" t="s">
        <v>2</v>
      </c>
      <c r="F3" s="321"/>
      <c r="H3" s="320" t="s">
        <v>3</v>
      </c>
      <c r="I3" s="321"/>
    </row>
    <row r="4" spans="1:14" s="10" customFormat="1" ht="37.5" customHeight="1" x14ac:dyDescent="0.25">
      <c r="A4" s="6" t="s">
        <v>4</v>
      </c>
      <c r="B4" s="7" t="s">
        <v>5</v>
      </c>
      <c r="C4" s="8" t="s">
        <v>258</v>
      </c>
      <c r="D4" s="9"/>
      <c r="E4" s="7" t="str">
        <f>B4</f>
        <v>Gross Additions</v>
      </c>
      <c r="F4" s="8" t="str">
        <f>C4</f>
        <v>CWIP</v>
      </c>
      <c r="H4" s="7" t="str">
        <f>B4</f>
        <v>Gross Additions</v>
      </c>
      <c r="I4" s="8" t="str">
        <f>C4</f>
        <v>CWIP</v>
      </c>
      <c r="K4" s="11"/>
      <c r="L4" s="2"/>
      <c r="M4" s="2"/>
      <c r="N4" s="9"/>
    </row>
    <row r="5" spans="1:14" x14ac:dyDescent="0.25">
      <c r="A5" s="12">
        <f>'Non-Inc Plant'!B3</f>
        <v>42005</v>
      </c>
      <c r="B5" s="13">
        <f ca="1">('Load Summary'!F5+'Load Summary'!C5)*1000</f>
        <v>28571986.77700356</v>
      </c>
      <c r="C5" s="14">
        <f>SUMIF('Non-Inc Plant'!$E:$E,A5,'Non-Inc Plant'!$M:$M)*1000+
SUMIFS('Non-Inc Plant'!$M:$M,'Non-Inc Plant'!$I:$I,"CWIP Evenly Closed")/12*1000*(YEAR(A5)=2015)</f>
        <v>18648888.501666665</v>
      </c>
      <c r="D5" s="15"/>
      <c r="E5" s="13">
        <f>'Load Summary'!B5*1000</f>
        <v>23473919.840000004</v>
      </c>
      <c r="F5" s="89">
        <f>+SUMIFS('Inc CWIP &amp; Plant'!$L:$L,'Inc CWIP &amp; Plant'!$G:$G,'Net Plant'!$A5,'Inc CWIP &amp; Plant'!$B:$B,"Closings")*1000</f>
        <v>10889304.93</v>
      </c>
      <c r="G5" s="18"/>
      <c r="H5" s="16">
        <f t="shared" ref="H5:I28" ca="1" si="0">B5+E5</f>
        <v>52045906.61700356</v>
      </c>
      <c r="I5" s="17">
        <f t="shared" si="0"/>
        <v>29538193.431666665</v>
      </c>
      <c r="L5" s="2"/>
    </row>
    <row r="6" spans="1:14" x14ac:dyDescent="0.25">
      <c r="A6" s="12">
        <f>DATE(YEAR(A5),MONTH(A5)+1,1)</f>
        <v>42036</v>
      </c>
      <c r="B6" s="16">
        <f ca="1">('Load Summary'!F6+'Load Summary'!C6)*1000-('Load Summary'!F5+'Load Summary'!C5)*1000</f>
        <v>15534060.017003555</v>
      </c>
      <c r="C6" s="17">
        <f>SUMIF('Non-Inc Plant'!$E:$E,A6,'Non-Inc Plant'!$M:$M)*1000+
SUMIFS('Non-Inc Plant'!$M:$M,'Non-Inc Plant'!$I:$I,"CWIP Evenly Closed")/12*1000*(YEAR(A6)=2015)</f>
        <v>5636614.8916666647</v>
      </c>
      <c r="D6" s="15"/>
      <c r="E6" s="16">
        <f>'Load Summary'!B6*1000-'Load Summary'!B5*1000</f>
        <v>-6147539.8299999982</v>
      </c>
      <c r="F6" s="88">
        <f>+SUMIFS('Inc CWIP &amp; Plant'!$L:$L,'Inc CWIP &amp; Plant'!$G:$G,'Net Plant'!$A6,'Inc CWIP &amp; Plant'!$B:$B,"Closings")*1000</f>
        <v>0</v>
      </c>
      <c r="G6" s="18"/>
      <c r="H6" s="16">
        <f t="shared" ca="1" si="0"/>
        <v>9386520.1870035566</v>
      </c>
      <c r="I6" s="17">
        <f t="shared" si="0"/>
        <v>5636614.8916666647</v>
      </c>
      <c r="L6" s="2"/>
    </row>
    <row r="7" spans="1:14" x14ac:dyDescent="0.25">
      <c r="A7" s="12">
        <f t="shared" ref="A7:A28" si="1">DATE(YEAR(A6),MONTH(A6)+1,1)</f>
        <v>42064</v>
      </c>
      <c r="B7" s="16">
        <f ca="1">('Load Summary'!F7+'Load Summary'!C7)*1000-('Load Summary'!F6+'Load Summary'!C6)*1000</f>
        <v>20854171.637003556</v>
      </c>
      <c r="C7" s="17">
        <f>SUMIF('Non-Inc Plant'!$E:$E,A7,'Non-Inc Plant'!$M:$M)*1000+
SUMIFS('Non-Inc Plant'!$M:$M,'Non-Inc Plant'!$I:$I,"CWIP Evenly Closed")/12*1000*(YEAR(A7)=2015)</f>
        <v>7864945.5716666644</v>
      </c>
      <c r="D7" s="15"/>
      <c r="E7" s="16">
        <f>'Load Summary'!B7*1000-'Load Summary'!B6*1000</f>
        <v>1323782.1999999993</v>
      </c>
      <c r="F7" s="88">
        <f>+SUMIFS('Inc CWIP &amp; Plant'!$L:$L,'Inc CWIP &amp; Plant'!$G:$G,'Net Plant'!$A7,'Inc CWIP &amp; Plant'!$B:$B,"Closings")*1000</f>
        <v>0</v>
      </c>
      <c r="G7" s="18"/>
      <c r="H7" s="16">
        <f t="shared" ca="1" si="0"/>
        <v>22177953.837003555</v>
      </c>
      <c r="I7" s="17">
        <f t="shared" si="0"/>
        <v>7864945.5716666644</v>
      </c>
      <c r="L7" s="2"/>
    </row>
    <row r="8" spans="1:14" x14ac:dyDescent="0.25">
      <c r="A8" s="12">
        <f t="shared" si="1"/>
        <v>42095</v>
      </c>
      <c r="B8" s="16">
        <f ca="1">('Load Summary'!F8+'Load Summary'!C8)*1000-('Load Summary'!F7+'Load Summary'!C7)*1000</f>
        <v>15534060.017003559</v>
      </c>
      <c r="C8" s="17">
        <f>SUMIF('Non-Inc Plant'!$E:$E,A8,'Non-Inc Plant'!$M:$M)*1000+
SUMIFS('Non-Inc Plant'!$M:$M,'Non-Inc Plant'!$I:$I,"CWIP Evenly Closed")/12*1000*(YEAR(A8)=2015)</f>
        <v>5636614.8916666647</v>
      </c>
      <c r="D8" s="15"/>
      <c r="E8" s="16">
        <f>'Load Summary'!B8*1000-'Load Summary'!B7*1000</f>
        <v>3194982.4864000008</v>
      </c>
      <c r="F8" s="88">
        <f>+SUMIFS('Inc CWIP &amp; Plant'!$L:$L,'Inc CWIP &amp; Plant'!$G:$G,'Net Plant'!$A8,'Inc CWIP &amp; Plant'!$B:$B,"Closings")*1000</f>
        <v>3712.21</v>
      </c>
      <c r="G8" s="18"/>
      <c r="H8" s="16">
        <f t="shared" ca="1" si="0"/>
        <v>18729042.503403559</v>
      </c>
      <c r="I8" s="17">
        <f t="shared" si="0"/>
        <v>5640327.1016666647</v>
      </c>
      <c r="L8" s="2"/>
    </row>
    <row r="9" spans="1:14" x14ac:dyDescent="0.25">
      <c r="A9" s="12">
        <f t="shared" si="1"/>
        <v>42125</v>
      </c>
      <c r="B9" s="16">
        <f ca="1">('Load Summary'!F9+'Load Summary'!C9)*1000-('Load Summary'!F8+'Load Summary'!C8)*1000</f>
        <v>17750536.24700354</v>
      </c>
      <c r="C9" s="17">
        <f>SUMIF('Non-Inc Plant'!$E:$E,A9,'Non-Inc Plant'!$M:$M)*1000+
SUMIFS('Non-Inc Plant'!$M:$M,'Non-Inc Plant'!$I:$I,"CWIP Evenly Closed")/12*1000*(YEAR(A9)=2015)</f>
        <v>6853091.1216666661</v>
      </c>
      <c r="D9" s="15"/>
      <c r="E9" s="16">
        <f>'Load Summary'!B9*1000-'Load Summary'!B8*1000</f>
        <v>642363200.83989978</v>
      </c>
      <c r="F9" s="88">
        <f>+SUMIFS('Inc CWIP &amp; Plant'!$L:$L,'Inc CWIP &amp; Plant'!$G:$G,'Net Plant'!$A9,'Inc CWIP &amp; Plant'!$B:$B,"Closings")*1000</f>
        <v>586092438.00000012</v>
      </c>
      <c r="G9" s="18"/>
      <c r="H9" s="16">
        <f t="shared" ca="1" si="0"/>
        <v>660113737.08690333</v>
      </c>
      <c r="I9" s="17">
        <f t="shared" si="0"/>
        <v>592945529.12166679</v>
      </c>
      <c r="L9" s="2"/>
    </row>
    <row r="10" spans="1:14" x14ac:dyDescent="0.25">
      <c r="A10" s="12">
        <f t="shared" si="1"/>
        <v>42156</v>
      </c>
      <c r="B10" s="16">
        <f ca="1">('Load Summary'!F10+'Load Summary'!C10)*1000-('Load Summary'!F9+'Load Summary'!C9)*1000</f>
        <v>22568149.924457237</v>
      </c>
      <c r="C10" s="17">
        <f>SUMIF('Non-Inc Plant'!$E:$E,A10,'Non-Inc Plant'!$M:$M)*1000+
SUMIFS('Non-Inc Plant'!$M:$M,'Non-Inc Plant'!$I:$I,"CWIP Evenly Closed")/12*1000*(YEAR(A10)=2015)</f>
        <v>11042936.181666667</v>
      </c>
      <c r="D10" s="15"/>
      <c r="E10" s="16">
        <f>'Load Summary'!B10*1000-'Load Summary'!B9*1000</f>
        <v>46762111.262300134</v>
      </c>
      <c r="F10" s="88">
        <f>+SUMIFS('Inc CWIP &amp; Plant'!$L:$L,'Inc CWIP &amp; Plant'!$G:$G,'Net Plant'!$A10,'Inc CWIP &amp; Plant'!$B:$B,"Closings")*1000</f>
        <v>37092773.910000019</v>
      </c>
      <c r="G10" s="18"/>
      <c r="H10" s="16">
        <f t="shared" ca="1" si="0"/>
        <v>69330261.186757371</v>
      </c>
      <c r="I10" s="17">
        <f t="shared" si="0"/>
        <v>48135710.091666684</v>
      </c>
      <c r="L10" s="2"/>
    </row>
    <row r="11" spans="1:14" x14ac:dyDescent="0.25">
      <c r="A11" s="12">
        <f t="shared" si="1"/>
        <v>42186</v>
      </c>
      <c r="B11" s="16">
        <f ca="1">('Load Summary'!F11+'Load Summary'!C11)*1000-('Load Summary'!F10+'Load Summary'!C10)*1000</f>
        <v>15534060.017003536</v>
      </c>
      <c r="C11" s="17">
        <f>SUMIF('Non-Inc Plant'!$E:$E,A11,'Non-Inc Plant'!$M:$M)*1000+
SUMIFS('Non-Inc Plant'!$M:$M,'Non-Inc Plant'!$I:$I,"CWIP Evenly Closed")/12*1000*(YEAR(A11)=2015)</f>
        <v>5636614.8916666647</v>
      </c>
      <c r="D11" s="15"/>
      <c r="E11" s="16">
        <f>'Load Summary'!B11*1000-'Load Summary'!B10*1000</f>
        <v>4896605.9242999554</v>
      </c>
      <c r="F11" s="88">
        <f>+SUMIFS('Inc CWIP &amp; Plant'!$L:$L,'Inc CWIP &amp; Plant'!$G:$G,'Net Plant'!$A11,'Inc CWIP &amp; Plant'!$B:$B,"Closings")*1000</f>
        <v>0</v>
      </c>
      <c r="G11" s="18"/>
      <c r="H11" s="16">
        <f t="shared" ca="1" si="0"/>
        <v>20430665.941303492</v>
      </c>
      <c r="I11" s="17">
        <f t="shared" si="0"/>
        <v>5636614.8916666647</v>
      </c>
      <c r="L11" s="2"/>
    </row>
    <row r="12" spans="1:14" x14ac:dyDescent="0.25">
      <c r="A12" s="12">
        <f t="shared" si="1"/>
        <v>42217</v>
      </c>
      <c r="B12" s="16">
        <f ca="1">('Load Summary'!F12+'Load Summary'!C12)*1000-('Load Summary'!F11+'Load Summary'!C11)*1000</f>
        <v>15534060.017003566</v>
      </c>
      <c r="C12" s="17">
        <f>SUMIF('Non-Inc Plant'!$E:$E,A12,'Non-Inc Plant'!$M:$M)*1000+
SUMIFS('Non-Inc Plant'!$M:$M,'Non-Inc Plant'!$I:$I,"CWIP Evenly Closed")/12*1000*(YEAR(A12)=2015)</f>
        <v>5636614.8916666647</v>
      </c>
      <c r="D12" s="15"/>
      <c r="E12" s="16">
        <f>'Load Summary'!B12*1000-'Load Summary'!B11*1000</f>
        <v>4758930.0267000198</v>
      </c>
      <c r="F12" s="88">
        <f>+SUMIFS('Inc CWIP &amp; Plant'!$L:$L,'Inc CWIP &amp; Plant'!$G:$G,'Net Plant'!$A12,'Inc CWIP &amp; Plant'!$B:$B,"Closings")*1000</f>
        <v>50209.580000000009</v>
      </c>
      <c r="G12" s="18"/>
      <c r="H12" s="16">
        <f t="shared" ca="1" si="0"/>
        <v>20292990.043703586</v>
      </c>
      <c r="I12" s="17">
        <f t="shared" si="0"/>
        <v>5686824.4716666648</v>
      </c>
      <c r="L12" s="2"/>
    </row>
    <row r="13" spans="1:14" x14ac:dyDescent="0.25">
      <c r="A13" s="12">
        <f t="shared" si="1"/>
        <v>42248</v>
      </c>
      <c r="B13" s="16">
        <f ca="1">('Load Summary'!F13+'Load Summary'!C13)*1000-('Load Summary'!F12+'Load Summary'!C12)*1000</f>
        <v>15534060.017003536</v>
      </c>
      <c r="C13" s="17">
        <f>SUMIF('Non-Inc Plant'!$E:$E,A13,'Non-Inc Plant'!$M:$M)*1000+
SUMIFS('Non-Inc Plant'!$M:$M,'Non-Inc Plant'!$I:$I,"CWIP Evenly Closed")/12*1000*(YEAR(A13)=2015)</f>
        <v>5636614.8916666647</v>
      </c>
      <c r="D13" s="15"/>
      <c r="E13" s="16">
        <f>'Load Summary'!B13*1000-'Load Summary'!B12*1000</f>
        <v>6389668.1475000381</v>
      </c>
      <c r="F13" s="88">
        <f>+SUMIFS('Inc CWIP &amp; Plant'!$L:$L,'Inc CWIP &amp; Plant'!$G:$G,'Net Plant'!$A13,'Inc CWIP &amp; Plant'!$B:$B,"Closings")*1000</f>
        <v>0</v>
      </c>
      <c r="G13" s="18"/>
      <c r="H13" s="16">
        <f t="shared" ca="1" si="0"/>
        <v>21923728.164503574</v>
      </c>
      <c r="I13" s="17">
        <f t="shared" si="0"/>
        <v>5636614.8916666647</v>
      </c>
      <c r="L13" s="2"/>
    </row>
    <row r="14" spans="1:14" x14ac:dyDescent="0.25">
      <c r="A14" s="12">
        <f t="shared" si="1"/>
        <v>42278</v>
      </c>
      <c r="B14" s="16">
        <f ca="1">('Load Summary'!F14+'Load Summary'!C14)*1000-('Load Summary'!F13+'Load Summary'!C13)*1000</f>
        <v>40238680.237003535</v>
      </c>
      <c r="C14" s="17">
        <f>SUMIF('Non-Inc Plant'!$E:$E,A14,'Non-Inc Plant'!$M:$M)*1000+
SUMIFS('Non-Inc Plant'!$M:$M,'Non-Inc Plant'!$I:$I,"CWIP Evenly Closed")/12*1000*(YEAR(A14)=2015)</f>
        <v>17449235.111666668</v>
      </c>
      <c r="D14" s="15"/>
      <c r="E14" s="16">
        <f>'Load Summary'!B14*1000-'Load Summary'!B13*1000</f>
        <v>6349583.5375000238</v>
      </c>
      <c r="F14" s="88">
        <f>+SUMIFS('Inc CWIP &amp; Plant'!$L:$L,'Inc CWIP &amp; Plant'!$G:$G,'Net Plant'!$A14,'Inc CWIP &amp; Plant'!$B:$B,"Closings")*1000</f>
        <v>0</v>
      </c>
      <c r="G14" s="18"/>
      <c r="H14" s="16">
        <f t="shared" ca="1" si="0"/>
        <v>46588263.774503559</v>
      </c>
      <c r="I14" s="17">
        <f t="shared" si="0"/>
        <v>17449235.111666668</v>
      </c>
      <c r="L14" s="2"/>
    </row>
    <row r="15" spans="1:14" x14ac:dyDescent="0.25">
      <c r="A15" s="12">
        <f t="shared" si="1"/>
        <v>42309</v>
      </c>
      <c r="B15" s="16">
        <f ca="1">('Load Summary'!F15+'Load Summary'!C15)*1000-('Load Summary'!F14+'Load Summary'!C14)*1000</f>
        <v>105395629.5970037</v>
      </c>
      <c r="C15" s="17">
        <f>SUMIF('Non-Inc Plant'!$E:$E,A15,'Non-Inc Plant'!$M:$M)*1000+
SUMIFS('Non-Inc Plant'!$M:$M,'Non-Inc Plant'!$I:$I,"CWIP Evenly Closed")/12*1000*(YEAR(A15)=2015)</f>
        <v>61103184.471666776</v>
      </c>
      <c r="D15" s="15"/>
      <c r="E15" s="16">
        <f>'Load Summary'!B15*1000-'Load Summary'!B14*1000</f>
        <v>4051749.3475000858</v>
      </c>
      <c r="F15" s="88">
        <f>+SUMIFS('Inc CWIP &amp; Plant'!$L:$L,'Inc CWIP &amp; Plant'!$G:$G,'Net Plant'!$A15,'Inc CWIP &amp; Plant'!$B:$B,"Closings")*1000</f>
        <v>0</v>
      </c>
      <c r="G15" s="18"/>
      <c r="H15" s="16">
        <f t="shared" ca="1" si="0"/>
        <v>109447378.94450378</v>
      </c>
      <c r="I15" s="17">
        <f t="shared" si="0"/>
        <v>61103184.471666776</v>
      </c>
      <c r="L15" s="2"/>
    </row>
    <row r="16" spans="1:14" x14ac:dyDescent="0.25">
      <c r="A16" s="12">
        <f t="shared" si="1"/>
        <v>42339</v>
      </c>
      <c r="B16" s="16">
        <f ca="1">('Load Summary'!F16+'Load Summary'!C16)*1000-('Load Summary'!F15+'Load Summary'!C15)*1000</f>
        <v>63415928.083803535</v>
      </c>
      <c r="C16" s="17">
        <f>SUMIF('Non-Inc Plant'!$E:$E,A16,'Non-Inc Plant'!$M:$M)*1000+
SUMIFS('Non-Inc Plant'!$M:$M,'Non-Inc Plant'!$I:$I,"CWIP Evenly Closed")/12*1000*(YEAR(A16)=2015)</f>
        <v>34531765.698466673</v>
      </c>
      <c r="D16" s="15"/>
      <c r="E16" s="16">
        <f>'Load Summary'!B16*1000-'Load Summary'!B15*1000</f>
        <v>46595468.987330079</v>
      </c>
      <c r="F16" s="88">
        <f>+SUMIFS('Inc CWIP &amp; Plant'!$L:$L,'Inc CWIP &amp; Plant'!$G:$G,'Net Plant'!$A16,'Inc CWIP &amp; Plant'!$B:$B,"Closings")*1000</f>
        <v>3445382.6699999995</v>
      </c>
      <c r="G16" s="18"/>
      <c r="H16" s="16">
        <f t="shared" ca="1" si="0"/>
        <v>110011397.07113361</v>
      </c>
      <c r="I16" s="17">
        <f t="shared" si="0"/>
        <v>37977148.368466675</v>
      </c>
      <c r="L16" s="2"/>
    </row>
    <row r="17" spans="1:12" x14ac:dyDescent="0.25">
      <c r="A17" s="12">
        <f t="shared" si="1"/>
        <v>42370</v>
      </c>
      <c r="B17" s="16">
        <f ca="1">('Load Summary'!F17+'Load Summary'!C17)*1000-('Load Summary'!F16+'Load Summary'!C16)*1000</f>
        <v>12880465.57538718</v>
      </c>
      <c r="C17" s="17">
        <f>SUMIF('Non-Inc Plant'!$E:$E,A17,'Non-Inc Plant'!$M:$M)*1000+
SUMIFS('Non-Inc Plant'!$M:$M,'Non-Inc Plant'!$I:$I,"CWIP Evenly Closed")/12*1000*(YEAR(A17)=2015)</f>
        <v>0</v>
      </c>
      <c r="D17" s="15"/>
      <c r="E17" s="16">
        <f>'Load Summary'!B17*1000-'Load Summary'!B16*1000</f>
        <v>1137484.0833332539</v>
      </c>
      <c r="F17" s="88">
        <f>+SUMIFS('Inc CWIP &amp; Plant'!$L:$L,'Inc CWIP &amp; Plant'!$G:$G,'Net Plant'!$A17,'Inc CWIP &amp; Plant'!$B:$B,"Closings")*1000</f>
        <v>0</v>
      </c>
      <c r="G17" s="18"/>
      <c r="H17" s="16">
        <f t="shared" ca="1" si="0"/>
        <v>14017949.658720434</v>
      </c>
      <c r="I17" s="17">
        <f t="shared" si="0"/>
        <v>0</v>
      </c>
      <c r="L17" s="2"/>
    </row>
    <row r="18" spans="1:12" x14ac:dyDescent="0.25">
      <c r="A18" s="12">
        <f t="shared" si="1"/>
        <v>42401</v>
      </c>
      <c r="B18" s="16">
        <f ca="1">('Load Summary'!F18+'Load Summary'!C18)*1000-('Load Summary'!F17+'Load Summary'!C17)*1000</f>
        <v>12880465.57538718</v>
      </c>
      <c r="C18" s="17">
        <f>SUMIF('Non-Inc Plant'!$E:$E,A18,'Non-Inc Plant'!$M:$M)*1000+
SUMIFS('Non-Inc Plant'!$M:$M,'Non-Inc Plant'!$I:$I,"CWIP Evenly Closed")/12*1000*(YEAR(A18)=2015)</f>
        <v>0</v>
      </c>
      <c r="D18" s="15"/>
      <c r="E18" s="16">
        <f>'Load Summary'!B18*1000-'Load Summary'!B17*1000</f>
        <v>1137484.0833332539</v>
      </c>
      <c r="F18" s="88">
        <f>+SUMIFS('Inc CWIP &amp; Plant'!$L:$L,'Inc CWIP &amp; Plant'!$G:$G,'Net Plant'!$A18,'Inc CWIP &amp; Plant'!$B:$B,"Closings")*1000</f>
        <v>0</v>
      </c>
      <c r="G18" s="18"/>
      <c r="H18" s="16">
        <f t="shared" ca="1" si="0"/>
        <v>14017949.658720434</v>
      </c>
      <c r="I18" s="17">
        <f t="shared" si="0"/>
        <v>0</v>
      </c>
      <c r="L18" s="2"/>
    </row>
    <row r="19" spans="1:12" x14ac:dyDescent="0.25">
      <c r="A19" s="12">
        <f t="shared" si="1"/>
        <v>42430</v>
      </c>
      <c r="B19" s="16">
        <f ca="1">('Load Summary'!F19+'Load Summary'!C19)*1000-('Load Summary'!F18+'Load Summary'!C18)*1000</f>
        <v>38719777.375387132</v>
      </c>
      <c r="C19" s="17">
        <f>SUMIF('Non-Inc Plant'!$E:$E,A19,'Non-Inc Plant'!$M:$M)*1000+
SUMIFS('Non-Inc Plant'!$M:$M,'Non-Inc Plant'!$I:$I,"CWIP Evenly Closed")/12*1000*(YEAR(A19)=2015)</f>
        <v>4789449.8000000007</v>
      </c>
      <c r="D19" s="15"/>
      <c r="E19" s="16">
        <f>'Load Summary'!B19*1000-'Load Summary'!B18*1000</f>
        <v>1137484.0833333731</v>
      </c>
      <c r="F19" s="88">
        <f>+SUMIFS('Inc CWIP &amp; Plant'!$L:$L,'Inc CWIP &amp; Plant'!$G:$G,'Net Plant'!$A19,'Inc CWIP &amp; Plant'!$B:$B,"Closings")*1000</f>
        <v>0</v>
      </c>
      <c r="G19" s="18"/>
      <c r="H19" s="16">
        <f t="shared" ca="1" si="0"/>
        <v>39857261.458720505</v>
      </c>
      <c r="I19" s="17">
        <f t="shared" si="0"/>
        <v>4789449.8000000007</v>
      </c>
      <c r="L19" s="2"/>
    </row>
    <row r="20" spans="1:12" x14ac:dyDescent="0.25">
      <c r="A20" s="12">
        <f t="shared" si="1"/>
        <v>42461</v>
      </c>
      <c r="B20" s="16">
        <f ca="1">('Load Summary'!F20+'Load Summary'!C20)*1000-('Load Summary'!F19+'Load Summary'!C19)*1000</f>
        <v>12880465.57538718</v>
      </c>
      <c r="C20" s="17">
        <f>SUMIF('Non-Inc Plant'!$E:$E,A20,'Non-Inc Plant'!$M:$M)*1000+
SUMIFS('Non-Inc Plant'!$M:$M,'Non-Inc Plant'!$I:$I,"CWIP Evenly Closed")/12*1000*(YEAR(A20)=2015)</f>
        <v>0</v>
      </c>
      <c r="D20" s="15"/>
      <c r="E20" s="16">
        <f>'Load Summary'!B20*1000-'Load Summary'!B19*1000</f>
        <v>1137484.0833332539</v>
      </c>
      <c r="F20" s="88">
        <f>+SUMIFS('Inc CWIP &amp; Plant'!$L:$L,'Inc CWIP &amp; Plant'!$G:$G,'Net Plant'!$A20,'Inc CWIP &amp; Plant'!$B:$B,"Closings")*1000</f>
        <v>0</v>
      </c>
      <c r="G20" s="18"/>
      <c r="H20" s="16">
        <f t="shared" ca="1" si="0"/>
        <v>14017949.658720434</v>
      </c>
      <c r="I20" s="17">
        <f t="shared" si="0"/>
        <v>0</v>
      </c>
      <c r="L20" s="2"/>
    </row>
    <row r="21" spans="1:12" x14ac:dyDescent="0.25">
      <c r="A21" s="12">
        <f t="shared" si="1"/>
        <v>42491</v>
      </c>
      <c r="B21" s="16">
        <f ca="1">('Load Summary'!F21+'Load Summary'!C21)*1000-('Load Summary'!F20+'Load Summary'!C20)*1000</f>
        <v>12880465.575387239</v>
      </c>
      <c r="C21" s="17">
        <f>SUMIF('Non-Inc Plant'!$E:$E,A21,'Non-Inc Plant'!$M:$M)*1000+
SUMIFS('Non-Inc Plant'!$M:$M,'Non-Inc Plant'!$I:$I,"CWIP Evenly Closed")/12*1000*(YEAR(A21)=2015)</f>
        <v>0</v>
      </c>
      <c r="D21" s="15"/>
      <c r="E21" s="16">
        <f>'Load Summary'!B21*1000-'Load Summary'!B20*1000</f>
        <v>1137484.0833332539</v>
      </c>
      <c r="F21" s="88">
        <f>+SUMIFS('Inc CWIP &amp; Plant'!$L:$L,'Inc CWIP &amp; Plant'!$G:$G,'Net Plant'!$A21,'Inc CWIP &amp; Plant'!$B:$B,"Closings")*1000</f>
        <v>0</v>
      </c>
      <c r="G21" s="18"/>
      <c r="H21" s="16">
        <f t="shared" ca="1" si="0"/>
        <v>14017949.658720493</v>
      </c>
      <c r="I21" s="17">
        <f t="shared" si="0"/>
        <v>0</v>
      </c>
      <c r="L21" s="2"/>
    </row>
    <row r="22" spans="1:12" x14ac:dyDescent="0.25">
      <c r="A22" s="12">
        <f t="shared" si="1"/>
        <v>42522</v>
      </c>
      <c r="B22" s="16">
        <f ca="1">('Load Summary'!F22+'Load Summary'!C22)*1000-('Load Summary'!F21+'Load Summary'!C21)*1000</f>
        <v>27066552.203387141</v>
      </c>
      <c r="C22" s="17">
        <f>SUMIF('Non-Inc Plant'!$E:$E,A22,'Non-Inc Plant'!$M:$M)*1000+
SUMIFS('Non-Inc Plant'!$M:$M,'Non-Inc Plant'!$I:$I,"CWIP Evenly Closed")/12*1000*(YEAR(A22)=2015)</f>
        <v>5136086.6280000005</v>
      </c>
      <c r="D22" s="15"/>
      <c r="E22" s="16">
        <f>'Load Summary'!B22*1000-'Load Summary'!B21*1000</f>
        <v>1137484.0833332539</v>
      </c>
      <c r="F22" s="88">
        <f>+SUMIFS('Inc CWIP &amp; Plant'!$L:$L,'Inc CWIP &amp; Plant'!$G:$G,'Net Plant'!$A22,'Inc CWIP &amp; Plant'!$B:$B,"Closings")*1000</f>
        <v>0</v>
      </c>
      <c r="G22" s="18"/>
      <c r="H22" s="16">
        <f t="shared" ca="1" si="0"/>
        <v>28204036.286720395</v>
      </c>
      <c r="I22" s="17">
        <f t="shared" si="0"/>
        <v>5136086.6280000005</v>
      </c>
      <c r="L22" s="2"/>
    </row>
    <row r="23" spans="1:12" x14ac:dyDescent="0.25">
      <c r="A23" s="12">
        <f t="shared" si="1"/>
        <v>42552</v>
      </c>
      <c r="B23" s="16">
        <f ca="1">('Load Summary'!F23+'Load Summary'!C23)*1000-('Load Summary'!F22+'Load Summary'!C22)*1000</f>
        <v>12880465.57538718</v>
      </c>
      <c r="C23" s="17">
        <f>SUMIF('Non-Inc Plant'!$E:$E,A23,'Non-Inc Plant'!$M:$M)*1000+
SUMIFS('Non-Inc Plant'!$M:$M,'Non-Inc Plant'!$I:$I,"CWIP Evenly Closed")/12*1000*(YEAR(A23)=2015)</f>
        <v>0</v>
      </c>
      <c r="D23" s="15"/>
      <c r="E23" s="16">
        <f>'Load Summary'!B23*1000-'Load Summary'!B22*1000</f>
        <v>1137484.0833333731</v>
      </c>
      <c r="F23" s="88">
        <f>+SUMIFS('Inc CWIP &amp; Plant'!$L:$L,'Inc CWIP &amp; Plant'!$G:$G,'Net Plant'!$A23,'Inc CWIP &amp; Plant'!$B:$B,"Closings")*1000</f>
        <v>0</v>
      </c>
      <c r="G23" s="18"/>
      <c r="H23" s="16">
        <f t="shared" ca="1" si="0"/>
        <v>14017949.658720553</v>
      </c>
      <c r="I23" s="17">
        <f t="shared" si="0"/>
        <v>0</v>
      </c>
      <c r="L23" s="2"/>
    </row>
    <row r="24" spans="1:12" x14ac:dyDescent="0.25">
      <c r="A24" s="12">
        <f t="shared" si="1"/>
        <v>42583</v>
      </c>
      <c r="B24" s="16">
        <f ca="1">('Load Summary'!F24+'Load Summary'!C24)*1000-('Load Summary'!F23+'Load Summary'!C23)*1000</f>
        <v>12880465.57538718</v>
      </c>
      <c r="C24" s="17">
        <f>SUMIF('Non-Inc Plant'!$E:$E,A24,'Non-Inc Plant'!$M:$M)*1000+
SUMIFS('Non-Inc Plant'!$M:$M,'Non-Inc Plant'!$I:$I,"CWIP Evenly Closed")/12*1000*(YEAR(A24)=2015)</f>
        <v>0</v>
      </c>
      <c r="D24" s="15"/>
      <c r="E24" s="16">
        <f>'Load Summary'!B24*1000-'Load Summary'!B23*1000</f>
        <v>1137484.0833332539</v>
      </c>
      <c r="F24" s="88">
        <f>+SUMIFS('Inc CWIP &amp; Plant'!$L:$L,'Inc CWIP &amp; Plant'!$G:$G,'Net Plant'!$A24,'Inc CWIP &amp; Plant'!$B:$B,"Closings")*1000</f>
        <v>0</v>
      </c>
      <c r="G24" s="18"/>
      <c r="H24" s="16">
        <f t="shared" ca="1" si="0"/>
        <v>14017949.658720434</v>
      </c>
      <c r="I24" s="17">
        <f t="shared" si="0"/>
        <v>0</v>
      </c>
      <c r="L24" s="2"/>
    </row>
    <row r="25" spans="1:12" x14ac:dyDescent="0.25">
      <c r="A25" s="12">
        <f t="shared" si="1"/>
        <v>42614</v>
      </c>
      <c r="B25" s="16">
        <f ca="1">('Load Summary'!F25+'Load Summary'!C25)*1000-('Load Summary'!F24+'Load Summary'!C24)*1000</f>
        <v>12880465.57538718</v>
      </c>
      <c r="C25" s="17">
        <f>SUMIF('Non-Inc Plant'!$E:$E,A25,'Non-Inc Plant'!$M:$M)*1000+
SUMIFS('Non-Inc Plant'!$M:$M,'Non-Inc Plant'!$I:$I,"CWIP Evenly Closed")/12*1000*(YEAR(A25)=2015)</f>
        <v>0</v>
      </c>
      <c r="D25" s="15"/>
      <c r="E25" s="16">
        <f>'Load Summary'!B25*1000-'Load Summary'!B24*1000</f>
        <v>1137484.0833332539</v>
      </c>
      <c r="F25" s="88">
        <f>+SUMIFS('Inc CWIP &amp; Plant'!$L:$L,'Inc CWIP &amp; Plant'!$G:$G,'Net Plant'!$A25,'Inc CWIP &amp; Plant'!$B:$B,"Closings")*1000</f>
        <v>0</v>
      </c>
      <c r="G25" s="18"/>
      <c r="H25" s="16">
        <f t="shared" ca="1" si="0"/>
        <v>14017949.658720434</v>
      </c>
      <c r="I25" s="17">
        <f t="shared" si="0"/>
        <v>0</v>
      </c>
      <c r="L25" s="2"/>
    </row>
    <row r="26" spans="1:12" x14ac:dyDescent="0.25">
      <c r="A26" s="12">
        <f t="shared" si="1"/>
        <v>42644</v>
      </c>
      <c r="B26" s="16">
        <f ca="1">('Load Summary'!F26+'Load Summary'!C26)*1000-('Load Summary'!F25+'Load Summary'!C25)*1000</f>
        <v>15086264.475387156</v>
      </c>
      <c r="C26" s="17">
        <f>SUMIF('Non-Inc Plant'!$E:$E,A26,'Non-Inc Plant'!$M:$M)*1000+
SUMIFS('Non-Inc Plant'!$M:$M,'Non-Inc Plant'!$I:$I,"CWIP Evenly Closed")/12*1000*(YEAR(A26)=2015)</f>
        <v>5798.9000000000005</v>
      </c>
      <c r="D26" s="15"/>
      <c r="E26" s="16">
        <f>'Load Summary'!B26*1000-'Load Summary'!B25*1000</f>
        <v>331770750.02333331</v>
      </c>
      <c r="F26" s="88">
        <f>+SUMIFS('Inc CWIP &amp; Plant'!$L:$L,'Inc CWIP &amp; Plant'!$G:$G,'Net Plant'!$A26,'Inc CWIP &amp; Plant'!$B:$B,"Closings")*1000</f>
        <v>46256564.289999999</v>
      </c>
      <c r="G26" s="18"/>
      <c r="H26" s="16">
        <f t="shared" ca="1" si="0"/>
        <v>346857014.49872047</v>
      </c>
      <c r="I26" s="17">
        <f t="shared" si="0"/>
        <v>46262363.189999998</v>
      </c>
      <c r="L26" s="2"/>
    </row>
    <row r="27" spans="1:12" x14ac:dyDescent="0.25">
      <c r="A27" s="12">
        <f t="shared" si="1"/>
        <v>42675</v>
      </c>
      <c r="B27" s="16">
        <f ca="1">('Load Summary'!F27+'Load Summary'!C27)*1000-('Load Summary'!F26+'Load Summary'!C26)*1000</f>
        <v>17280465.575387239</v>
      </c>
      <c r="C27" s="17">
        <f>SUMIF('Non-Inc Plant'!$E:$E,A27,'Non-Inc Plant'!$M:$M)*1000+
SUMIFS('Non-Inc Plant'!$M:$M,'Non-Inc Plant'!$I:$I,"CWIP Evenly Closed")/12*1000*(YEAR(A27)=2015)</f>
        <v>0</v>
      </c>
      <c r="D27" s="15"/>
      <c r="E27" s="16">
        <f>'Load Summary'!B27*1000-'Load Summary'!B26*1000</f>
        <v>3829427.0883333683</v>
      </c>
      <c r="F27" s="88">
        <f>+SUMIFS('Inc CWIP &amp; Plant'!$L:$L,'Inc CWIP &amp; Plant'!$G:$G,'Net Plant'!$A27,'Inc CWIP &amp; Plant'!$B:$B,"Closings")*1000</f>
        <v>0</v>
      </c>
      <c r="G27" s="18"/>
      <c r="H27" s="16">
        <f t="shared" ca="1" si="0"/>
        <v>21109892.663720608</v>
      </c>
      <c r="I27" s="17">
        <f t="shared" si="0"/>
        <v>0</v>
      </c>
      <c r="L27" s="2"/>
    </row>
    <row r="28" spans="1:12" x14ac:dyDescent="0.25">
      <c r="A28" s="19">
        <f t="shared" si="1"/>
        <v>42705</v>
      </c>
      <c r="B28" s="20">
        <f ca="1">('Load Summary'!F28+'Load Summary'!C28)*1000-('Load Summary'!F27+'Load Summary'!C27)*1000</f>
        <v>29066395.574412227</v>
      </c>
      <c r="C28" s="21">
        <f>SUMIF('Non-Inc Plant'!$E:$E,A28,'Non-Inc Plant'!$M:$M)*1000+
SUMIFS('Non-Inc Plant'!$M:$M,'Non-Inc Plant'!$I:$I,"CWIP Evenly Closed")/12*1000*(YEAR(A28)=2015)</f>
        <v>715827.09999999951</v>
      </c>
      <c r="D28" s="15"/>
      <c r="E28" s="20">
        <f>'Load Summary'!B28*1000-'Load Summary'!B27*1000</f>
        <v>42363210.358333349</v>
      </c>
      <c r="F28" s="90">
        <f>+SUMIFS('Inc CWIP &amp; Plant'!$L:$L,'Inc CWIP &amp; Plant'!$G:$G,'Net Plant'!$A28,'Inc CWIP &amp; Plant'!$B:$B,"Closings")*1000</f>
        <v>23158.43</v>
      </c>
      <c r="G28" s="18"/>
      <c r="H28" s="20">
        <f t="shared" ca="1" si="0"/>
        <v>71429605.932745576</v>
      </c>
      <c r="I28" s="21">
        <f>C28+F28</f>
        <v>738985.52999999956</v>
      </c>
      <c r="L28" s="2"/>
    </row>
    <row r="29" spans="1:12" x14ac:dyDescent="0.25">
      <c r="L29" s="2"/>
    </row>
  </sheetData>
  <mergeCells count="3">
    <mergeCell ref="B3:C3"/>
    <mergeCell ref="E3:F3"/>
    <mergeCell ref="H3:I3"/>
  </mergeCells>
  <printOptions horizontalCentered="1"/>
  <pageMargins left="0.7" right="0.7" top="0.75" bottom="0.75" header="0.3" footer="0.3"/>
  <pageSetup fitToHeight="3" orientation="landscape" r:id="rId1"/>
  <headerFooter>
    <oddHeader>&amp;RTO10 Draft Annual Update
Attachment 4
WP-Schedule 10 and 16&amp;16
&amp;11Page &amp;P of &amp;N</oddHeader>
  </headerFooter>
  <rowBreaks count="2" manualBreakCount="2">
    <brk id="29" max="16383" man="1"/>
    <brk id="55"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7" tint="0.59999389629810485"/>
    <pageSetUpPr fitToPage="1"/>
  </sheetPr>
  <dimension ref="A1:Y34"/>
  <sheetViews>
    <sheetView zoomScale="80" zoomScaleNormal="80" workbookViewId="0"/>
  </sheetViews>
  <sheetFormatPr defaultColWidth="9.140625" defaultRowHeight="15" x14ac:dyDescent="0.25"/>
  <cols>
    <col min="1" max="1" width="14.28515625" style="42" customWidth="1"/>
    <col min="2" max="4" width="14.42578125" style="42" customWidth="1"/>
    <col min="5" max="5" width="0.85546875" style="42" customWidth="1"/>
    <col min="6" max="6" width="14.42578125" style="42" customWidth="1"/>
    <col min="7" max="7" width="0.85546875" style="42" customWidth="1"/>
    <col min="8" max="8" width="14.42578125" style="42" customWidth="1"/>
    <col min="9" max="9" width="13.85546875" style="42" bestFit="1" customWidth="1"/>
    <col min="10" max="10" width="19.5703125" style="42" bestFit="1" customWidth="1"/>
    <col min="11" max="12" width="13.85546875" style="42" bestFit="1" customWidth="1"/>
    <col min="13" max="13" width="19.28515625" style="42" customWidth="1"/>
    <col min="14" max="22" width="13.85546875" style="42" bestFit="1" customWidth="1"/>
    <col min="23" max="23" width="13.85546875" style="42" customWidth="1"/>
    <col min="24" max="24" width="11.5703125" style="42" bestFit="1" customWidth="1"/>
    <col min="25" max="16384" width="9.140625" style="42"/>
  </cols>
  <sheetData>
    <row r="1" spans="1:25" s="2" customFormat="1" ht="18.75" x14ac:dyDescent="0.3">
      <c r="A1" s="1" t="s">
        <v>6</v>
      </c>
    </row>
    <row r="2" spans="1:25" s="2" customFormat="1" x14ac:dyDescent="0.25">
      <c r="A2" s="22"/>
    </row>
    <row r="3" spans="1:25" s="24" customFormat="1" x14ac:dyDescent="0.25">
      <c r="A3" s="23"/>
      <c r="B3" s="322" t="s">
        <v>7</v>
      </c>
      <c r="C3" s="323"/>
      <c r="D3" s="324"/>
      <c r="F3" s="25" t="s">
        <v>8</v>
      </c>
      <c r="G3" s="26"/>
      <c r="H3" s="26"/>
      <c r="I3" s="26"/>
      <c r="J3" s="26"/>
      <c r="K3" s="26"/>
      <c r="L3" s="26"/>
      <c r="M3" s="26"/>
      <c r="N3" s="26"/>
      <c r="O3" s="26"/>
      <c r="P3" s="26"/>
      <c r="Q3" s="26"/>
      <c r="R3" s="26"/>
      <c r="S3" s="26"/>
      <c r="T3" s="26"/>
      <c r="U3" s="26"/>
      <c r="V3" s="26"/>
      <c r="W3" s="26"/>
      <c r="X3" s="27"/>
      <c r="Y3" s="27"/>
    </row>
    <row r="4" spans="1:25" s="24" customFormat="1" x14ac:dyDescent="0.25">
      <c r="A4" s="28" t="s">
        <v>9</v>
      </c>
      <c r="B4" s="29" t="s">
        <v>2</v>
      </c>
      <c r="C4" s="29" t="s">
        <v>1</v>
      </c>
      <c r="D4" s="29" t="s">
        <v>10</v>
      </c>
      <c r="F4" s="30" t="s">
        <v>1</v>
      </c>
      <c r="G4" s="26"/>
      <c r="H4" s="29" t="s">
        <v>11</v>
      </c>
      <c r="I4" s="34"/>
      <c r="J4" s="26"/>
      <c r="K4" s="26"/>
      <c r="L4" s="26"/>
      <c r="M4" s="26"/>
      <c r="N4" s="26"/>
      <c r="O4" s="26"/>
      <c r="P4" s="26"/>
      <c r="Q4" s="26"/>
      <c r="R4" s="26"/>
      <c r="S4" s="26"/>
      <c r="T4" s="26"/>
      <c r="U4" s="26"/>
      <c r="V4" s="26"/>
      <c r="W4" s="26"/>
      <c r="X4" s="27"/>
      <c r="Y4" s="27"/>
    </row>
    <row r="5" spans="1:25" s="24" customFormat="1" x14ac:dyDescent="0.25">
      <c r="A5" s="254">
        <f>'Non-Inc Plant'!B3</f>
        <v>42005</v>
      </c>
      <c r="B5" s="31">
        <f>'Inc CWIP &amp; Plant Summary'!D39</f>
        <v>23473.919840000002</v>
      </c>
      <c r="C5" s="32">
        <f ca="1">(SUMPRODUCT(('Non-Inc Plant'!$Q$8:$AN$8=$A5)*('Non-Inc Plant'!$D$9:$D$234="High")*'Non-Inc Plant'!$Q$9:$AN$234))</f>
        <v>27896.59238028228</v>
      </c>
      <c r="D5" s="33">
        <f ca="1">B5+C5</f>
        <v>51370.512220282282</v>
      </c>
      <c r="E5" s="26"/>
      <c r="F5" s="33">
        <f ca="1">SUMPRODUCT(('Non-Inc Plant'!$Q$8:$AN$8=$A5)*('Non-Inc Plant'!$D$9:$D$234="Low")*'Non-Inc Plant'!$Q$9:$AN$234)</f>
        <v>675.39439672127901</v>
      </c>
      <c r="G5" s="34"/>
      <c r="H5" s="33">
        <f ca="1">F5+D5</f>
        <v>52045.906617003558</v>
      </c>
      <c r="I5" s="34"/>
      <c r="J5" s="34"/>
      <c r="K5" s="34"/>
      <c r="L5" s="34"/>
      <c r="M5" s="34"/>
      <c r="N5" s="26"/>
      <c r="O5" s="26"/>
      <c r="P5" s="26"/>
      <c r="Q5" s="26"/>
      <c r="R5" s="26"/>
      <c r="S5" s="26"/>
      <c r="T5" s="26"/>
      <c r="U5" s="26"/>
      <c r="V5" s="26"/>
      <c r="W5" s="26"/>
      <c r="X5" s="27"/>
      <c r="Y5" s="27"/>
    </row>
    <row r="6" spans="1:25" s="24" customFormat="1" x14ac:dyDescent="0.25">
      <c r="A6" s="255">
        <f>DATE(YEAR(A5),MONTH(A5)+1,1)</f>
        <v>42036</v>
      </c>
      <c r="B6" s="35">
        <f>'Inc CWIP &amp; Plant Summary'!D40+B5</f>
        <v>17326.380010000004</v>
      </c>
      <c r="C6" s="34">
        <f ca="1">(SUMPRODUCT(('Non-Inc Plant'!$Q$8:$AN$8=$A6)*('Non-Inc Plant'!$D$9:$D$234="High")*'Non-Inc Plant'!$Q$9:$AN$234))+C5</f>
        <v>42755.258000564558</v>
      </c>
      <c r="D6" s="36">
        <f t="shared" ref="D6:D28" ca="1" si="0">B6+C6</f>
        <v>60081.638010564566</v>
      </c>
      <c r="F6" s="36">
        <f ca="1">SUMPRODUCT(('Non-Inc Plant'!$Q$8:$AN$8=$A6)*('Non-Inc Plant'!$D$9:$D$234="Low")*'Non-Inc Plant'!$Q$9:$AN$234)+F5</f>
        <v>1350.788793442558</v>
      </c>
      <c r="G6" s="34"/>
      <c r="H6" s="36">
        <f ca="1">F6+D6</f>
        <v>61432.426804007126</v>
      </c>
      <c r="I6" s="34"/>
      <c r="J6" s="34"/>
      <c r="K6" s="34"/>
      <c r="L6" s="34"/>
      <c r="M6" s="34"/>
      <c r="N6" s="26"/>
      <c r="O6" s="26"/>
      <c r="P6" s="26"/>
      <c r="Q6" s="26"/>
      <c r="R6" s="26"/>
      <c r="S6" s="26"/>
      <c r="T6" s="26"/>
      <c r="U6" s="26"/>
      <c r="V6" s="26"/>
      <c r="W6" s="26"/>
      <c r="X6" s="27"/>
      <c r="Y6" s="27"/>
    </row>
    <row r="7" spans="1:25" s="24" customFormat="1" x14ac:dyDescent="0.25">
      <c r="A7" s="255">
        <f t="shared" ref="A7:A28" si="1">DATE(YEAR(A6),MONTH(A6)+1,1)</f>
        <v>42064</v>
      </c>
      <c r="B7" s="35">
        <f>'Inc CWIP &amp; Plant Summary'!D41+B6</f>
        <v>18650.162210000006</v>
      </c>
      <c r="C7" s="34">
        <f ca="1">(SUMPRODUCT(('Non-Inc Plant'!$Q$8:$AN$8=$A7)*('Non-Inc Plant'!$D$9:$D$234="High")*'Non-Inc Plant'!$Q$9:$AN$234))+C6</f>
        <v>62934.035240846832</v>
      </c>
      <c r="D7" s="36">
        <f t="shared" ca="1" si="0"/>
        <v>81584.197450846841</v>
      </c>
      <c r="F7" s="36">
        <f ca="1">SUMPRODUCT(('Non-Inc Plant'!$Q$8:$AN$8=$A7)*('Non-Inc Plant'!$D$9:$D$234="Low")*'Non-Inc Plant'!$Q$9:$AN$234)+F6</f>
        <v>2026.183190163837</v>
      </c>
      <c r="G7" s="34"/>
      <c r="H7" s="36">
        <f t="shared" ref="H7:H28" ca="1" si="2">F7+D7</f>
        <v>83610.380641010677</v>
      </c>
      <c r="I7" s="34"/>
      <c r="J7" s="34"/>
      <c r="K7" s="34"/>
      <c r="L7" s="34"/>
      <c r="M7" s="34"/>
      <c r="N7" s="26"/>
      <c r="O7" s="26"/>
      <c r="P7" s="26"/>
      <c r="Q7" s="26"/>
      <c r="R7" s="26"/>
      <c r="S7" s="26"/>
      <c r="T7" s="26"/>
      <c r="U7" s="26"/>
      <c r="V7" s="26"/>
      <c r="W7" s="26"/>
      <c r="X7" s="27"/>
      <c r="Y7" s="27"/>
    </row>
    <row r="8" spans="1:25" s="24" customFormat="1" x14ac:dyDescent="0.25">
      <c r="A8" s="255">
        <f t="shared" si="1"/>
        <v>42095</v>
      </c>
      <c r="B8" s="35">
        <f>'Inc CWIP &amp; Plant Summary'!D42+B7</f>
        <v>21845.144696400006</v>
      </c>
      <c r="C8" s="34">
        <f ca="1">(SUMPRODUCT(('Non-Inc Plant'!$Q$8:$AN$8=$A8)*('Non-Inc Plant'!$D$9:$D$234="High")*'Non-Inc Plant'!$Q$9:$AN$234))+C7</f>
        <v>77792.700861129109</v>
      </c>
      <c r="D8" s="36">
        <f t="shared" ca="1" si="0"/>
        <v>99637.845557529115</v>
      </c>
      <c r="E8" s="26"/>
      <c r="F8" s="36">
        <f ca="1">SUMPRODUCT(('Non-Inc Plant'!$Q$8:$AN$8=$A8)*('Non-Inc Plant'!$D$9:$D$234="Low")*'Non-Inc Plant'!$Q$9:$AN$234)+F7</f>
        <v>2701.577586885116</v>
      </c>
      <c r="G8" s="34"/>
      <c r="H8" s="36">
        <f ca="1">F8+D8</f>
        <v>102339.42314441424</v>
      </c>
      <c r="I8" s="34"/>
      <c r="J8" s="34"/>
      <c r="K8" s="34"/>
      <c r="L8" s="34"/>
      <c r="M8" s="34"/>
      <c r="N8" s="26"/>
      <c r="O8" s="26"/>
      <c r="P8" s="26"/>
      <c r="Q8" s="26"/>
      <c r="R8" s="26"/>
      <c r="S8" s="26"/>
      <c r="T8" s="26"/>
      <c r="U8" s="26"/>
      <c r="V8" s="26"/>
      <c r="W8" s="26"/>
      <c r="X8" s="27"/>
      <c r="Y8" s="27"/>
    </row>
    <row r="9" spans="1:25" s="24" customFormat="1" x14ac:dyDescent="0.25">
      <c r="A9" s="255">
        <f t="shared" si="1"/>
        <v>42125</v>
      </c>
      <c r="B9" s="35">
        <f>'Inc CWIP &amp; Plant Summary'!D43+B8</f>
        <v>664208.34553629986</v>
      </c>
      <c r="C9" s="34">
        <f ca="1">(SUMPRODUCT(('Non-Inc Plant'!$Q$8:$AN$8=$A9)*('Non-Inc Plant'!$D$9:$D$234="High")*'Non-Inc Plant'!$Q$9:$AN$234))+C8</f>
        <v>94867.842711411387</v>
      </c>
      <c r="D9" s="36">
        <f t="shared" ca="1" si="0"/>
        <v>759076.18824771128</v>
      </c>
      <c r="E9" s="26"/>
      <c r="F9" s="36">
        <f ca="1">SUMPRODUCT(('Non-Inc Plant'!$Q$8:$AN$8=$A9)*('Non-Inc Plant'!$D$9:$D$234="Low")*'Non-Inc Plant'!$Q$9:$AN$234)+F8</f>
        <v>3376.971983606395</v>
      </c>
      <c r="G9" s="34"/>
      <c r="H9" s="36">
        <f t="shared" ca="1" si="2"/>
        <v>762453.16023131763</v>
      </c>
      <c r="I9" s="34"/>
      <c r="J9" s="34"/>
      <c r="K9" s="34"/>
      <c r="L9" s="34"/>
      <c r="M9" s="34"/>
      <c r="N9" s="26"/>
      <c r="O9" s="26"/>
      <c r="P9" s="26"/>
      <c r="Q9" s="26"/>
      <c r="R9" s="26"/>
      <c r="S9" s="26"/>
      <c r="T9" s="26"/>
      <c r="U9" s="26"/>
      <c r="V9" s="26"/>
      <c r="W9" s="26"/>
      <c r="X9" s="27"/>
      <c r="Y9" s="27"/>
    </row>
    <row r="10" spans="1:25" s="24" customFormat="1" x14ac:dyDescent="0.25">
      <c r="A10" s="255">
        <f t="shared" si="1"/>
        <v>42156</v>
      </c>
      <c r="B10" s="35">
        <f>'Inc CWIP &amp; Plant Summary'!D44+B9</f>
        <v>710970.45679859992</v>
      </c>
      <c r="C10" s="34">
        <f ca="1">(SUMPRODUCT(('Non-Inc Plant'!$Q$8:$AN$8=$A10)*('Non-Inc Plant'!$D$9:$D$234="High")*'Non-Inc Plant'!$Q$9:$AN$234))+C9</f>
        <v>116760.59823914734</v>
      </c>
      <c r="D10" s="36">
        <f t="shared" ca="1" si="0"/>
        <v>827731.05503774725</v>
      </c>
      <c r="E10" s="26"/>
      <c r="F10" s="36">
        <f ca="1">SUMPRODUCT(('Non-Inc Plant'!$Q$8:$AN$8=$A10)*('Non-Inc Plant'!$D$9:$D$234="Low")*'Non-Inc Plant'!$Q$9:$AN$234)+F9</f>
        <v>4052.3663803276741</v>
      </c>
      <c r="G10" s="34"/>
      <c r="H10" s="36">
        <f t="shared" ca="1" si="2"/>
        <v>831783.42141807498</v>
      </c>
      <c r="I10" s="34"/>
      <c r="J10" s="34"/>
      <c r="K10" s="34"/>
      <c r="L10" s="34"/>
      <c r="M10" s="34"/>
      <c r="N10" s="26"/>
      <c r="O10" s="26"/>
      <c r="P10" s="26"/>
      <c r="Q10" s="26"/>
      <c r="R10" s="26"/>
      <c r="S10" s="26"/>
      <c r="T10" s="26"/>
      <c r="U10" s="26"/>
      <c r="V10" s="26"/>
      <c r="W10" s="26"/>
      <c r="X10" s="27"/>
      <c r="Y10" s="27"/>
    </row>
    <row r="11" spans="1:25" s="24" customFormat="1" x14ac:dyDescent="0.25">
      <c r="A11" s="255">
        <f t="shared" si="1"/>
        <v>42186</v>
      </c>
      <c r="B11" s="35">
        <f>'Inc CWIP &amp; Plant Summary'!D45+B10</f>
        <v>715867.06272289995</v>
      </c>
      <c r="C11" s="34">
        <f ca="1">(SUMPRODUCT(('Non-Inc Plant'!$Q$8:$AN$8=$A11)*('Non-Inc Plant'!$D$9:$D$234="High")*'Non-Inc Plant'!$Q$9:$AN$234))+C10</f>
        <v>131619.2638594296</v>
      </c>
      <c r="D11" s="36">
        <f t="shared" ca="1" si="0"/>
        <v>847486.32658232958</v>
      </c>
      <c r="E11" s="26"/>
      <c r="F11" s="36">
        <f ca="1">SUMPRODUCT(('Non-Inc Plant'!$Q$8:$AN$8=$A11)*('Non-Inc Plant'!$D$9:$D$234="Low")*'Non-Inc Plant'!$Q$9:$AN$234)+F10</f>
        <v>4727.7607770489531</v>
      </c>
      <c r="G11" s="34"/>
      <c r="H11" s="36">
        <f t="shared" ca="1" si="2"/>
        <v>852214.08735937858</v>
      </c>
      <c r="I11" s="34"/>
      <c r="J11" s="34"/>
      <c r="K11" s="34"/>
      <c r="L11" s="34"/>
      <c r="M11" s="34"/>
      <c r="N11" s="26"/>
      <c r="O11" s="26"/>
      <c r="P11" s="26"/>
      <c r="Q11" s="26"/>
      <c r="R11" s="26"/>
      <c r="S11" s="26"/>
      <c r="T11" s="26"/>
      <c r="U11" s="26"/>
      <c r="V11" s="26"/>
      <c r="W11" s="26"/>
      <c r="X11" s="27"/>
      <c r="Y11" s="27"/>
    </row>
    <row r="12" spans="1:25" s="24" customFormat="1" x14ac:dyDescent="0.25">
      <c r="A12" s="255">
        <f t="shared" si="1"/>
        <v>42217</v>
      </c>
      <c r="B12" s="35">
        <f>'Inc CWIP &amp; Plant Summary'!D46+B11</f>
        <v>720625.99274959997</v>
      </c>
      <c r="C12" s="34">
        <f ca="1">(SUMPRODUCT(('Non-Inc Plant'!$Q$8:$AN$8=$A12)*('Non-Inc Plant'!$D$9:$D$234="High")*'Non-Inc Plant'!$Q$9:$AN$234))+C11</f>
        <v>146477.92947971186</v>
      </c>
      <c r="D12" s="36">
        <f t="shared" ca="1" si="0"/>
        <v>867103.92222931189</v>
      </c>
      <c r="E12" s="26"/>
      <c r="F12" s="36">
        <f ca="1">SUMPRODUCT(('Non-Inc Plant'!$Q$8:$AN$8=$A12)*('Non-Inc Plant'!$D$9:$D$234="Low")*'Non-Inc Plant'!$Q$9:$AN$234)+F11</f>
        <v>5403.1551737702321</v>
      </c>
      <c r="G12" s="34"/>
      <c r="H12" s="36">
        <f t="shared" ca="1" si="2"/>
        <v>872507.07740308216</v>
      </c>
      <c r="I12" s="34"/>
      <c r="J12" s="34"/>
      <c r="K12" s="34"/>
      <c r="L12" s="34"/>
      <c r="M12" s="34"/>
      <c r="N12" s="26"/>
      <c r="O12" s="26"/>
      <c r="P12" s="26"/>
      <c r="Q12" s="26"/>
      <c r="R12" s="26"/>
      <c r="S12" s="26"/>
      <c r="T12" s="26"/>
      <c r="U12" s="26"/>
      <c r="V12" s="26"/>
      <c r="W12" s="26"/>
      <c r="X12" s="27"/>
      <c r="Y12" s="27"/>
    </row>
    <row r="13" spans="1:25" s="24" customFormat="1" x14ac:dyDescent="0.25">
      <c r="A13" s="255">
        <f t="shared" si="1"/>
        <v>42248</v>
      </c>
      <c r="B13" s="35">
        <f>'Inc CWIP &amp; Plant Summary'!D47+B12</f>
        <v>727015.6608971</v>
      </c>
      <c r="C13" s="34">
        <f ca="1">(SUMPRODUCT(('Non-Inc Plant'!$Q$8:$AN$8=$A13)*('Non-Inc Plant'!$D$9:$D$234="High")*'Non-Inc Plant'!$Q$9:$AN$234))+C12</f>
        <v>161336.59509999413</v>
      </c>
      <c r="D13" s="36">
        <f t="shared" ca="1" si="0"/>
        <v>888352.25599709409</v>
      </c>
      <c r="E13" s="26"/>
      <c r="F13" s="36">
        <f ca="1">SUMPRODUCT(('Non-Inc Plant'!$Q$8:$AN$8=$A13)*('Non-Inc Plant'!$D$9:$D$234="Low")*'Non-Inc Plant'!$Q$9:$AN$234)+F12</f>
        <v>6078.5495704915111</v>
      </c>
      <c r="G13" s="34"/>
      <c r="H13" s="36">
        <f t="shared" ca="1" si="2"/>
        <v>894430.80556758563</v>
      </c>
      <c r="I13" s="34"/>
      <c r="J13" s="34"/>
      <c r="K13" s="34"/>
      <c r="L13" s="34"/>
      <c r="M13" s="34"/>
      <c r="N13" s="26"/>
      <c r="O13" s="26"/>
      <c r="P13" s="26"/>
      <c r="Q13" s="26"/>
      <c r="R13" s="26"/>
      <c r="S13" s="26"/>
      <c r="T13" s="26"/>
      <c r="U13" s="26"/>
      <c r="V13" s="26"/>
      <c r="W13" s="26"/>
      <c r="X13" s="27"/>
      <c r="Y13" s="27"/>
    </row>
    <row r="14" spans="1:25" s="24" customFormat="1" x14ac:dyDescent="0.25">
      <c r="A14" s="255">
        <f t="shared" si="1"/>
        <v>42278</v>
      </c>
      <c r="B14" s="35">
        <f>'Inc CWIP &amp; Plant Summary'!D48+B13</f>
        <v>733365.2444346</v>
      </c>
      <c r="C14" s="34">
        <f ca="1">(SUMPRODUCT(('Non-Inc Plant'!$Q$8:$AN$8=$A14)*('Non-Inc Plant'!$D$9:$D$234="High")*'Non-Inc Plant'!$Q$9:$AN$234))+C13</f>
        <v>200899.8809402764</v>
      </c>
      <c r="D14" s="36">
        <f t="shared" ca="1" si="0"/>
        <v>934265.12537487643</v>
      </c>
      <c r="E14" s="26"/>
      <c r="F14" s="36">
        <f ca="1">SUMPRODUCT(('Non-Inc Plant'!$Q$8:$AN$8=$A14)*('Non-Inc Plant'!$D$9:$D$234="Low")*'Non-Inc Plant'!$Q$9:$AN$234)+F13</f>
        <v>6753.9439672127901</v>
      </c>
      <c r="G14" s="34"/>
      <c r="H14" s="36">
        <f t="shared" ca="1" si="2"/>
        <v>941019.06934208923</v>
      </c>
      <c r="I14" s="34"/>
      <c r="J14" s="34"/>
      <c r="K14" s="34"/>
      <c r="L14" s="34"/>
      <c r="M14" s="34"/>
      <c r="N14" s="26"/>
      <c r="O14" s="26"/>
      <c r="P14" s="26"/>
      <c r="Q14" s="26"/>
      <c r="R14" s="26"/>
      <c r="S14" s="26"/>
      <c r="T14" s="26"/>
      <c r="U14" s="26"/>
      <c r="V14" s="26"/>
      <c r="W14" s="26"/>
      <c r="X14" s="27"/>
      <c r="Y14" s="27"/>
    </row>
    <row r="15" spans="1:25" s="24" customFormat="1" x14ac:dyDescent="0.25">
      <c r="A15" s="255">
        <f t="shared" si="1"/>
        <v>42309</v>
      </c>
      <c r="B15" s="35">
        <f>'Inc CWIP &amp; Plant Summary'!D49+B14</f>
        <v>737416.99378210003</v>
      </c>
      <c r="C15" s="34">
        <f ca="1">(SUMPRODUCT(('Non-Inc Plant'!$Q$8:$AN$8=$A15)*('Non-Inc Plant'!$D$9:$D$234="High")*'Non-Inc Plant'!$Q$9:$AN$234))+C14</f>
        <v>305620.11614055879</v>
      </c>
      <c r="D15" s="36">
        <f t="shared" ca="1" si="0"/>
        <v>1043037.1099226589</v>
      </c>
      <c r="E15" s="26"/>
      <c r="F15" s="36">
        <f ca="1">SUMPRODUCT(('Non-Inc Plant'!$Q$8:$AN$8=$A15)*('Non-Inc Plant'!$D$9:$D$234="Low")*'Non-Inc Plant'!$Q$9:$AN$234)+F14</f>
        <v>7429.3383639340691</v>
      </c>
      <c r="G15" s="34"/>
      <c r="H15" s="36">
        <f t="shared" ca="1" si="2"/>
        <v>1050466.448286593</v>
      </c>
      <c r="I15" s="34"/>
      <c r="J15" s="34"/>
      <c r="K15" s="34"/>
      <c r="L15" s="34"/>
      <c r="M15" s="34"/>
      <c r="N15" s="26"/>
      <c r="O15" s="26"/>
      <c r="P15" s="26"/>
      <c r="Q15" s="26"/>
      <c r="R15" s="26"/>
      <c r="S15" s="26"/>
      <c r="T15" s="26"/>
      <c r="U15" s="26"/>
      <c r="V15" s="26"/>
      <c r="W15" s="26"/>
      <c r="X15" s="27"/>
      <c r="Y15" s="27"/>
    </row>
    <row r="16" spans="1:25" s="24" customFormat="1" x14ac:dyDescent="0.25">
      <c r="A16" s="255">
        <f t="shared" si="1"/>
        <v>42339</v>
      </c>
      <c r="B16" s="35">
        <f>'Inc CWIP &amp; Plant Summary'!D50+B15</f>
        <v>784012.46276943013</v>
      </c>
      <c r="C16" s="34">
        <f ca="1">(SUMPRODUCT(('Non-Inc Plant'!$Q$8:$AN$8=$A16)*('Non-Inc Plant'!$D$9:$D$234="High")*'Non-Inc Plant'!$Q$9:$AN$234))+C15</f>
        <v>360368.38709084108</v>
      </c>
      <c r="D16" s="36">
        <f t="shared" ca="1" si="0"/>
        <v>1144380.8498602712</v>
      </c>
      <c r="E16" s="26"/>
      <c r="F16" s="36">
        <f ca="1">SUMPRODUCT(('Non-Inc Plant'!$Q$8:$AN$8=$A16)*('Non-Inc Plant'!$D$9:$D$234="Low")*'Non-Inc Plant'!$Q$9:$AN$234)+F15</f>
        <v>16096.995497455351</v>
      </c>
      <c r="G16" s="34"/>
      <c r="H16" s="36">
        <f t="shared" ca="1" si="2"/>
        <v>1160477.8453577266</v>
      </c>
      <c r="I16" s="34"/>
      <c r="J16" s="34"/>
      <c r="K16" s="34"/>
      <c r="L16" s="34"/>
      <c r="M16" s="34"/>
      <c r="N16" s="26"/>
      <c r="O16" s="26"/>
      <c r="P16" s="26"/>
      <c r="Q16" s="26"/>
      <c r="R16" s="26"/>
      <c r="S16" s="26"/>
      <c r="T16" s="26"/>
      <c r="U16" s="26"/>
      <c r="V16" s="26"/>
      <c r="W16" s="26"/>
      <c r="X16" s="27"/>
      <c r="Y16" s="27"/>
    </row>
    <row r="17" spans="1:25" s="24" customFormat="1" x14ac:dyDescent="0.25">
      <c r="A17" s="255">
        <f t="shared" si="1"/>
        <v>42370</v>
      </c>
      <c r="B17" s="35">
        <f>'Inc CWIP &amp; Plant Summary'!D51+B16</f>
        <v>785149.94685276342</v>
      </c>
      <c r="C17" s="34">
        <f ca="1">(SUMPRODUCT(('Non-Inc Plant'!$Q$8:$AN$8=$A17)*('Non-Inc Plant'!$D$9:$D$234="High")*'Non-Inc Plant'!$Q$9:$AN$234))+C16</f>
        <v>372481.04142846348</v>
      </c>
      <c r="D17" s="36">
        <f t="shared" ca="1" si="0"/>
        <v>1157630.9882812269</v>
      </c>
      <c r="E17" s="26"/>
      <c r="F17" s="36">
        <f ca="1">SUMPRODUCT(('Non-Inc Plant'!$Q$8:$AN$8=$A17)*('Non-Inc Plant'!$D$9:$D$234="Low")*'Non-Inc Plant'!$Q$9:$AN$234)+F16</f>
        <v>16864.806735220136</v>
      </c>
      <c r="G17" s="34"/>
      <c r="H17" s="36">
        <f t="shared" ca="1" si="2"/>
        <v>1174495.7950164471</v>
      </c>
      <c r="I17" s="34"/>
      <c r="J17" s="34"/>
      <c r="K17" s="34"/>
      <c r="L17" s="34"/>
      <c r="M17" s="34"/>
      <c r="N17" s="26"/>
      <c r="O17" s="26"/>
      <c r="P17" s="26"/>
      <c r="Q17" s="26"/>
      <c r="R17" s="26"/>
      <c r="S17" s="26"/>
      <c r="T17" s="26"/>
      <c r="U17" s="26"/>
      <c r="V17" s="26"/>
      <c r="W17" s="26"/>
      <c r="X17" s="27"/>
      <c r="Y17" s="27"/>
    </row>
    <row r="18" spans="1:25" s="24" customFormat="1" x14ac:dyDescent="0.25">
      <c r="A18" s="255">
        <f t="shared" si="1"/>
        <v>42401</v>
      </c>
      <c r="B18" s="35">
        <f>'Inc CWIP &amp; Plant Summary'!D52+B17</f>
        <v>786287.4309360967</v>
      </c>
      <c r="C18" s="34">
        <f ca="1">(SUMPRODUCT(('Non-Inc Plant'!$Q$8:$AN$8=$A18)*('Non-Inc Plant'!$D$9:$D$234="High")*'Non-Inc Plant'!$Q$9:$AN$234))+C17</f>
        <v>384593.69576608588</v>
      </c>
      <c r="D18" s="36">
        <f t="shared" ca="1" si="0"/>
        <v>1170881.1267021825</v>
      </c>
      <c r="E18" s="26"/>
      <c r="F18" s="36">
        <f ca="1">SUMPRODUCT(('Non-Inc Plant'!$Q$8:$AN$8=$A18)*('Non-Inc Plant'!$D$9:$D$234="Low")*'Non-Inc Plant'!$Q$9:$AN$234)+F17</f>
        <v>17632.617972984921</v>
      </c>
      <c r="G18" s="34"/>
      <c r="H18" s="36">
        <f t="shared" ca="1" si="2"/>
        <v>1188513.7446751674</v>
      </c>
      <c r="I18" s="34"/>
      <c r="J18" s="34"/>
      <c r="K18" s="34"/>
      <c r="L18" s="34"/>
      <c r="M18" s="34"/>
      <c r="N18" s="26"/>
      <c r="O18" s="26"/>
      <c r="P18" s="26"/>
      <c r="Q18" s="26"/>
      <c r="R18" s="26"/>
      <c r="S18" s="26"/>
      <c r="T18" s="26"/>
      <c r="U18" s="26"/>
      <c r="V18" s="26"/>
      <c r="W18" s="26"/>
      <c r="X18" s="27"/>
      <c r="Y18" s="27"/>
    </row>
    <row r="19" spans="1:25" s="24" customFormat="1" x14ac:dyDescent="0.25">
      <c r="A19" s="255">
        <f t="shared" si="1"/>
        <v>42430</v>
      </c>
      <c r="B19" s="35">
        <f>'Inc CWIP &amp; Plant Summary'!D53+B18</f>
        <v>787424.91501942999</v>
      </c>
      <c r="C19" s="34">
        <f ca="1">(SUMPRODUCT(('Non-Inc Plant'!$Q$8:$AN$8=$A19)*('Non-Inc Plant'!$D$9:$D$234="High")*'Non-Inc Plant'!$Q$9:$AN$234))+C18</f>
        <v>422545.66190370824</v>
      </c>
      <c r="D19" s="36">
        <f t="shared" ca="1" si="0"/>
        <v>1209970.5769231382</v>
      </c>
      <c r="E19" s="26"/>
      <c r="F19" s="36">
        <f ca="1">SUMPRODUCT(('Non-Inc Plant'!$Q$8:$AN$8=$A19)*('Non-Inc Plant'!$D$9:$D$234="Low")*'Non-Inc Plant'!$Q$9:$AN$234)+F18</f>
        <v>18400.429210749706</v>
      </c>
      <c r="G19" s="34"/>
      <c r="H19" s="36">
        <f t="shared" ca="1" si="2"/>
        <v>1228371.0061338879</v>
      </c>
      <c r="I19" s="34"/>
      <c r="J19" s="34"/>
      <c r="K19" s="34"/>
      <c r="L19" s="34"/>
      <c r="M19" s="34"/>
      <c r="N19" s="26"/>
      <c r="O19" s="26"/>
      <c r="P19" s="26"/>
      <c r="Q19" s="26"/>
      <c r="R19" s="26"/>
      <c r="S19" s="26"/>
      <c r="T19" s="26"/>
      <c r="U19" s="26"/>
      <c r="V19" s="26"/>
      <c r="W19" s="26"/>
      <c r="X19" s="27"/>
      <c r="Y19" s="27"/>
    </row>
    <row r="20" spans="1:25" s="24" customFormat="1" x14ac:dyDescent="0.25">
      <c r="A20" s="255">
        <f t="shared" si="1"/>
        <v>42461</v>
      </c>
      <c r="B20" s="35">
        <f>'Inc CWIP &amp; Plant Summary'!D54+B19</f>
        <v>788562.39910276327</v>
      </c>
      <c r="C20" s="34">
        <f ca="1">(SUMPRODUCT(('Non-Inc Plant'!$Q$8:$AN$8=$A20)*('Non-Inc Plant'!$D$9:$D$234="High")*'Non-Inc Plant'!$Q$9:$AN$234))+C19</f>
        <v>434658.31624133064</v>
      </c>
      <c r="D20" s="36">
        <f t="shared" ca="1" si="0"/>
        <v>1223220.715344094</v>
      </c>
      <c r="E20" s="26"/>
      <c r="F20" s="36">
        <f ca="1">SUMPRODUCT(('Non-Inc Plant'!$Q$8:$AN$8=$A20)*('Non-Inc Plant'!$D$9:$D$234="Low")*'Non-Inc Plant'!$Q$9:$AN$234)+F19</f>
        <v>19168.240448514491</v>
      </c>
      <c r="G20" s="34"/>
      <c r="H20" s="36">
        <f t="shared" ca="1" si="2"/>
        <v>1242388.9557926084</v>
      </c>
      <c r="I20" s="34"/>
      <c r="J20" s="34"/>
      <c r="K20" s="34"/>
      <c r="L20" s="34"/>
      <c r="M20" s="34"/>
      <c r="N20" s="26"/>
      <c r="O20" s="26"/>
      <c r="P20" s="26"/>
      <c r="Q20" s="26"/>
      <c r="R20" s="26"/>
      <c r="S20" s="26"/>
      <c r="T20" s="26"/>
      <c r="U20" s="26"/>
      <c r="V20" s="26"/>
      <c r="W20" s="26"/>
      <c r="X20" s="27"/>
      <c r="Y20" s="27"/>
    </row>
    <row r="21" spans="1:25" s="24" customFormat="1" x14ac:dyDescent="0.25">
      <c r="A21" s="255">
        <f t="shared" si="1"/>
        <v>42491</v>
      </c>
      <c r="B21" s="35">
        <f>'Inc CWIP &amp; Plant Summary'!D55+B20</f>
        <v>789699.88318609656</v>
      </c>
      <c r="C21" s="34">
        <f ca="1">(SUMPRODUCT(('Non-Inc Plant'!$Q$8:$AN$8=$A21)*('Non-Inc Plant'!$D$9:$D$234="High")*'Non-Inc Plant'!$Q$9:$AN$234))+C20</f>
        <v>446770.97057895304</v>
      </c>
      <c r="D21" s="36">
        <f t="shared" ca="1" si="0"/>
        <v>1236470.8537650495</v>
      </c>
      <c r="E21" s="26"/>
      <c r="F21" s="36">
        <f ca="1">SUMPRODUCT(('Non-Inc Plant'!$Q$8:$AN$8=$A21)*('Non-Inc Plant'!$D$9:$D$234="Low")*'Non-Inc Plant'!$Q$9:$AN$234)+F20</f>
        <v>19936.051686279276</v>
      </c>
      <c r="G21" s="34"/>
      <c r="H21" s="36">
        <f t="shared" ca="1" si="2"/>
        <v>1256406.9054513287</v>
      </c>
      <c r="I21" s="34"/>
      <c r="J21" s="34"/>
      <c r="K21" s="34"/>
      <c r="L21" s="34"/>
      <c r="M21" s="34"/>
      <c r="N21" s="26"/>
      <c r="O21" s="26"/>
      <c r="P21" s="26"/>
      <c r="Q21" s="26"/>
      <c r="R21" s="26"/>
      <c r="S21" s="26"/>
      <c r="T21" s="26"/>
      <c r="U21" s="26"/>
      <c r="V21" s="26"/>
      <c r="W21" s="26"/>
      <c r="X21" s="27"/>
      <c r="Y21" s="27"/>
    </row>
    <row r="22" spans="1:25" s="24" customFormat="1" x14ac:dyDescent="0.25">
      <c r="A22" s="255">
        <f t="shared" si="1"/>
        <v>42522</v>
      </c>
      <c r="B22" s="35">
        <f>'Inc CWIP &amp; Plant Summary'!D56+B21</f>
        <v>790837.36726942984</v>
      </c>
      <c r="C22" s="34">
        <f ca="1">(SUMPRODUCT(('Non-Inc Plant'!$Q$8:$AN$8=$A22)*('Non-Inc Plant'!$D$9:$D$234="High")*'Non-Inc Plant'!$Q$9:$AN$234))+C21</f>
        <v>473069.7115445754</v>
      </c>
      <c r="D22" s="36">
        <f t="shared" ca="1" si="0"/>
        <v>1263907.0788140052</v>
      </c>
      <c r="E22" s="26"/>
      <c r="F22" s="36">
        <f ca="1">SUMPRODUCT(('Non-Inc Plant'!$Q$8:$AN$8=$A22)*('Non-Inc Plant'!$D$9:$D$234="Low")*'Non-Inc Plant'!$Q$9:$AN$234)+F21</f>
        <v>20703.86292404406</v>
      </c>
      <c r="G22" s="34"/>
      <c r="H22" s="36">
        <f t="shared" ca="1" si="2"/>
        <v>1284610.9417380493</v>
      </c>
      <c r="I22" s="34"/>
      <c r="J22" s="34"/>
      <c r="K22" s="34"/>
      <c r="L22" s="34"/>
      <c r="M22" s="34"/>
      <c r="N22" s="26"/>
      <c r="O22" s="26"/>
      <c r="P22" s="26"/>
      <c r="Q22" s="26"/>
      <c r="R22" s="26"/>
      <c r="S22" s="26"/>
      <c r="T22" s="26"/>
      <c r="U22" s="26"/>
      <c r="V22" s="26"/>
      <c r="W22" s="26"/>
      <c r="X22" s="27"/>
      <c r="Y22" s="27"/>
    </row>
    <row r="23" spans="1:25" s="24" customFormat="1" x14ac:dyDescent="0.25">
      <c r="A23" s="255">
        <f t="shared" si="1"/>
        <v>42552</v>
      </c>
      <c r="B23" s="35">
        <f>'Inc CWIP &amp; Plant Summary'!D57+B22</f>
        <v>791974.85135276313</v>
      </c>
      <c r="C23" s="34">
        <f ca="1">(SUMPRODUCT(('Non-Inc Plant'!$Q$8:$AN$8=$A23)*('Non-Inc Plant'!$D$9:$D$234="High")*'Non-Inc Plant'!$Q$9:$AN$234))+C22</f>
        <v>485182.3658821978</v>
      </c>
      <c r="D23" s="36">
        <f t="shared" ca="1" si="0"/>
        <v>1277157.217234961</v>
      </c>
      <c r="E23" s="26"/>
      <c r="F23" s="36">
        <f ca="1">SUMPRODUCT(('Non-Inc Plant'!$Q$8:$AN$8=$A23)*('Non-Inc Plant'!$D$9:$D$234="Low")*'Non-Inc Plant'!$Q$9:$AN$234)+F22</f>
        <v>21471.674161808845</v>
      </c>
      <c r="G23" s="34"/>
      <c r="H23" s="36">
        <f t="shared" ca="1" si="2"/>
        <v>1298628.8913967698</v>
      </c>
      <c r="I23" s="34"/>
      <c r="J23" s="34"/>
      <c r="K23" s="34"/>
      <c r="L23" s="34"/>
      <c r="M23" s="34"/>
      <c r="N23" s="26"/>
      <c r="O23" s="26"/>
      <c r="P23" s="26"/>
      <c r="Q23" s="26"/>
      <c r="R23" s="26"/>
      <c r="S23" s="26"/>
      <c r="T23" s="26"/>
      <c r="U23" s="26"/>
      <c r="V23" s="26"/>
      <c r="W23" s="26"/>
      <c r="X23" s="27"/>
      <c r="Y23" s="27"/>
    </row>
    <row r="24" spans="1:25" s="24" customFormat="1" x14ac:dyDescent="0.25">
      <c r="A24" s="255">
        <f t="shared" si="1"/>
        <v>42583</v>
      </c>
      <c r="B24" s="35">
        <f>'Inc CWIP &amp; Plant Summary'!D58+B23</f>
        <v>793112.33543609641</v>
      </c>
      <c r="C24" s="34">
        <f ca="1">(SUMPRODUCT(('Non-Inc Plant'!$Q$8:$AN$8=$A24)*('Non-Inc Plant'!$D$9:$D$234="High")*'Non-Inc Plant'!$Q$9:$AN$234))+C23</f>
        <v>497295.0202198202</v>
      </c>
      <c r="D24" s="36">
        <f t="shared" ca="1" si="0"/>
        <v>1290407.3556559165</v>
      </c>
      <c r="E24" s="26"/>
      <c r="F24" s="36">
        <f ca="1">SUMPRODUCT(('Non-Inc Plant'!$Q$8:$AN$8=$A24)*('Non-Inc Plant'!$D$9:$D$234="Low")*'Non-Inc Plant'!$Q$9:$AN$234)+F23</f>
        <v>22239.48539957363</v>
      </c>
      <c r="G24" s="34"/>
      <c r="H24" s="36">
        <f t="shared" ca="1" si="2"/>
        <v>1312646.8410554901</v>
      </c>
      <c r="I24" s="34"/>
      <c r="J24" s="34"/>
      <c r="K24" s="34"/>
      <c r="L24" s="34"/>
      <c r="M24" s="34"/>
      <c r="N24" s="26"/>
      <c r="O24" s="26"/>
      <c r="P24" s="26"/>
      <c r="Q24" s="26"/>
      <c r="R24" s="26"/>
      <c r="S24" s="26"/>
      <c r="T24" s="26"/>
      <c r="U24" s="26"/>
      <c r="V24" s="26"/>
      <c r="W24" s="26"/>
      <c r="X24" s="27"/>
      <c r="Y24" s="27"/>
    </row>
    <row r="25" spans="1:25" s="24" customFormat="1" x14ac:dyDescent="0.25">
      <c r="A25" s="255">
        <f t="shared" si="1"/>
        <v>42614</v>
      </c>
      <c r="B25" s="35">
        <f>'Inc CWIP &amp; Plant Summary'!D59+B24</f>
        <v>794249.8195194297</v>
      </c>
      <c r="C25" s="34">
        <f ca="1">(SUMPRODUCT(('Non-Inc Plant'!$Q$8:$AN$8=$A25)*('Non-Inc Plant'!$D$9:$D$234="High")*'Non-Inc Plant'!$Q$9:$AN$234))+C24</f>
        <v>509407.6745574426</v>
      </c>
      <c r="D25" s="36">
        <f t="shared" ca="1" si="0"/>
        <v>1303657.4940768722</v>
      </c>
      <c r="E25" s="26"/>
      <c r="F25" s="36">
        <f ca="1">SUMPRODUCT(('Non-Inc Plant'!$Q$8:$AN$8=$A25)*('Non-Inc Plant'!$D$9:$D$234="Low")*'Non-Inc Plant'!$Q$9:$AN$234)+F24</f>
        <v>23007.296637338415</v>
      </c>
      <c r="G25" s="34"/>
      <c r="H25" s="36">
        <f t="shared" ca="1" si="2"/>
        <v>1326664.7907142106</v>
      </c>
      <c r="I25" s="34"/>
      <c r="J25" s="34"/>
      <c r="K25" s="34"/>
      <c r="L25" s="34"/>
      <c r="M25" s="34"/>
      <c r="N25" s="26"/>
      <c r="O25" s="26"/>
      <c r="P25" s="26"/>
      <c r="Q25" s="26"/>
      <c r="R25" s="26"/>
      <c r="S25" s="26"/>
      <c r="T25" s="26"/>
      <c r="U25" s="26"/>
      <c r="V25" s="26"/>
      <c r="W25" s="26"/>
      <c r="X25" s="27"/>
      <c r="Y25" s="27"/>
    </row>
    <row r="26" spans="1:25" s="24" customFormat="1" x14ac:dyDescent="0.25">
      <c r="A26" s="255">
        <f t="shared" si="1"/>
        <v>42644</v>
      </c>
      <c r="B26" s="35">
        <f>'Inc CWIP &amp; Plant Summary'!D60+B25</f>
        <v>1126020.5695427631</v>
      </c>
      <c r="C26" s="34">
        <f ca="1">(SUMPRODUCT(('Non-Inc Plant'!$Q$8:$AN$8=$A26)*('Non-Inc Plant'!$D$9:$D$234="High")*'Non-Inc Plant'!$Q$9:$AN$234))+C25</f>
        <v>523726.127795065</v>
      </c>
      <c r="D26" s="36">
        <f t="shared" ca="1" si="0"/>
        <v>1649746.6973378281</v>
      </c>
      <c r="E26" s="26"/>
      <c r="F26" s="36">
        <f ca="1">SUMPRODUCT(('Non-Inc Plant'!$Q$8:$AN$8=$A26)*('Non-Inc Plant'!$D$9:$D$234="Low")*'Non-Inc Plant'!$Q$9:$AN$234)+F25</f>
        <v>23775.1078751032</v>
      </c>
      <c r="G26" s="34"/>
      <c r="H26" s="36">
        <f t="shared" ca="1" si="2"/>
        <v>1673521.8052129312</v>
      </c>
      <c r="I26" s="34"/>
      <c r="J26" s="34"/>
      <c r="K26" s="34"/>
      <c r="L26" s="271"/>
      <c r="M26" s="34"/>
      <c r="N26" s="26"/>
      <c r="O26" s="26"/>
      <c r="P26" s="26"/>
      <c r="Q26" s="26"/>
      <c r="R26" s="26"/>
      <c r="S26" s="26"/>
      <c r="T26" s="26"/>
      <c r="U26" s="26"/>
      <c r="V26" s="26"/>
      <c r="W26" s="26"/>
      <c r="X26" s="27"/>
      <c r="Y26" s="27"/>
    </row>
    <row r="27" spans="1:25" s="24" customFormat="1" x14ac:dyDescent="0.25">
      <c r="A27" s="255">
        <f t="shared" si="1"/>
        <v>42675</v>
      </c>
      <c r="B27" s="35">
        <f>'Inc CWIP &amp; Plant Summary'!D61+B26</f>
        <v>1129849.9966310964</v>
      </c>
      <c r="C27" s="34">
        <f ca="1">(SUMPRODUCT(('Non-Inc Plant'!$Q$8:$AN$8=$A27)*('Non-Inc Plant'!$D$9:$D$234="High")*'Non-Inc Plant'!$Q$9:$AN$234))+C26</f>
        <v>540238.7821326874</v>
      </c>
      <c r="D27" s="36">
        <f t="shared" ca="1" si="0"/>
        <v>1670088.7787637836</v>
      </c>
      <c r="E27" s="26"/>
      <c r="F27" s="36">
        <f ca="1">SUMPRODUCT(('Non-Inc Plant'!$Q$8:$AN$8=$A27)*('Non-Inc Plant'!$D$9:$D$234="Low")*'Non-Inc Plant'!$Q$9:$AN$234)+F26</f>
        <v>24542.919112867985</v>
      </c>
      <c r="G27" s="34"/>
      <c r="H27" s="36">
        <f t="shared" ca="1" si="2"/>
        <v>1694631.6978766515</v>
      </c>
      <c r="I27" s="34"/>
      <c r="J27" s="34"/>
      <c r="K27" s="34"/>
      <c r="L27" s="271"/>
      <c r="M27" s="34"/>
      <c r="N27" s="26"/>
      <c r="O27" s="26"/>
      <c r="P27" s="26"/>
      <c r="Q27" s="26"/>
      <c r="R27" s="26"/>
      <c r="S27" s="26"/>
      <c r="T27" s="26"/>
      <c r="U27" s="26"/>
      <c r="V27" s="26"/>
      <c r="W27" s="26"/>
      <c r="X27" s="27"/>
      <c r="Y27" s="27"/>
    </row>
    <row r="28" spans="1:25" s="24" customFormat="1" x14ac:dyDescent="0.25">
      <c r="A28" s="256">
        <f t="shared" si="1"/>
        <v>42705</v>
      </c>
      <c r="B28" s="37">
        <f>'Inc CWIP &amp; Plant Summary'!D62+B27</f>
        <v>1172213.2069894297</v>
      </c>
      <c r="C28" s="38">
        <f ca="1">(SUMPRODUCT(('Non-Inc Plant'!$Q$8:$AN$8=$A28)*('Non-Inc Plant'!$D$9:$D$234="High")*'Non-Inc Plant'!$Q$9:$AN$234))+C27</f>
        <v>568537.36646933481</v>
      </c>
      <c r="D28" s="39">
        <f t="shared" ca="1" si="0"/>
        <v>1740750.5734587645</v>
      </c>
      <c r="E28" s="26"/>
      <c r="F28" s="39">
        <f ca="1">SUMPRODUCT(('Non-Inc Plant'!$Q$8:$AN$8=$A28)*('Non-Inc Plant'!$D$9:$D$234="Low")*'Non-Inc Plant'!$Q$9:$AN$234)+F27</f>
        <v>25310.73035063277</v>
      </c>
      <c r="G28" s="34"/>
      <c r="H28" s="39">
        <f t="shared" ca="1" si="2"/>
        <v>1766061.3038093972</v>
      </c>
      <c r="I28" s="34"/>
      <c r="J28" s="34"/>
      <c r="K28" s="34"/>
      <c r="L28" s="271"/>
      <c r="M28" s="34"/>
      <c r="N28" s="26"/>
      <c r="O28" s="26"/>
      <c r="P28" s="26"/>
      <c r="Q28" s="26"/>
      <c r="R28" s="26"/>
      <c r="S28" s="26"/>
      <c r="T28" s="26"/>
      <c r="U28" s="26"/>
      <c r="V28" s="26"/>
      <c r="W28" s="26"/>
      <c r="X28" s="27"/>
      <c r="Y28" s="27"/>
    </row>
    <row r="29" spans="1:25" s="24" customFormat="1" x14ac:dyDescent="0.25">
      <c r="A29" s="23"/>
      <c r="B29" s="40"/>
      <c r="C29" s="34"/>
      <c r="D29" s="26"/>
      <c r="E29" s="26"/>
      <c r="F29" s="26"/>
      <c r="G29" s="26"/>
      <c r="H29" s="26"/>
      <c r="I29" s="26"/>
      <c r="J29" s="26"/>
      <c r="K29" s="26"/>
      <c r="L29" s="26"/>
      <c r="M29" s="26"/>
      <c r="N29" s="26"/>
      <c r="O29" s="26"/>
      <c r="P29" s="26"/>
      <c r="Q29" s="26"/>
      <c r="R29" s="26"/>
      <c r="S29" s="26"/>
      <c r="T29" s="26"/>
      <c r="U29" s="26"/>
      <c r="V29" s="26"/>
      <c r="W29" s="26"/>
      <c r="X29" s="27"/>
      <c r="Y29" s="27"/>
    </row>
    <row r="30" spans="1:25" s="2" customFormat="1" x14ac:dyDescent="0.25">
      <c r="C30" s="3"/>
      <c r="D30" s="3"/>
      <c r="E30" s="3"/>
      <c r="F30" s="3"/>
      <c r="G30" s="3"/>
      <c r="H30" s="3"/>
      <c r="I30" s="3"/>
      <c r="J30" s="3"/>
      <c r="K30" s="3"/>
      <c r="L30" s="3"/>
      <c r="M30" s="3"/>
      <c r="N30" s="3"/>
      <c r="O30" s="3"/>
      <c r="P30" s="3"/>
      <c r="Q30" s="3"/>
      <c r="R30" s="3"/>
      <c r="S30" s="3"/>
      <c r="T30" s="3"/>
      <c r="U30" s="3"/>
      <c r="V30" s="3"/>
      <c r="W30" s="3"/>
    </row>
    <row r="31" spans="1:25" s="2" customFormat="1" x14ac:dyDescent="0.25">
      <c r="C31" s="3"/>
      <c r="D31" s="3"/>
      <c r="E31" s="3"/>
      <c r="F31" s="3"/>
      <c r="G31" s="3"/>
      <c r="H31" s="3"/>
      <c r="I31" s="3"/>
      <c r="J31" s="3"/>
      <c r="K31" s="3"/>
      <c r="L31" s="3"/>
      <c r="M31" s="3"/>
      <c r="N31" s="3"/>
      <c r="O31" s="3"/>
      <c r="P31" s="3"/>
      <c r="Q31" s="3"/>
      <c r="R31" s="3"/>
      <c r="S31" s="3"/>
      <c r="T31" s="3"/>
      <c r="U31" s="3"/>
      <c r="V31" s="3"/>
      <c r="W31" s="3"/>
    </row>
    <row r="33" spans="3:23" x14ac:dyDescent="0.25">
      <c r="C33" s="41"/>
      <c r="D33" s="41"/>
      <c r="E33" s="41"/>
      <c r="F33" s="41"/>
      <c r="G33" s="41"/>
      <c r="H33" s="41"/>
      <c r="I33" s="41"/>
      <c r="J33" s="41"/>
      <c r="K33" s="41"/>
      <c r="L33" s="41"/>
      <c r="M33" s="41"/>
      <c r="N33" s="41"/>
      <c r="O33" s="41"/>
      <c r="P33" s="41"/>
      <c r="Q33" s="41"/>
      <c r="R33" s="41"/>
      <c r="S33" s="41"/>
      <c r="T33" s="41"/>
      <c r="U33" s="41"/>
      <c r="V33" s="41"/>
      <c r="W33" s="41"/>
    </row>
    <row r="34" spans="3:23" x14ac:dyDescent="0.25">
      <c r="C34" s="41"/>
      <c r="D34" s="41"/>
      <c r="E34" s="41"/>
      <c r="F34" s="41"/>
      <c r="G34" s="41"/>
      <c r="H34" s="41"/>
      <c r="I34" s="41"/>
      <c r="J34" s="41"/>
      <c r="K34" s="41"/>
      <c r="L34" s="41"/>
      <c r="M34" s="41"/>
      <c r="N34" s="41"/>
      <c r="O34" s="41"/>
      <c r="P34" s="41"/>
      <c r="Q34" s="41"/>
      <c r="R34" s="41"/>
      <c r="S34" s="41"/>
      <c r="T34" s="41"/>
      <c r="U34" s="41"/>
      <c r="V34" s="41"/>
      <c r="W34" s="41"/>
    </row>
  </sheetData>
  <mergeCells count="1">
    <mergeCell ref="B3:D3"/>
  </mergeCells>
  <printOptions horizontalCentered="1"/>
  <pageMargins left="0.25" right="0.25" top="0.75" bottom="0.75" header="0.3" footer="0.3"/>
  <pageSetup fitToWidth="2" orientation="landscape" r:id="rId1"/>
  <headerFooter>
    <oddHeader>&amp;RTO10 Draft Annual Update
Attachment 4
WP-Schedule 10 and 16
Page &amp;P of &amp;N</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7" tint="0.59999389629810485"/>
  </sheetPr>
  <dimension ref="A1:AR149"/>
  <sheetViews>
    <sheetView zoomScale="70" zoomScaleNormal="70" zoomScaleSheetLayoutView="48" workbookViewId="0"/>
  </sheetViews>
  <sheetFormatPr defaultColWidth="9.140625" defaultRowHeight="14.25" customHeight="1" x14ac:dyDescent="0.25"/>
  <cols>
    <col min="1" max="1" width="35.42578125" style="105" customWidth="1"/>
    <col min="2" max="2" width="48.85546875" style="105" customWidth="1"/>
    <col min="3" max="3" width="9.140625" style="106"/>
    <col min="4" max="4" width="9.140625" style="105"/>
    <col min="5" max="5" width="13.85546875" style="106" bestFit="1" customWidth="1"/>
    <col min="6" max="7" width="17.7109375" style="105" customWidth="1"/>
    <col min="8" max="8" width="9.140625" style="105"/>
    <col min="9" max="9" width="8.5703125" style="105" bestFit="1" customWidth="1"/>
    <col min="10" max="15" width="15.28515625" style="105" customWidth="1"/>
    <col min="16" max="16" width="11.42578125" style="105" customWidth="1"/>
    <col min="17" max="40" width="13.42578125" style="105" customWidth="1"/>
    <col min="41" max="41" width="12" style="105" bestFit="1" customWidth="1"/>
    <col min="42" max="42" width="9.140625" style="105"/>
    <col min="43" max="43" width="10.140625" style="107" bestFit="1" customWidth="1"/>
    <col min="44" max="44" width="9.140625" style="107"/>
    <col min="45" max="16384" width="9.140625" style="105"/>
  </cols>
  <sheetData>
    <row r="1" spans="1:44" ht="21" x14ac:dyDescent="0.35">
      <c r="A1" s="104" t="s">
        <v>12</v>
      </c>
    </row>
    <row r="2" spans="1:44" ht="18.75" x14ac:dyDescent="0.3">
      <c r="A2" s="108"/>
    </row>
    <row r="3" spans="1:44" ht="15" x14ac:dyDescent="0.25">
      <c r="A3" s="109" t="s">
        <v>13</v>
      </c>
      <c r="B3" s="110">
        <v>42005</v>
      </c>
    </row>
    <row r="4" spans="1:44" ht="15" x14ac:dyDescent="0.25">
      <c r="A4" s="43"/>
      <c r="B4" s="111"/>
    </row>
    <row r="5" spans="1:44" ht="15" x14ac:dyDescent="0.25">
      <c r="A5" s="112" t="s">
        <v>14</v>
      </c>
      <c r="B5" s="112"/>
      <c r="C5" s="113"/>
      <c r="D5" s="112"/>
      <c r="E5" s="113"/>
    </row>
    <row r="6" spans="1:44" ht="30" customHeight="1" x14ac:dyDescent="0.25">
      <c r="A6" s="225"/>
      <c r="B6" s="225"/>
      <c r="C6" s="225"/>
      <c r="D6" s="225"/>
      <c r="E6" s="225"/>
      <c r="F6" s="225"/>
      <c r="G6" s="225"/>
      <c r="H6" s="225"/>
    </row>
    <row r="7" spans="1:44" ht="15.75" thickBot="1" x14ac:dyDescent="0.3">
      <c r="A7" s="112"/>
      <c r="B7" s="112"/>
      <c r="C7" s="113"/>
      <c r="D7" s="112"/>
      <c r="E7" s="113"/>
    </row>
    <row r="8" spans="1:44" s="117" customFormat="1" ht="60.75" thickBot="1" x14ac:dyDescent="0.3">
      <c r="A8" s="44" t="s">
        <v>15</v>
      </c>
      <c r="B8" s="45" t="s">
        <v>16</v>
      </c>
      <c r="C8" s="45" t="s">
        <v>17</v>
      </c>
      <c r="D8" s="45" t="s">
        <v>18</v>
      </c>
      <c r="E8" s="45" t="s">
        <v>19</v>
      </c>
      <c r="F8" s="45" t="s">
        <v>20</v>
      </c>
      <c r="G8" s="45" t="s">
        <v>21</v>
      </c>
      <c r="H8" s="46" t="s">
        <v>22</v>
      </c>
      <c r="I8" s="47"/>
      <c r="J8" s="44" t="str">
        <f>YEAR($B$3)-1&amp;" CWIP"</f>
        <v>2014 CWIP</v>
      </c>
      <c r="K8" s="45" t="str">
        <f>YEAR($B$3)&amp;" Total Expenditures"</f>
        <v>2015 Total Expenditures</v>
      </c>
      <c r="L8" s="45" t="str">
        <f>YEAR($B$3)+1&amp;" Total Expenditures"</f>
        <v>2016 Total Expenditures</v>
      </c>
      <c r="M8" s="45" t="str">
        <f>YEAR($B$3)-1&amp;" ISO CWIP Less Collectible"</f>
        <v>2014 ISO CWIP Less Collectible</v>
      </c>
      <c r="N8" s="45" t="str">
        <f>YEAR($B$3)&amp;" ISO Expenditures Less COR/Collectible"</f>
        <v>2015 ISO Expenditures Less COR/Collectible</v>
      </c>
      <c r="O8" s="46" t="str">
        <f>YEAR($B$3)+1&amp;" ISO Expenditures Less COR/Collectible"</f>
        <v>2016 ISO Expenditures Less COR/Collectible</v>
      </c>
      <c r="P8" s="48"/>
      <c r="Q8" s="114">
        <f>$B$3</f>
        <v>42005</v>
      </c>
      <c r="R8" s="115">
        <f t="shared" ref="R8:AJ8" si="0">DATE(YEAR(Q8),MONTH(Q8)+1,DAY(Q8))</f>
        <v>42036</v>
      </c>
      <c r="S8" s="115">
        <f t="shared" si="0"/>
        <v>42064</v>
      </c>
      <c r="T8" s="115">
        <f t="shared" si="0"/>
        <v>42095</v>
      </c>
      <c r="U8" s="115">
        <f t="shared" si="0"/>
        <v>42125</v>
      </c>
      <c r="V8" s="115">
        <f t="shared" si="0"/>
        <v>42156</v>
      </c>
      <c r="W8" s="115">
        <f t="shared" si="0"/>
        <v>42186</v>
      </c>
      <c r="X8" s="115">
        <f t="shared" si="0"/>
        <v>42217</v>
      </c>
      <c r="Y8" s="115">
        <f t="shared" si="0"/>
        <v>42248</v>
      </c>
      <c r="Z8" s="115">
        <f t="shared" si="0"/>
        <v>42278</v>
      </c>
      <c r="AA8" s="115">
        <f t="shared" si="0"/>
        <v>42309</v>
      </c>
      <c r="AB8" s="116">
        <f t="shared" si="0"/>
        <v>42339</v>
      </c>
      <c r="AC8" s="115">
        <f t="shared" si="0"/>
        <v>42370</v>
      </c>
      <c r="AD8" s="115">
        <f t="shared" si="0"/>
        <v>42401</v>
      </c>
      <c r="AE8" s="115">
        <f t="shared" si="0"/>
        <v>42430</v>
      </c>
      <c r="AF8" s="115">
        <f t="shared" si="0"/>
        <v>42461</v>
      </c>
      <c r="AG8" s="115">
        <f t="shared" si="0"/>
        <v>42491</v>
      </c>
      <c r="AH8" s="115">
        <f t="shared" si="0"/>
        <v>42522</v>
      </c>
      <c r="AI8" s="115">
        <f t="shared" si="0"/>
        <v>42552</v>
      </c>
      <c r="AJ8" s="115">
        <f t="shared" si="0"/>
        <v>42583</v>
      </c>
      <c r="AK8" s="115">
        <f>DATE(YEAR(AJ8),MONTH(AJ8)+1,DAY(AJ8))</f>
        <v>42614</v>
      </c>
      <c r="AL8" s="115">
        <f>DATE(YEAR(AK8),MONTH(AK8)+1,DAY(AK8))</f>
        <v>42644</v>
      </c>
      <c r="AM8" s="115">
        <f>DATE(YEAR(AL8),MONTH(AL8)+1,DAY(AL8))</f>
        <v>42675</v>
      </c>
      <c r="AN8" s="116">
        <f>DATE(YEAR(AM8),MONTH(AM8)+1,DAY(AM8))</f>
        <v>42705</v>
      </c>
      <c r="AQ8" s="118"/>
      <c r="AR8" s="118"/>
    </row>
    <row r="9" spans="1:44" ht="15" x14ac:dyDescent="0.25">
      <c r="A9" s="96" t="s">
        <v>335</v>
      </c>
      <c r="B9" s="97" t="s">
        <v>98</v>
      </c>
      <c r="C9" s="98">
        <v>3138</v>
      </c>
      <c r="D9" s="99" t="s">
        <v>70</v>
      </c>
      <c r="E9" s="100" t="s">
        <v>94</v>
      </c>
      <c r="F9" s="97" t="s">
        <v>78</v>
      </c>
      <c r="G9" s="101">
        <v>0</v>
      </c>
      <c r="H9" s="102">
        <v>1</v>
      </c>
      <c r="I9" s="49"/>
      <c r="J9" s="103"/>
      <c r="K9" s="119">
        <v>452.779</v>
      </c>
      <c r="L9" s="119">
        <v>0</v>
      </c>
      <c r="M9" s="119"/>
      <c r="N9" s="119">
        <f t="shared" ref="N9:N38" si="1">$K9*$H9*(1-$G9)</f>
        <v>452.779</v>
      </c>
      <c r="O9" s="120">
        <f t="shared" ref="O9:O38" si="2">$L9*$H9*(1-$G9)</f>
        <v>0</v>
      </c>
      <c r="P9" s="121"/>
      <c r="Q9" s="122">
        <f t="shared" ref="Q9:AF38" si="3">IF(YEAR(Q$8)=YEAR($B$3),$N9/12,$O9/12)</f>
        <v>37.731583333333333</v>
      </c>
      <c r="R9" s="119">
        <f t="shared" si="3"/>
        <v>37.731583333333333</v>
      </c>
      <c r="S9" s="119">
        <f t="shared" si="3"/>
        <v>37.731583333333333</v>
      </c>
      <c r="T9" s="119">
        <f t="shared" si="3"/>
        <v>37.731583333333333</v>
      </c>
      <c r="U9" s="119">
        <f t="shared" si="3"/>
        <v>37.731583333333333</v>
      </c>
      <c r="V9" s="119">
        <f t="shared" si="3"/>
        <v>37.731583333333333</v>
      </c>
      <c r="W9" s="119">
        <f t="shared" si="3"/>
        <v>37.731583333333333</v>
      </c>
      <c r="X9" s="119">
        <f t="shared" si="3"/>
        <v>37.731583333333333</v>
      </c>
      <c r="Y9" s="119">
        <f t="shared" si="3"/>
        <v>37.731583333333333</v>
      </c>
      <c r="Z9" s="119">
        <f t="shared" si="3"/>
        <v>37.731583333333333</v>
      </c>
      <c r="AA9" s="119">
        <f t="shared" si="3"/>
        <v>37.731583333333333</v>
      </c>
      <c r="AB9" s="120">
        <f t="shared" si="3"/>
        <v>37.731583333333333</v>
      </c>
      <c r="AC9" s="121">
        <f t="shared" si="3"/>
        <v>0</v>
      </c>
      <c r="AD9" s="121">
        <f t="shared" si="3"/>
        <v>0</v>
      </c>
      <c r="AE9" s="121">
        <f t="shared" si="3"/>
        <v>0</v>
      </c>
      <c r="AF9" s="121">
        <f t="shared" si="3"/>
        <v>0</v>
      </c>
      <c r="AG9" s="121">
        <f t="shared" ref="AG9:AN38" si="4">IF(YEAR(AG$8)=YEAR($B$3),$N9/12,$O9/12)</f>
        <v>0</v>
      </c>
      <c r="AH9" s="121">
        <f t="shared" si="4"/>
        <v>0</v>
      </c>
      <c r="AI9" s="121">
        <f t="shared" si="4"/>
        <v>0</v>
      </c>
      <c r="AJ9" s="121">
        <f t="shared" si="4"/>
        <v>0</v>
      </c>
      <c r="AK9" s="121">
        <f t="shared" si="4"/>
        <v>0</v>
      </c>
      <c r="AL9" s="121">
        <f t="shared" si="4"/>
        <v>0</v>
      </c>
      <c r="AM9" s="121">
        <f t="shared" si="4"/>
        <v>0</v>
      </c>
      <c r="AN9" s="123">
        <f t="shared" si="4"/>
        <v>0</v>
      </c>
      <c r="AQ9" s="124"/>
      <c r="AR9" s="124"/>
    </row>
    <row r="10" spans="1:44" ht="15" x14ac:dyDescent="0.25">
      <c r="A10" s="96" t="s">
        <v>95</v>
      </c>
      <c r="B10" s="97" t="s">
        <v>336</v>
      </c>
      <c r="C10" s="98">
        <v>4211</v>
      </c>
      <c r="D10" s="99" t="s">
        <v>70</v>
      </c>
      <c r="E10" s="100" t="s">
        <v>94</v>
      </c>
      <c r="F10" s="97" t="s">
        <v>78</v>
      </c>
      <c r="G10" s="101">
        <v>0</v>
      </c>
      <c r="H10" s="102">
        <v>1</v>
      </c>
      <c r="I10" s="49"/>
      <c r="J10" s="103"/>
      <c r="K10" s="119">
        <v>102</v>
      </c>
      <c r="L10" s="119">
        <v>1102.5077023321871</v>
      </c>
      <c r="M10" s="119"/>
      <c r="N10" s="119">
        <f t="shared" si="1"/>
        <v>102</v>
      </c>
      <c r="O10" s="120">
        <f t="shared" si="2"/>
        <v>1102.5077023321871</v>
      </c>
      <c r="P10" s="121"/>
      <c r="Q10" s="122">
        <f t="shared" si="3"/>
        <v>8.5</v>
      </c>
      <c r="R10" s="119">
        <f t="shared" si="3"/>
        <v>8.5</v>
      </c>
      <c r="S10" s="119">
        <f t="shared" si="3"/>
        <v>8.5</v>
      </c>
      <c r="T10" s="119">
        <f t="shared" si="3"/>
        <v>8.5</v>
      </c>
      <c r="U10" s="119">
        <f t="shared" si="3"/>
        <v>8.5</v>
      </c>
      <c r="V10" s="119">
        <f t="shared" si="3"/>
        <v>8.5</v>
      </c>
      <c r="W10" s="119">
        <f t="shared" si="3"/>
        <v>8.5</v>
      </c>
      <c r="X10" s="119">
        <f t="shared" si="3"/>
        <v>8.5</v>
      </c>
      <c r="Y10" s="119">
        <f t="shared" si="3"/>
        <v>8.5</v>
      </c>
      <c r="Z10" s="119">
        <f t="shared" si="3"/>
        <v>8.5</v>
      </c>
      <c r="AA10" s="119">
        <f t="shared" si="3"/>
        <v>8.5</v>
      </c>
      <c r="AB10" s="120">
        <f t="shared" si="3"/>
        <v>8.5</v>
      </c>
      <c r="AC10" s="121">
        <f t="shared" si="3"/>
        <v>91.875641861015595</v>
      </c>
      <c r="AD10" s="121">
        <f t="shared" si="3"/>
        <v>91.875641861015595</v>
      </c>
      <c r="AE10" s="121">
        <f t="shared" si="3"/>
        <v>91.875641861015595</v>
      </c>
      <c r="AF10" s="121">
        <f t="shared" si="3"/>
        <v>91.875641861015595</v>
      </c>
      <c r="AG10" s="121">
        <f t="shared" si="4"/>
        <v>91.875641861015595</v>
      </c>
      <c r="AH10" s="121">
        <f t="shared" si="4"/>
        <v>91.875641861015595</v>
      </c>
      <c r="AI10" s="121">
        <f t="shared" si="4"/>
        <v>91.875641861015595</v>
      </c>
      <c r="AJ10" s="121">
        <f t="shared" si="4"/>
        <v>91.875641861015595</v>
      </c>
      <c r="AK10" s="121">
        <f t="shared" si="4"/>
        <v>91.875641861015595</v>
      </c>
      <c r="AL10" s="121">
        <f t="shared" si="4"/>
        <v>91.875641861015595</v>
      </c>
      <c r="AM10" s="121">
        <f t="shared" si="4"/>
        <v>91.875641861015595</v>
      </c>
      <c r="AN10" s="120">
        <f t="shared" si="4"/>
        <v>91.875641861015595</v>
      </c>
      <c r="AQ10" s="124"/>
      <c r="AR10" s="124"/>
    </row>
    <row r="11" spans="1:44" ht="15" x14ac:dyDescent="0.25">
      <c r="A11" s="96" t="s">
        <v>337</v>
      </c>
      <c r="B11" s="97" t="s">
        <v>338</v>
      </c>
      <c r="C11" s="98">
        <v>4329</v>
      </c>
      <c r="D11" s="99" t="s">
        <v>96</v>
      </c>
      <c r="E11" s="100" t="s">
        <v>94</v>
      </c>
      <c r="F11" s="97" t="s">
        <v>78</v>
      </c>
      <c r="G11" s="101">
        <v>0</v>
      </c>
      <c r="H11" s="102">
        <v>1</v>
      </c>
      <c r="I11" s="49"/>
      <c r="J11" s="103"/>
      <c r="K11" s="119">
        <v>456.354815535</v>
      </c>
      <c r="L11" s="119">
        <v>0</v>
      </c>
      <c r="M11" s="119"/>
      <c r="N11" s="119">
        <f t="shared" si="1"/>
        <v>456.354815535</v>
      </c>
      <c r="O11" s="120">
        <f t="shared" si="2"/>
        <v>0</v>
      </c>
      <c r="P11" s="121"/>
      <c r="Q11" s="122">
        <f t="shared" si="3"/>
        <v>38.029567961250002</v>
      </c>
      <c r="R11" s="119">
        <f t="shared" si="3"/>
        <v>38.029567961250002</v>
      </c>
      <c r="S11" s="119">
        <f t="shared" si="3"/>
        <v>38.029567961250002</v>
      </c>
      <c r="T11" s="119">
        <f t="shared" si="3"/>
        <v>38.029567961250002</v>
      </c>
      <c r="U11" s="119">
        <f t="shared" si="3"/>
        <v>38.029567961250002</v>
      </c>
      <c r="V11" s="119">
        <f t="shared" si="3"/>
        <v>38.029567961250002</v>
      </c>
      <c r="W11" s="119">
        <f t="shared" si="3"/>
        <v>38.029567961250002</v>
      </c>
      <c r="X11" s="119">
        <f t="shared" si="3"/>
        <v>38.029567961250002</v>
      </c>
      <c r="Y11" s="119">
        <f t="shared" si="3"/>
        <v>38.029567961250002</v>
      </c>
      <c r="Z11" s="119">
        <f t="shared" si="3"/>
        <v>38.029567961250002</v>
      </c>
      <c r="AA11" s="119">
        <f t="shared" si="3"/>
        <v>38.029567961250002</v>
      </c>
      <c r="AB11" s="120">
        <f t="shared" si="3"/>
        <v>38.029567961250002</v>
      </c>
      <c r="AC11" s="121">
        <f t="shared" si="3"/>
        <v>0</v>
      </c>
      <c r="AD11" s="121">
        <f t="shared" si="3"/>
        <v>0</v>
      </c>
      <c r="AE11" s="121">
        <f t="shared" si="3"/>
        <v>0</v>
      </c>
      <c r="AF11" s="121">
        <f t="shared" si="3"/>
        <v>0</v>
      </c>
      <c r="AG11" s="121">
        <f t="shared" si="4"/>
        <v>0</v>
      </c>
      <c r="AH11" s="121">
        <f t="shared" si="4"/>
        <v>0</v>
      </c>
      <c r="AI11" s="121">
        <f t="shared" si="4"/>
        <v>0</v>
      </c>
      <c r="AJ11" s="121">
        <f t="shared" si="4"/>
        <v>0</v>
      </c>
      <c r="AK11" s="121">
        <f t="shared" si="4"/>
        <v>0</v>
      </c>
      <c r="AL11" s="121">
        <f t="shared" si="4"/>
        <v>0</v>
      </c>
      <c r="AM11" s="121">
        <f t="shared" si="4"/>
        <v>0</v>
      </c>
      <c r="AN11" s="120">
        <f t="shared" si="4"/>
        <v>0</v>
      </c>
      <c r="AQ11" s="124"/>
      <c r="AR11" s="124"/>
    </row>
    <row r="12" spans="1:44" ht="15" x14ac:dyDescent="0.25">
      <c r="A12" s="96" t="s">
        <v>339</v>
      </c>
      <c r="B12" s="97" t="s">
        <v>340</v>
      </c>
      <c r="C12" s="98">
        <v>4343</v>
      </c>
      <c r="D12" s="99" t="s">
        <v>96</v>
      </c>
      <c r="E12" s="100" t="s">
        <v>94</v>
      </c>
      <c r="F12" s="97" t="s">
        <v>78</v>
      </c>
      <c r="G12" s="101">
        <v>0</v>
      </c>
      <c r="H12" s="102">
        <v>1</v>
      </c>
      <c r="I12" s="49"/>
      <c r="J12" s="103"/>
      <c r="K12" s="119">
        <v>6867</v>
      </c>
      <c r="L12" s="119">
        <v>7737.9314169087729</v>
      </c>
      <c r="M12" s="119"/>
      <c r="N12" s="119">
        <f t="shared" si="1"/>
        <v>6867</v>
      </c>
      <c r="O12" s="120">
        <f t="shared" si="2"/>
        <v>7737.9314169087729</v>
      </c>
      <c r="P12" s="121"/>
      <c r="Q12" s="122">
        <f t="shared" si="3"/>
        <v>572.25</v>
      </c>
      <c r="R12" s="119">
        <f t="shared" si="3"/>
        <v>572.25</v>
      </c>
      <c r="S12" s="119">
        <f t="shared" si="3"/>
        <v>572.25</v>
      </c>
      <c r="T12" s="119">
        <f t="shared" si="3"/>
        <v>572.25</v>
      </c>
      <c r="U12" s="119">
        <f t="shared" si="3"/>
        <v>572.25</v>
      </c>
      <c r="V12" s="119">
        <f t="shared" si="3"/>
        <v>572.25</v>
      </c>
      <c r="W12" s="119">
        <f t="shared" si="3"/>
        <v>572.25</v>
      </c>
      <c r="X12" s="119">
        <f t="shared" si="3"/>
        <v>572.25</v>
      </c>
      <c r="Y12" s="119">
        <f t="shared" si="3"/>
        <v>572.25</v>
      </c>
      <c r="Z12" s="119">
        <f t="shared" si="3"/>
        <v>572.25</v>
      </c>
      <c r="AA12" s="119">
        <f t="shared" si="3"/>
        <v>572.25</v>
      </c>
      <c r="AB12" s="120">
        <f t="shared" si="3"/>
        <v>572.25</v>
      </c>
      <c r="AC12" s="121">
        <f t="shared" si="3"/>
        <v>644.82761807573104</v>
      </c>
      <c r="AD12" s="121">
        <f t="shared" si="3"/>
        <v>644.82761807573104</v>
      </c>
      <c r="AE12" s="121">
        <f t="shared" si="3"/>
        <v>644.82761807573104</v>
      </c>
      <c r="AF12" s="121">
        <f t="shared" si="3"/>
        <v>644.82761807573104</v>
      </c>
      <c r="AG12" s="121">
        <f t="shared" si="4"/>
        <v>644.82761807573104</v>
      </c>
      <c r="AH12" s="121">
        <f t="shared" si="4"/>
        <v>644.82761807573104</v>
      </c>
      <c r="AI12" s="121">
        <f t="shared" si="4"/>
        <v>644.82761807573104</v>
      </c>
      <c r="AJ12" s="121">
        <f t="shared" si="4"/>
        <v>644.82761807573104</v>
      </c>
      <c r="AK12" s="121">
        <f t="shared" si="4"/>
        <v>644.82761807573104</v>
      </c>
      <c r="AL12" s="121">
        <f t="shared" si="4"/>
        <v>644.82761807573104</v>
      </c>
      <c r="AM12" s="121">
        <f t="shared" si="4"/>
        <v>644.82761807573104</v>
      </c>
      <c r="AN12" s="120">
        <f t="shared" si="4"/>
        <v>644.82761807573104</v>
      </c>
      <c r="AQ12" s="124"/>
      <c r="AR12" s="124"/>
    </row>
    <row r="13" spans="1:44" ht="15" x14ac:dyDescent="0.25">
      <c r="A13" s="96" t="s">
        <v>341</v>
      </c>
      <c r="B13" s="97" t="s">
        <v>342</v>
      </c>
      <c r="C13" s="98">
        <v>4484</v>
      </c>
      <c r="D13" s="99" t="s">
        <v>70</v>
      </c>
      <c r="E13" s="100" t="s">
        <v>94</v>
      </c>
      <c r="F13" s="97" t="s">
        <v>78</v>
      </c>
      <c r="G13" s="101">
        <v>0</v>
      </c>
      <c r="H13" s="102">
        <v>1</v>
      </c>
      <c r="I13" s="49"/>
      <c r="J13" s="103"/>
      <c r="K13" s="119">
        <v>59.62</v>
      </c>
      <c r="L13" s="119">
        <v>153.88393155336857</v>
      </c>
      <c r="M13" s="119"/>
      <c r="N13" s="119">
        <f t="shared" si="1"/>
        <v>59.62</v>
      </c>
      <c r="O13" s="120">
        <f t="shared" si="2"/>
        <v>153.88393155336857</v>
      </c>
      <c r="P13" s="121"/>
      <c r="Q13" s="122">
        <f t="shared" ref="Q13:AF26" si="5">IF(YEAR(Q$8)=YEAR($B$3),$N13/12,$O13/12)</f>
        <v>4.9683333333333328</v>
      </c>
      <c r="R13" s="119">
        <f t="shared" si="5"/>
        <v>4.9683333333333328</v>
      </c>
      <c r="S13" s="119">
        <f t="shared" si="5"/>
        <v>4.9683333333333328</v>
      </c>
      <c r="T13" s="119">
        <f t="shared" si="5"/>
        <v>4.9683333333333328</v>
      </c>
      <c r="U13" s="119">
        <f t="shared" si="5"/>
        <v>4.9683333333333328</v>
      </c>
      <c r="V13" s="119">
        <f t="shared" si="5"/>
        <v>4.9683333333333328</v>
      </c>
      <c r="W13" s="119">
        <f t="shared" si="5"/>
        <v>4.9683333333333328</v>
      </c>
      <c r="X13" s="119">
        <f t="shared" si="5"/>
        <v>4.9683333333333328</v>
      </c>
      <c r="Y13" s="119">
        <f t="shared" si="5"/>
        <v>4.9683333333333328</v>
      </c>
      <c r="Z13" s="119">
        <f t="shared" si="5"/>
        <v>4.9683333333333328</v>
      </c>
      <c r="AA13" s="119">
        <f t="shared" si="5"/>
        <v>4.9683333333333328</v>
      </c>
      <c r="AB13" s="120">
        <f t="shared" si="5"/>
        <v>4.9683333333333328</v>
      </c>
      <c r="AC13" s="121">
        <f t="shared" si="5"/>
        <v>12.823660962780714</v>
      </c>
      <c r="AD13" s="121">
        <f t="shared" si="5"/>
        <v>12.823660962780714</v>
      </c>
      <c r="AE13" s="121">
        <f t="shared" si="5"/>
        <v>12.823660962780714</v>
      </c>
      <c r="AF13" s="121">
        <f t="shared" si="5"/>
        <v>12.823660962780714</v>
      </c>
      <c r="AG13" s="121">
        <f t="shared" si="4"/>
        <v>12.823660962780714</v>
      </c>
      <c r="AH13" s="121">
        <f t="shared" si="4"/>
        <v>12.823660962780714</v>
      </c>
      <c r="AI13" s="121">
        <f t="shared" si="4"/>
        <v>12.823660962780714</v>
      </c>
      <c r="AJ13" s="121">
        <f t="shared" si="4"/>
        <v>12.823660962780714</v>
      </c>
      <c r="AK13" s="121">
        <f t="shared" si="4"/>
        <v>12.823660962780714</v>
      </c>
      <c r="AL13" s="121">
        <f t="shared" si="4"/>
        <v>12.823660962780714</v>
      </c>
      <c r="AM13" s="121">
        <f t="shared" si="4"/>
        <v>12.823660962780714</v>
      </c>
      <c r="AN13" s="120">
        <f t="shared" si="4"/>
        <v>12.823660962780714</v>
      </c>
      <c r="AQ13" s="124"/>
      <c r="AR13" s="124"/>
    </row>
    <row r="14" spans="1:44" ht="15" x14ac:dyDescent="0.25">
      <c r="A14" s="96" t="s">
        <v>99</v>
      </c>
      <c r="B14" s="97" t="s">
        <v>343</v>
      </c>
      <c r="C14" s="98">
        <v>4651</v>
      </c>
      <c r="D14" s="99" t="s">
        <v>70</v>
      </c>
      <c r="E14" s="100" t="s">
        <v>94</v>
      </c>
      <c r="F14" s="97" t="s">
        <v>78</v>
      </c>
      <c r="G14" s="101">
        <v>0</v>
      </c>
      <c r="H14" s="102">
        <v>1</v>
      </c>
      <c r="I14" s="49"/>
      <c r="J14" s="103"/>
      <c r="K14" s="119">
        <v>2712.84</v>
      </c>
      <c r="L14" s="119">
        <v>1500</v>
      </c>
      <c r="M14" s="119"/>
      <c r="N14" s="119">
        <f t="shared" si="1"/>
        <v>2712.84</v>
      </c>
      <c r="O14" s="120">
        <f t="shared" si="2"/>
        <v>1500</v>
      </c>
      <c r="P14" s="121"/>
      <c r="Q14" s="122">
        <f t="shared" si="5"/>
        <v>226.07000000000002</v>
      </c>
      <c r="R14" s="119">
        <f t="shared" si="5"/>
        <v>226.07000000000002</v>
      </c>
      <c r="S14" s="119">
        <f t="shared" si="5"/>
        <v>226.07000000000002</v>
      </c>
      <c r="T14" s="119">
        <f t="shared" si="5"/>
        <v>226.07000000000002</v>
      </c>
      <c r="U14" s="119">
        <f t="shared" si="5"/>
        <v>226.07000000000002</v>
      </c>
      <c r="V14" s="119">
        <f t="shared" si="5"/>
        <v>226.07000000000002</v>
      </c>
      <c r="W14" s="119">
        <f t="shared" si="5"/>
        <v>226.07000000000002</v>
      </c>
      <c r="X14" s="119">
        <f t="shared" si="5"/>
        <v>226.07000000000002</v>
      </c>
      <c r="Y14" s="119">
        <f t="shared" si="5"/>
        <v>226.07000000000002</v>
      </c>
      <c r="Z14" s="119">
        <f t="shared" si="5"/>
        <v>226.07000000000002</v>
      </c>
      <c r="AA14" s="119">
        <f t="shared" si="5"/>
        <v>226.07000000000002</v>
      </c>
      <c r="AB14" s="120">
        <f t="shared" si="5"/>
        <v>226.07000000000002</v>
      </c>
      <c r="AC14" s="121">
        <f t="shared" si="5"/>
        <v>125</v>
      </c>
      <c r="AD14" s="121">
        <f t="shared" si="5"/>
        <v>125</v>
      </c>
      <c r="AE14" s="121">
        <f t="shared" si="5"/>
        <v>125</v>
      </c>
      <c r="AF14" s="121">
        <f t="shared" si="5"/>
        <v>125</v>
      </c>
      <c r="AG14" s="121">
        <f t="shared" si="4"/>
        <v>125</v>
      </c>
      <c r="AH14" s="121">
        <f t="shared" si="4"/>
        <v>125</v>
      </c>
      <c r="AI14" s="121">
        <f t="shared" si="4"/>
        <v>125</v>
      </c>
      <c r="AJ14" s="121">
        <f t="shared" si="4"/>
        <v>125</v>
      </c>
      <c r="AK14" s="121">
        <f t="shared" si="4"/>
        <v>125</v>
      </c>
      <c r="AL14" s="121">
        <f t="shared" si="4"/>
        <v>125</v>
      </c>
      <c r="AM14" s="121">
        <f t="shared" si="4"/>
        <v>125</v>
      </c>
      <c r="AN14" s="120">
        <f t="shared" si="4"/>
        <v>125</v>
      </c>
      <c r="AQ14" s="124"/>
      <c r="AR14" s="124"/>
    </row>
    <row r="15" spans="1:44" ht="15" x14ac:dyDescent="0.25">
      <c r="A15" s="96" t="s">
        <v>344</v>
      </c>
      <c r="B15" s="97" t="s">
        <v>345</v>
      </c>
      <c r="C15" s="98">
        <v>4756</v>
      </c>
      <c r="D15" s="99" t="s">
        <v>70</v>
      </c>
      <c r="E15" s="100" t="s">
        <v>94</v>
      </c>
      <c r="F15" s="97" t="s">
        <v>78</v>
      </c>
      <c r="G15" s="101">
        <v>0</v>
      </c>
      <c r="H15" s="102">
        <v>1</v>
      </c>
      <c r="I15" s="49"/>
      <c r="J15" s="103"/>
      <c r="K15" s="119">
        <v>1813</v>
      </c>
      <c r="L15" s="119">
        <v>9971.0479242841539</v>
      </c>
      <c r="M15" s="119"/>
      <c r="N15" s="119">
        <f t="shared" si="1"/>
        <v>1813</v>
      </c>
      <c r="O15" s="120">
        <f t="shared" si="2"/>
        <v>9971.0479242841539</v>
      </c>
      <c r="P15" s="121"/>
      <c r="Q15" s="122">
        <f t="shared" si="5"/>
        <v>151.08333333333334</v>
      </c>
      <c r="R15" s="119">
        <f t="shared" si="5"/>
        <v>151.08333333333334</v>
      </c>
      <c r="S15" s="119">
        <f t="shared" si="5"/>
        <v>151.08333333333334</v>
      </c>
      <c r="T15" s="119">
        <f t="shared" si="5"/>
        <v>151.08333333333334</v>
      </c>
      <c r="U15" s="119">
        <f t="shared" si="5"/>
        <v>151.08333333333334</v>
      </c>
      <c r="V15" s="119">
        <f t="shared" si="5"/>
        <v>151.08333333333334</v>
      </c>
      <c r="W15" s="119">
        <f t="shared" si="5"/>
        <v>151.08333333333334</v>
      </c>
      <c r="X15" s="119">
        <f t="shared" si="5"/>
        <v>151.08333333333334</v>
      </c>
      <c r="Y15" s="119">
        <f t="shared" si="5"/>
        <v>151.08333333333334</v>
      </c>
      <c r="Z15" s="119">
        <f t="shared" si="5"/>
        <v>151.08333333333334</v>
      </c>
      <c r="AA15" s="119">
        <f t="shared" si="5"/>
        <v>151.08333333333334</v>
      </c>
      <c r="AB15" s="120">
        <f t="shared" si="5"/>
        <v>151.08333333333334</v>
      </c>
      <c r="AC15" s="121">
        <f t="shared" si="5"/>
        <v>830.92066035701282</v>
      </c>
      <c r="AD15" s="121">
        <f t="shared" si="5"/>
        <v>830.92066035701282</v>
      </c>
      <c r="AE15" s="121">
        <f t="shared" si="5"/>
        <v>830.92066035701282</v>
      </c>
      <c r="AF15" s="121">
        <f t="shared" si="5"/>
        <v>830.92066035701282</v>
      </c>
      <c r="AG15" s="121">
        <f t="shared" si="4"/>
        <v>830.92066035701282</v>
      </c>
      <c r="AH15" s="121">
        <f t="shared" si="4"/>
        <v>830.92066035701282</v>
      </c>
      <c r="AI15" s="121">
        <f t="shared" si="4"/>
        <v>830.92066035701282</v>
      </c>
      <c r="AJ15" s="121">
        <f t="shared" si="4"/>
        <v>830.92066035701282</v>
      </c>
      <c r="AK15" s="121">
        <f t="shared" si="4"/>
        <v>830.92066035701282</v>
      </c>
      <c r="AL15" s="121">
        <f t="shared" si="4"/>
        <v>830.92066035701282</v>
      </c>
      <c r="AM15" s="121">
        <f t="shared" si="4"/>
        <v>830.92066035701282</v>
      </c>
      <c r="AN15" s="120">
        <f t="shared" si="4"/>
        <v>830.92066035701282</v>
      </c>
      <c r="AQ15" s="124"/>
      <c r="AR15" s="124"/>
    </row>
    <row r="16" spans="1:44" ht="15" x14ac:dyDescent="0.25">
      <c r="A16" s="96" t="s">
        <v>346</v>
      </c>
      <c r="B16" s="97" t="s">
        <v>347</v>
      </c>
      <c r="C16" s="98">
        <v>4791</v>
      </c>
      <c r="D16" s="99" t="s">
        <v>70</v>
      </c>
      <c r="E16" s="100" t="s">
        <v>94</v>
      </c>
      <c r="F16" s="97" t="s">
        <v>78</v>
      </c>
      <c r="G16" s="101">
        <v>0</v>
      </c>
      <c r="H16" s="102">
        <v>1</v>
      </c>
      <c r="I16" s="49"/>
      <c r="J16" s="103"/>
      <c r="K16" s="119">
        <v>5000</v>
      </c>
      <c r="L16" s="119">
        <v>5000</v>
      </c>
      <c r="M16" s="119"/>
      <c r="N16" s="119">
        <f t="shared" si="1"/>
        <v>5000</v>
      </c>
      <c r="O16" s="120">
        <f t="shared" si="2"/>
        <v>5000</v>
      </c>
      <c r="P16" s="121"/>
      <c r="Q16" s="122">
        <f t="shared" si="5"/>
        <v>416.66666666666669</v>
      </c>
      <c r="R16" s="119">
        <f t="shared" si="5"/>
        <v>416.66666666666669</v>
      </c>
      <c r="S16" s="119">
        <f t="shared" si="5"/>
        <v>416.66666666666669</v>
      </c>
      <c r="T16" s="119">
        <f t="shared" si="5"/>
        <v>416.66666666666669</v>
      </c>
      <c r="U16" s="119">
        <f t="shared" si="5"/>
        <v>416.66666666666669</v>
      </c>
      <c r="V16" s="119">
        <f t="shared" si="5"/>
        <v>416.66666666666669</v>
      </c>
      <c r="W16" s="119">
        <f t="shared" si="5"/>
        <v>416.66666666666669</v>
      </c>
      <c r="X16" s="119">
        <f t="shared" si="5"/>
        <v>416.66666666666669</v>
      </c>
      <c r="Y16" s="119">
        <f t="shared" si="5"/>
        <v>416.66666666666669</v>
      </c>
      <c r="Z16" s="119">
        <f t="shared" si="5"/>
        <v>416.66666666666669</v>
      </c>
      <c r="AA16" s="119">
        <f t="shared" si="5"/>
        <v>416.66666666666669</v>
      </c>
      <c r="AB16" s="120">
        <f t="shared" si="5"/>
        <v>416.66666666666669</v>
      </c>
      <c r="AC16" s="121">
        <f t="shared" si="5"/>
        <v>416.66666666666669</v>
      </c>
      <c r="AD16" s="121">
        <f t="shared" si="5"/>
        <v>416.66666666666669</v>
      </c>
      <c r="AE16" s="121">
        <f t="shared" si="5"/>
        <v>416.66666666666669</v>
      </c>
      <c r="AF16" s="121">
        <f t="shared" si="5"/>
        <v>416.66666666666669</v>
      </c>
      <c r="AG16" s="121">
        <f t="shared" si="4"/>
        <v>416.66666666666669</v>
      </c>
      <c r="AH16" s="121">
        <f t="shared" si="4"/>
        <v>416.66666666666669</v>
      </c>
      <c r="AI16" s="121">
        <f t="shared" si="4"/>
        <v>416.66666666666669</v>
      </c>
      <c r="AJ16" s="121">
        <f t="shared" si="4"/>
        <v>416.66666666666669</v>
      </c>
      <c r="AK16" s="121">
        <f t="shared" si="4"/>
        <v>416.66666666666669</v>
      </c>
      <c r="AL16" s="121">
        <f t="shared" si="4"/>
        <v>416.66666666666669</v>
      </c>
      <c r="AM16" s="121">
        <f t="shared" si="4"/>
        <v>416.66666666666669</v>
      </c>
      <c r="AN16" s="120">
        <f t="shared" si="4"/>
        <v>416.66666666666669</v>
      </c>
      <c r="AQ16" s="124"/>
      <c r="AR16" s="124"/>
    </row>
    <row r="17" spans="1:44" ht="15" x14ac:dyDescent="0.25">
      <c r="A17" s="96" t="s">
        <v>100</v>
      </c>
      <c r="B17" s="97" t="s">
        <v>348</v>
      </c>
      <c r="C17" s="98">
        <v>5089</v>
      </c>
      <c r="D17" s="99" t="s">
        <v>70</v>
      </c>
      <c r="E17" s="100" t="s">
        <v>94</v>
      </c>
      <c r="F17" s="97" t="s">
        <v>78</v>
      </c>
      <c r="G17" s="101">
        <v>0</v>
      </c>
      <c r="H17" s="102">
        <v>1</v>
      </c>
      <c r="I17" s="49"/>
      <c r="J17" s="103"/>
      <c r="K17" s="119">
        <v>1967</v>
      </c>
      <c r="L17" s="119">
        <v>1518.3194062074826</v>
      </c>
      <c r="M17" s="119"/>
      <c r="N17" s="119">
        <f t="shared" si="1"/>
        <v>1967</v>
      </c>
      <c r="O17" s="120">
        <f t="shared" si="2"/>
        <v>1518.3194062074826</v>
      </c>
      <c r="P17" s="121"/>
      <c r="Q17" s="122">
        <f t="shared" si="5"/>
        <v>163.91666666666666</v>
      </c>
      <c r="R17" s="119">
        <f t="shared" si="5"/>
        <v>163.91666666666666</v>
      </c>
      <c r="S17" s="119">
        <f t="shared" si="5"/>
        <v>163.91666666666666</v>
      </c>
      <c r="T17" s="119">
        <f t="shared" si="5"/>
        <v>163.91666666666666</v>
      </c>
      <c r="U17" s="119">
        <f t="shared" si="5"/>
        <v>163.91666666666666</v>
      </c>
      <c r="V17" s="119">
        <f t="shared" si="5"/>
        <v>163.91666666666666</v>
      </c>
      <c r="W17" s="119">
        <f t="shared" si="5"/>
        <v>163.91666666666666</v>
      </c>
      <c r="X17" s="119">
        <f t="shared" si="5"/>
        <v>163.91666666666666</v>
      </c>
      <c r="Y17" s="119">
        <f t="shared" si="5"/>
        <v>163.91666666666666</v>
      </c>
      <c r="Z17" s="119">
        <f t="shared" si="5"/>
        <v>163.91666666666666</v>
      </c>
      <c r="AA17" s="119">
        <f t="shared" si="5"/>
        <v>163.91666666666666</v>
      </c>
      <c r="AB17" s="120">
        <f t="shared" si="5"/>
        <v>163.91666666666666</v>
      </c>
      <c r="AC17" s="121">
        <f t="shared" si="5"/>
        <v>126.52661718395689</v>
      </c>
      <c r="AD17" s="121">
        <f t="shared" si="5"/>
        <v>126.52661718395689</v>
      </c>
      <c r="AE17" s="121">
        <f t="shared" si="5"/>
        <v>126.52661718395689</v>
      </c>
      <c r="AF17" s="121">
        <f t="shared" si="5"/>
        <v>126.52661718395689</v>
      </c>
      <c r="AG17" s="121">
        <f t="shared" si="4"/>
        <v>126.52661718395689</v>
      </c>
      <c r="AH17" s="121">
        <f t="shared" si="4"/>
        <v>126.52661718395689</v>
      </c>
      <c r="AI17" s="121">
        <f t="shared" si="4"/>
        <v>126.52661718395689</v>
      </c>
      <c r="AJ17" s="121">
        <f t="shared" si="4"/>
        <v>126.52661718395689</v>
      </c>
      <c r="AK17" s="121">
        <f t="shared" si="4"/>
        <v>126.52661718395689</v>
      </c>
      <c r="AL17" s="121">
        <f t="shared" si="4"/>
        <v>126.52661718395689</v>
      </c>
      <c r="AM17" s="121">
        <f t="shared" si="4"/>
        <v>126.52661718395689</v>
      </c>
      <c r="AN17" s="120">
        <f t="shared" si="4"/>
        <v>126.52661718395689</v>
      </c>
      <c r="AQ17" s="124"/>
      <c r="AR17" s="124"/>
    </row>
    <row r="18" spans="1:44" ht="15" x14ac:dyDescent="0.25">
      <c r="A18" s="96" t="s">
        <v>349</v>
      </c>
      <c r="B18" s="97" t="s">
        <v>350</v>
      </c>
      <c r="C18" s="98">
        <v>5210</v>
      </c>
      <c r="D18" s="99" t="s">
        <v>70</v>
      </c>
      <c r="E18" s="100" t="s">
        <v>94</v>
      </c>
      <c r="F18" s="97" t="s">
        <v>78</v>
      </c>
      <c r="G18" s="101">
        <v>0</v>
      </c>
      <c r="H18" s="102">
        <v>1</v>
      </c>
      <c r="I18" s="49"/>
      <c r="J18" s="103"/>
      <c r="K18" s="119">
        <v>15600</v>
      </c>
      <c r="L18" s="119">
        <v>18148.42187204622</v>
      </c>
      <c r="M18" s="119"/>
      <c r="N18" s="119">
        <f t="shared" si="1"/>
        <v>15600</v>
      </c>
      <c r="O18" s="120">
        <f t="shared" si="2"/>
        <v>18148.42187204622</v>
      </c>
      <c r="P18" s="121"/>
      <c r="Q18" s="122">
        <f t="shared" si="5"/>
        <v>1300</v>
      </c>
      <c r="R18" s="119">
        <f t="shared" si="5"/>
        <v>1300</v>
      </c>
      <c r="S18" s="119">
        <f t="shared" si="5"/>
        <v>1300</v>
      </c>
      <c r="T18" s="119">
        <f t="shared" si="5"/>
        <v>1300</v>
      </c>
      <c r="U18" s="119">
        <f t="shared" si="5"/>
        <v>1300</v>
      </c>
      <c r="V18" s="119">
        <f t="shared" si="5"/>
        <v>1300</v>
      </c>
      <c r="W18" s="119">
        <f t="shared" si="5"/>
        <v>1300</v>
      </c>
      <c r="X18" s="119">
        <f t="shared" si="5"/>
        <v>1300</v>
      </c>
      <c r="Y18" s="119">
        <f t="shared" si="5"/>
        <v>1300</v>
      </c>
      <c r="Z18" s="119">
        <f t="shared" si="5"/>
        <v>1300</v>
      </c>
      <c r="AA18" s="119">
        <f t="shared" si="5"/>
        <v>1300</v>
      </c>
      <c r="AB18" s="120">
        <f t="shared" si="5"/>
        <v>1300</v>
      </c>
      <c r="AC18" s="121">
        <f t="shared" si="5"/>
        <v>1512.3684893371849</v>
      </c>
      <c r="AD18" s="121">
        <f t="shared" si="5"/>
        <v>1512.3684893371849</v>
      </c>
      <c r="AE18" s="121">
        <f t="shared" si="5"/>
        <v>1512.3684893371849</v>
      </c>
      <c r="AF18" s="121">
        <f t="shared" si="5"/>
        <v>1512.3684893371849</v>
      </c>
      <c r="AG18" s="121">
        <f t="shared" si="4"/>
        <v>1512.3684893371849</v>
      </c>
      <c r="AH18" s="121">
        <f t="shared" si="4"/>
        <v>1512.3684893371849</v>
      </c>
      <c r="AI18" s="121">
        <f t="shared" si="4"/>
        <v>1512.3684893371849</v>
      </c>
      <c r="AJ18" s="121">
        <f t="shared" si="4"/>
        <v>1512.3684893371849</v>
      </c>
      <c r="AK18" s="121">
        <f t="shared" si="4"/>
        <v>1512.3684893371849</v>
      </c>
      <c r="AL18" s="121">
        <f t="shared" si="4"/>
        <v>1512.3684893371849</v>
      </c>
      <c r="AM18" s="121">
        <f t="shared" si="4"/>
        <v>1512.3684893371849</v>
      </c>
      <c r="AN18" s="120">
        <f t="shared" si="4"/>
        <v>1512.3684893371849</v>
      </c>
      <c r="AQ18" s="124"/>
      <c r="AR18" s="124"/>
    </row>
    <row r="19" spans="1:44" ht="15" x14ac:dyDescent="0.25">
      <c r="A19" s="96" t="s">
        <v>351</v>
      </c>
      <c r="B19" s="97" t="s">
        <v>352</v>
      </c>
      <c r="C19" s="98">
        <v>6197</v>
      </c>
      <c r="D19" s="99" t="s">
        <v>70</v>
      </c>
      <c r="E19" s="100" t="s">
        <v>94</v>
      </c>
      <c r="F19" s="97" t="s">
        <v>78</v>
      </c>
      <c r="G19" s="101">
        <v>0</v>
      </c>
      <c r="H19" s="102">
        <v>1</v>
      </c>
      <c r="I19" s="49"/>
      <c r="J19" s="103"/>
      <c r="K19" s="119">
        <v>155</v>
      </c>
      <c r="L19" s="119">
        <v>2883.3029999999999</v>
      </c>
      <c r="M19" s="119"/>
      <c r="N19" s="119">
        <f t="shared" si="1"/>
        <v>155</v>
      </c>
      <c r="O19" s="120">
        <f t="shared" si="2"/>
        <v>2883.3029999999999</v>
      </c>
      <c r="P19" s="121"/>
      <c r="Q19" s="122">
        <f t="shared" si="5"/>
        <v>12.916666666666666</v>
      </c>
      <c r="R19" s="119">
        <f t="shared" si="5"/>
        <v>12.916666666666666</v>
      </c>
      <c r="S19" s="119">
        <f t="shared" si="5"/>
        <v>12.916666666666666</v>
      </c>
      <c r="T19" s="119">
        <f t="shared" si="5"/>
        <v>12.916666666666666</v>
      </c>
      <c r="U19" s="119">
        <f t="shared" si="5"/>
        <v>12.916666666666666</v>
      </c>
      <c r="V19" s="119">
        <f t="shared" si="5"/>
        <v>12.916666666666666</v>
      </c>
      <c r="W19" s="119">
        <f t="shared" si="5"/>
        <v>12.916666666666666</v>
      </c>
      <c r="X19" s="119">
        <f t="shared" si="5"/>
        <v>12.916666666666666</v>
      </c>
      <c r="Y19" s="119">
        <f t="shared" si="5"/>
        <v>12.916666666666666</v>
      </c>
      <c r="Z19" s="119">
        <f t="shared" si="5"/>
        <v>12.916666666666666</v>
      </c>
      <c r="AA19" s="119">
        <f t="shared" si="5"/>
        <v>12.916666666666666</v>
      </c>
      <c r="AB19" s="120">
        <f t="shared" si="5"/>
        <v>12.916666666666666</v>
      </c>
      <c r="AC19" s="121">
        <f t="shared" si="5"/>
        <v>240.27525</v>
      </c>
      <c r="AD19" s="121">
        <f t="shared" si="5"/>
        <v>240.27525</v>
      </c>
      <c r="AE19" s="121">
        <f t="shared" si="5"/>
        <v>240.27525</v>
      </c>
      <c r="AF19" s="121">
        <f t="shared" si="5"/>
        <v>240.27525</v>
      </c>
      <c r="AG19" s="121">
        <f t="shared" si="4"/>
        <v>240.27525</v>
      </c>
      <c r="AH19" s="121">
        <f t="shared" si="4"/>
        <v>240.27525</v>
      </c>
      <c r="AI19" s="121">
        <f t="shared" si="4"/>
        <v>240.27525</v>
      </c>
      <c r="AJ19" s="121">
        <f t="shared" si="4"/>
        <v>240.27525</v>
      </c>
      <c r="AK19" s="121">
        <f t="shared" si="4"/>
        <v>240.27525</v>
      </c>
      <c r="AL19" s="121">
        <f t="shared" si="4"/>
        <v>240.27525</v>
      </c>
      <c r="AM19" s="121">
        <f t="shared" si="4"/>
        <v>240.27525</v>
      </c>
      <c r="AN19" s="120">
        <f t="shared" si="4"/>
        <v>240.27525</v>
      </c>
      <c r="AQ19" s="124"/>
      <c r="AR19" s="124"/>
    </row>
    <row r="20" spans="1:44" ht="15" x14ac:dyDescent="0.25">
      <c r="A20" s="96" t="s">
        <v>353</v>
      </c>
      <c r="B20" s="97" t="s">
        <v>354</v>
      </c>
      <c r="C20" s="98">
        <v>6446</v>
      </c>
      <c r="D20" s="99" t="s">
        <v>70</v>
      </c>
      <c r="E20" s="100" t="s">
        <v>94</v>
      </c>
      <c r="F20" s="97" t="s">
        <v>78</v>
      </c>
      <c r="G20" s="101">
        <v>0</v>
      </c>
      <c r="H20" s="102">
        <v>0.26</v>
      </c>
      <c r="I20" s="49"/>
      <c r="J20" s="103"/>
      <c r="K20" s="119">
        <v>472</v>
      </c>
      <c r="L20" s="119">
        <v>0</v>
      </c>
      <c r="M20" s="119"/>
      <c r="N20" s="119">
        <f t="shared" si="1"/>
        <v>122.72</v>
      </c>
      <c r="O20" s="120">
        <f t="shared" si="2"/>
        <v>0</v>
      </c>
      <c r="P20" s="121"/>
      <c r="Q20" s="122">
        <f t="shared" si="5"/>
        <v>10.226666666666667</v>
      </c>
      <c r="R20" s="119">
        <f t="shared" si="5"/>
        <v>10.226666666666667</v>
      </c>
      <c r="S20" s="119">
        <f t="shared" si="5"/>
        <v>10.226666666666667</v>
      </c>
      <c r="T20" s="119">
        <f t="shared" si="5"/>
        <v>10.226666666666667</v>
      </c>
      <c r="U20" s="119">
        <f t="shared" si="5"/>
        <v>10.226666666666667</v>
      </c>
      <c r="V20" s="119">
        <f t="shared" si="5"/>
        <v>10.226666666666667</v>
      </c>
      <c r="W20" s="119">
        <f t="shared" si="5"/>
        <v>10.226666666666667</v>
      </c>
      <c r="X20" s="119">
        <f t="shared" si="5"/>
        <v>10.226666666666667</v>
      </c>
      <c r="Y20" s="119">
        <f t="shared" si="5"/>
        <v>10.226666666666667</v>
      </c>
      <c r="Z20" s="119">
        <f t="shared" si="5"/>
        <v>10.226666666666667</v>
      </c>
      <c r="AA20" s="119">
        <f t="shared" si="5"/>
        <v>10.226666666666667</v>
      </c>
      <c r="AB20" s="120">
        <f t="shared" si="5"/>
        <v>10.226666666666667</v>
      </c>
      <c r="AC20" s="121">
        <f t="shared" si="5"/>
        <v>0</v>
      </c>
      <c r="AD20" s="121">
        <f t="shared" si="5"/>
        <v>0</v>
      </c>
      <c r="AE20" s="121">
        <f t="shared" si="5"/>
        <v>0</v>
      </c>
      <c r="AF20" s="121">
        <f t="shared" si="5"/>
        <v>0</v>
      </c>
      <c r="AG20" s="121">
        <f t="shared" si="4"/>
        <v>0</v>
      </c>
      <c r="AH20" s="121">
        <f t="shared" si="4"/>
        <v>0</v>
      </c>
      <c r="AI20" s="121">
        <f t="shared" si="4"/>
        <v>0</v>
      </c>
      <c r="AJ20" s="121">
        <f t="shared" si="4"/>
        <v>0</v>
      </c>
      <c r="AK20" s="121">
        <f t="shared" si="4"/>
        <v>0</v>
      </c>
      <c r="AL20" s="121">
        <f t="shared" si="4"/>
        <v>0</v>
      </c>
      <c r="AM20" s="121">
        <f t="shared" si="4"/>
        <v>0</v>
      </c>
      <c r="AN20" s="120">
        <f t="shared" si="4"/>
        <v>0</v>
      </c>
      <c r="AQ20" s="124"/>
      <c r="AR20" s="124"/>
    </row>
    <row r="21" spans="1:44" ht="15" x14ac:dyDescent="0.25">
      <c r="A21" s="96" t="s">
        <v>355</v>
      </c>
      <c r="B21" s="97" t="s">
        <v>354</v>
      </c>
      <c r="C21" s="98">
        <v>6446</v>
      </c>
      <c r="D21" s="99" t="s">
        <v>70</v>
      </c>
      <c r="E21" s="100" t="s">
        <v>94</v>
      </c>
      <c r="F21" s="97" t="s">
        <v>78</v>
      </c>
      <c r="G21" s="101">
        <v>0</v>
      </c>
      <c r="H21" s="102">
        <v>1</v>
      </c>
      <c r="I21" s="49"/>
      <c r="J21" s="103"/>
      <c r="K21" s="119">
        <v>0</v>
      </c>
      <c r="L21" s="119">
        <v>2908</v>
      </c>
      <c r="M21" s="119"/>
      <c r="N21" s="119">
        <f t="shared" si="1"/>
        <v>0</v>
      </c>
      <c r="O21" s="120">
        <f t="shared" si="2"/>
        <v>2908</v>
      </c>
      <c r="P21" s="121"/>
      <c r="Q21" s="122">
        <f t="shared" si="5"/>
        <v>0</v>
      </c>
      <c r="R21" s="119">
        <f t="shared" si="5"/>
        <v>0</v>
      </c>
      <c r="S21" s="119">
        <f t="shared" si="5"/>
        <v>0</v>
      </c>
      <c r="T21" s="119">
        <f t="shared" si="5"/>
        <v>0</v>
      </c>
      <c r="U21" s="119">
        <f t="shared" si="5"/>
        <v>0</v>
      </c>
      <c r="V21" s="119">
        <f t="shared" si="5"/>
        <v>0</v>
      </c>
      <c r="W21" s="119">
        <f t="shared" si="5"/>
        <v>0</v>
      </c>
      <c r="X21" s="119">
        <f t="shared" si="5"/>
        <v>0</v>
      </c>
      <c r="Y21" s="119">
        <f t="shared" si="5"/>
        <v>0</v>
      </c>
      <c r="Z21" s="119">
        <f t="shared" si="5"/>
        <v>0</v>
      </c>
      <c r="AA21" s="119">
        <f t="shared" si="5"/>
        <v>0</v>
      </c>
      <c r="AB21" s="120">
        <f t="shared" si="5"/>
        <v>0</v>
      </c>
      <c r="AC21" s="121">
        <f t="shared" si="5"/>
        <v>242.33333333333334</v>
      </c>
      <c r="AD21" s="121">
        <f t="shared" si="5"/>
        <v>242.33333333333334</v>
      </c>
      <c r="AE21" s="121">
        <f t="shared" si="5"/>
        <v>242.33333333333334</v>
      </c>
      <c r="AF21" s="121">
        <f t="shared" si="5"/>
        <v>242.33333333333334</v>
      </c>
      <c r="AG21" s="121">
        <f t="shared" si="4"/>
        <v>242.33333333333334</v>
      </c>
      <c r="AH21" s="121">
        <f t="shared" si="4"/>
        <v>242.33333333333334</v>
      </c>
      <c r="AI21" s="121">
        <f t="shared" si="4"/>
        <v>242.33333333333334</v>
      </c>
      <c r="AJ21" s="121">
        <f t="shared" si="4"/>
        <v>242.33333333333334</v>
      </c>
      <c r="AK21" s="121">
        <f t="shared" si="4"/>
        <v>242.33333333333334</v>
      </c>
      <c r="AL21" s="121">
        <f t="shared" si="4"/>
        <v>242.33333333333334</v>
      </c>
      <c r="AM21" s="121">
        <f t="shared" si="4"/>
        <v>242.33333333333334</v>
      </c>
      <c r="AN21" s="120">
        <f t="shared" si="4"/>
        <v>242.33333333333334</v>
      </c>
      <c r="AQ21" s="124"/>
      <c r="AR21" s="124"/>
    </row>
    <row r="22" spans="1:44" ht="15" x14ac:dyDescent="0.25">
      <c r="A22" s="96" t="s">
        <v>356</v>
      </c>
      <c r="B22" s="97" t="s">
        <v>357</v>
      </c>
      <c r="C22" s="98">
        <v>6446</v>
      </c>
      <c r="D22" s="99" t="s">
        <v>70</v>
      </c>
      <c r="E22" s="100" t="s">
        <v>94</v>
      </c>
      <c r="F22" s="97" t="s">
        <v>78</v>
      </c>
      <c r="G22" s="101">
        <v>0</v>
      </c>
      <c r="H22" s="102">
        <v>1</v>
      </c>
      <c r="I22" s="49"/>
      <c r="J22" s="103"/>
      <c r="K22" s="119">
        <v>450</v>
      </c>
      <c r="L22" s="119">
        <v>420</v>
      </c>
      <c r="M22" s="119"/>
      <c r="N22" s="119">
        <f t="shared" si="1"/>
        <v>450</v>
      </c>
      <c r="O22" s="120">
        <f t="shared" si="2"/>
        <v>420</v>
      </c>
      <c r="P22" s="121"/>
      <c r="Q22" s="122">
        <f t="shared" si="5"/>
        <v>37.5</v>
      </c>
      <c r="R22" s="119">
        <f t="shared" si="5"/>
        <v>37.5</v>
      </c>
      <c r="S22" s="119">
        <f t="shared" si="5"/>
        <v>37.5</v>
      </c>
      <c r="T22" s="119">
        <f t="shared" si="5"/>
        <v>37.5</v>
      </c>
      <c r="U22" s="119">
        <f t="shared" si="5"/>
        <v>37.5</v>
      </c>
      <c r="V22" s="119">
        <f t="shared" si="5"/>
        <v>37.5</v>
      </c>
      <c r="W22" s="119">
        <f t="shared" si="5"/>
        <v>37.5</v>
      </c>
      <c r="X22" s="119">
        <f t="shared" si="5"/>
        <v>37.5</v>
      </c>
      <c r="Y22" s="119">
        <f t="shared" si="5"/>
        <v>37.5</v>
      </c>
      <c r="Z22" s="119">
        <f t="shared" si="5"/>
        <v>37.5</v>
      </c>
      <c r="AA22" s="119">
        <f t="shared" si="5"/>
        <v>37.5</v>
      </c>
      <c r="AB22" s="120">
        <f t="shared" si="5"/>
        <v>37.5</v>
      </c>
      <c r="AC22" s="121">
        <f t="shared" si="5"/>
        <v>35</v>
      </c>
      <c r="AD22" s="121">
        <f t="shared" si="5"/>
        <v>35</v>
      </c>
      <c r="AE22" s="121">
        <f t="shared" si="5"/>
        <v>35</v>
      </c>
      <c r="AF22" s="121">
        <f t="shared" si="5"/>
        <v>35</v>
      </c>
      <c r="AG22" s="121">
        <f t="shared" si="4"/>
        <v>35</v>
      </c>
      <c r="AH22" s="121">
        <f t="shared" si="4"/>
        <v>35</v>
      </c>
      <c r="AI22" s="121">
        <f t="shared" si="4"/>
        <v>35</v>
      </c>
      <c r="AJ22" s="121">
        <f t="shared" si="4"/>
        <v>35</v>
      </c>
      <c r="AK22" s="121">
        <f t="shared" si="4"/>
        <v>35</v>
      </c>
      <c r="AL22" s="121">
        <f t="shared" si="4"/>
        <v>35</v>
      </c>
      <c r="AM22" s="121">
        <f t="shared" si="4"/>
        <v>35</v>
      </c>
      <c r="AN22" s="120">
        <f t="shared" si="4"/>
        <v>35</v>
      </c>
      <c r="AQ22" s="124"/>
      <c r="AR22" s="124"/>
    </row>
    <row r="23" spans="1:44" ht="15" x14ac:dyDescent="0.25">
      <c r="A23" s="96" t="s">
        <v>358</v>
      </c>
      <c r="B23" s="97" t="s">
        <v>359</v>
      </c>
      <c r="C23" s="98">
        <v>6446</v>
      </c>
      <c r="D23" s="99" t="s">
        <v>70</v>
      </c>
      <c r="E23" s="100" t="s">
        <v>94</v>
      </c>
      <c r="F23" s="97" t="s">
        <v>78</v>
      </c>
      <c r="G23" s="101">
        <v>0</v>
      </c>
      <c r="H23" s="102">
        <v>1</v>
      </c>
      <c r="I23" s="49"/>
      <c r="J23" s="103"/>
      <c r="K23" s="119">
        <v>450</v>
      </c>
      <c r="L23" s="119">
        <v>420</v>
      </c>
      <c r="M23" s="119"/>
      <c r="N23" s="119">
        <f t="shared" si="1"/>
        <v>450</v>
      </c>
      <c r="O23" s="120">
        <f t="shared" si="2"/>
        <v>420</v>
      </c>
      <c r="P23" s="121"/>
      <c r="Q23" s="122">
        <f t="shared" si="5"/>
        <v>37.5</v>
      </c>
      <c r="R23" s="119">
        <f t="shared" si="5"/>
        <v>37.5</v>
      </c>
      <c r="S23" s="119">
        <f t="shared" si="5"/>
        <v>37.5</v>
      </c>
      <c r="T23" s="119">
        <f t="shared" si="5"/>
        <v>37.5</v>
      </c>
      <c r="U23" s="119">
        <f t="shared" si="5"/>
        <v>37.5</v>
      </c>
      <c r="V23" s="119">
        <f t="shared" si="5"/>
        <v>37.5</v>
      </c>
      <c r="W23" s="119">
        <f t="shared" si="5"/>
        <v>37.5</v>
      </c>
      <c r="X23" s="119">
        <f t="shared" si="5"/>
        <v>37.5</v>
      </c>
      <c r="Y23" s="119">
        <f t="shared" si="5"/>
        <v>37.5</v>
      </c>
      <c r="Z23" s="119">
        <f t="shared" si="5"/>
        <v>37.5</v>
      </c>
      <c r="AA23" s="119">
        <f t="shared" si="5"/>
        <v>37.5</v>
      </c>
      <c r="AB23" s="120">
        <f t="shared" si="5"/>
        <v>37.5</v>
      </c>
      <c r="AC23" s="121">
        <f t="shared" si="5"/>
        <v>35</v>
      </c>
      <c r="AD23" s="121">
        <f t="shared" si="5"/>
        <v>35</v>
      </c>
      <c r="AE23" s="121">
        <f t="shared" si="5"/>
        <v>35</v>
      </c>
      <c r="AF23" s="121">
        <f t="shared" si="5"/>
        <v>35</v>
      </c>
      <c r="AG23" s="121">
        <f t="shared" si="4"/>
        <v>35</v>
      </c>
      <c r="AH23" s="121">
        <f t="shared" si="4"/>
        <v>35</v>
      </c>
      <c r="AI23" s="121">
        <f t="shared" si="4"/>
        <v>35</v>
      </c>
      <c r="AJ23" s="121">
        <f t="shared" si="4"/>
        <v>35</v>
      </c>
      <c r="AK23" s="121">
        <f t="shared" si="4"/>
        <v>35</v>
      </c>
      <c r="AL23" s="121">
        <f t="shared" si="4"/>
        <v>35</v>
      </c>
      <c r="AM23" s="121">
        <f t="shared" si="4"/>
        <v>35</v>
      </c>
      <c r="AN23" s="120">
        <f t="shared" si="4"/>
        <v>35</v>
      </c>
      <c r="AQ23" s="124"/>
      <c r="AR23" s="124"/>
    </row>
    <row r="24" spans="1:44" ht="15" x14ac:dyDescent="0.25">
      <c r="A24" s="96" t="s">
        <v>360</v>
      </c>
      <c r="B24" s="97" t="s">
        <v>361</v>
      </c>
      <c r="C24" s="98">
        <v>6446</v>
      </c>
      <c r="D24" s="99" t="s">
        <v>70</v>
      </c>
      <c r="E24" s="100" t="s">
        <v>94</v>
      </c>
      <c r="F24" s="97" t="s">
        <v>78</v>
      </c>
      <c r="G24" s="101">
        <v>0</v>
      </c>
      <c r="H24" s="102">
        <v>1</v>
      </c>
      <c r="I24" s="49"/>
      <c r="J24" s="103"/>
      <c r="K24" s="119">
        <v>0</v>
      </c>
      <c r="L24" s="119">
        <v>450</v>
      </c>
      <c r="M24" s="119"/>
      <c r="N24" s="119">
        <f t="shared" si="1"/>
        <v>0</v>
      </c>
      <c r="O24" s="120">
        <f t="shared" si="2"/>
        <v>450</v>
      </c>
      <c r="P24" s="121"/>
      <c r="Q24" s="122">
        <f t="shared" si="5"/>
        <v>0</v>
      </c>
      <c r="R24" s="119">
        <f t="shared" si="5"/>
        <v>0</v>
      </c>
      <c r="S24" s="119">
        <f t="shared" si="5"/>
        <v>0</v>
      </c>
      <c r="T24" s="119">
        <f t="shared" si="5"/>
        <v>0</v>
      </c>
      <c r="U24" s="119">
        <f t="shared" si="5"/>
        <v>0</v>
      </c>
      <c r="V24" s="119">
        <f t="shared" si="5"/>
        <v>0</v>
      </c>
      <c r="W24" s="119">
        <f t="shared" si="5"/>
        <v>0</v>
      </c>
      <c r="X24" s="119">
        <f t="shared" si="5"/>
        <v>0</v>
      </c>
      <c r="Y24" s="119">
        <f t="shared" si="5"/>
        <v>0</v>
      </c>
      <c r="Z24" s="119">
        <f t="shared" si="5"/>
        <v>0</v>
      </c>
      <c r="AA24" s="119">
        <f t="shared" si="5"/>
        <v>0</v>
      </c>
      <c r="AB24" s="120">
        <f t="shared" si="5"/>
        <v>0</v>
      </c>
      <c r="AC24" s="121">
        <f t="shared" si="5"/>
        <v>37.5</v>
      </c>
      <c r="AD24" s="121">
        <f t="shared" si="5"/>
        <v>37.5</v>
      </c>
      <c r="AE24" s="121">
        <f t="shared" si="5"/>
        <v>37.5</v>
      </c>
      <c r="AF24" s="121">
        <f t="shared" si="5"/>
        <v>37.5</v>
      </c>
      <c r="AG24" s="121">
        <f t="shared" si="4"/>
        <v>37.5</v>
      </c>
      <c r="AH24" s="121">
        <f t="shared" si="4"/>
        <v>37.5</v>
      </c>
      <c r="AI24" s="121">
        <f t="shared" si="4"/>
        <v>37.5</v>
      </c>
      <c r="AJ24" s="121">
        <f t="shared" si="4"/>
        <v>37.5</v>
      </c>
      <c r="AK24" s="121">
        <f t="shared" si="4"/>
        <v>37.5</v>
      </c>
      <c r="AL24" s="121">
        <f t="shared" si="4"/>
        <v>37.5</v>
      </c>
      <c r="AM24" s="121">
        <f t="shared" si="4"/>
        <v>37.5</v>
      </c>
      <c r="AN24" s="120">
        <f t="shared" si="4"/>
        <v>37.5</v>
      </c>
      <c r="AQ24" s="124"/>
      <c r="AR24" s="124"/>
    </row>
    <row r="25" spans="1:44" ht="15" x14ac:dyDescent="0.25">
      <c r="A25" s="96" t="s">
        <v>362</v>
      </c>
      <c r="B25" s="97" t="s">
        <v>363</v>
      </c>
      <c r="C25" s="98">
        <v>3364</v>
      </c>
      <c r="D25" s="99" t="s">
        <v>96</v>
      </c>
      <c r="E25" s="100" t="s">
        <v>94</v>
      </c>
      <c r="F25" s="97" t="s">
        <v>71</v>
      </c>
      <c r="G25" s="101">
        <v>0</v>
      </c>
      <c r="H25" s="102">
        <v>8.8999999999999999E-3</v>
      </c>
      <c r="I25" s="49"/>
      <c r="J25" s="103"/>
      <c r="K25" s="119">
        <v>67261.275986760636</v>
      </c>
      <c r="L25" s="119">
        <v>40970.450460966596</v>
      </c>
      <c r="M25" s="119"/>
      <c r="N25" s="119">
        <f t="shared" si="1"/>
        <v>598.62535628216961</v>
      </c>
      <c r="O25" s="120">
        <f t="shared" si="2"/>
        <v>364.63700910260269</v>
      </c>
      <c r="P25" s="121"/>
      <c r="Q25" s="122">
        <f t="shared" si="5"/>
        <v>49.885446356847467</v>
      </c>
      <c r="R25" s="119">
        <f t="shared" si="5"/>
        <v>49.885446356847467</v>
      </c>
      <c r="S25" s="119">
        <f t="shared" si="5"/>
        <v>49.885446356847467</v>
      </c>
      <c r="T25" s="119">
        <f t="shared" si="5"/>
        <v>49.885446356847467</v>
      </c>
      <c r="U25" s="119">
        <f t="shared" si="5"/>
        <v>49.885446356847467</v>
      </c>
      <c r="V25" s="119">
        <f t="shared" si="5"/>
        <v>49.885446356847467</v>
      </c>
      <c r="W25" s="119">
        <f t="shared" si="5"/>
        <v>49.885446356847467</v>
      </c>
      <c r="X25" s="119">
        <f t="shared" si="5"/>
        <v>49.885446356847467</v>
      </c>
      <c r="Y25" s="119">
        <f t="shared" si="5"/>
        <v>49.885446356847467</v>
      </c>
      <c r="Z25" s="119">
        <f t="shared" si="5"/>
        <v>49.885446356847467</v>
      </c>
      <c r="AA25" s="119">
        <f t="shared" si="5"/>
        <v>49.885446356847467</v>
      </c>
      <c r="AB25" s="120">
        <f t="shared" si="5"/>
        <v>49.885446356847467</v>
      </c>
      <c r="AC25" s="121">
        <f t="shared" si="5"/>
        <v>30.386417425216891</v>
      </c>
      <c r="AD25" s="121">
        <f t="shared" si="5"/>
        <v>30.386417425216891</v>
      </c>
      <c r="AE25" s="121">
        <f t="shared" si="5"/>
        <v>30.386417425216891</v>
      </c>
      <c r="AF25" s="121">
        <f t="shared" si="5"/>
        <v>30.386417425216891</v>
      </c>
      <c r="AG25" s="121">
        <f t="shared" si="4"/>
        <v>30.386417425216891</v>
      </c>
      <c r="AH25" s="121">
        <f t="shared" si="4"/>
        <v>30.386417425216891</v>
      </c>
      <c r="AI25" s="121">
        <f t="shared" si="4"/>
        <v>30.386417425216891</v>
      </c>
      <c r="AJ25" s="121">
        <f t="shared" si="4"/>
        <v>30.386417425216891</v>
      </c>
      <c r="AK25" s="121">
        <f t="shared" si="4"/>
        <v>30.386417425216891</v>
      </c>
      <c r="AL25" s="121">
        <f t="shared" si="4"/>
        <v>30.386417425216891</v>
      </c>
      <c r="AM25" s="121">
        <f t="shared" si="4"/>
        <v>30.386417425216891</v>
      </c>
      <c r="AN25" s="120">
        <f t="shared" si="4"/>
        <v>30.386417425216891</v>
      </c>
      <c r="AQ25" s="124"/>
      <c r="AR25" s="124"/>
    </row>
    <row r="26" spans="1:44" ht="15" x14ac:dyDescent="0.25">
      <c r="A26" s="96" t="s">
        <v>364</v>
      </c>
      <c r="B26" s="97" t="s">
        <v>365</v>
      </c>
      <c r="C26" s="98">
        <v>3364</v>
      </c>
      <c r="D26" s="99" t="s">
        <v>96</v>
      </c>
      <c r="E26" s="100" t="s">
        <v>94</v>
      </c>
      <c r="F26" s="97" t="s">
        <v>71</v>
      </c>
      <c r="G26" s="101">
        <v>0</v>
      </c>
      <c r="H26" s="102">
        <v>8.8999999999999999E-3</v>
      </c>
      <c r="I26" s="49"/>
      <c r="J26" s="103"/>
      <c r="K26" s="119">
        <v>20533.998745862704</v>
      </c>
      <c r="L26" s="119">
        <v>45074.879456857816</v>
      </c>
      <c r="M26" s="119"/>
      <c r="N26" s="119">
        <f t="shared" si="1"/>
        <v>182.75258883817807</v>
      </c>
      <c r="O26" s="120">
        <f t="shared" si="2"/>
        <v>401.16642716603457</v>
      </c>
      <c r="P26" s="121"/>
      <c r="Q26" s="122">
        <f t="shared" si="5"/>
        <v>15.229382403181505</v>
      </c>
      <c r="R26" s="119">
        <f t="shared" si="5"/>
        <v>15.229382403181505</v>
      </c>
      <c r="S26" s="119">
        <f t="shared" si="5"/>
        <v>15.229382403181505</v>
      </c>
      <c r="T26" s="119">
        <f t="shared" si="5"/>
        <v>15.229382403181505</v>
      </c>
      <c r="U26" s="119">
        <f t="shared" si="5"/>
        <v>15.229382403181505</v>
      </c>
      <c r="V26" s="119">
        <f t="shared" si="5"/>
        <v>15.229382403181505</v>
      </c>
      <c r="W26" s="119">
        <f t="shared" si="5"/>
        <v>15.229382403181505</v>
      </c>
      <c r="X26" s="119">
        <f t="shared" si="5"/>
        <v>15.229382403181505</v>
      </c>
      <c r="Y26" s="119">
        <f t="shared" si="5"/>
        <v>15.229382403181505</v>
      </c>
      <c r="Z26" s="119">
        <f t="shared" si="5"/>
        <v>15.229382403181505</v>
      </c>
      <c r="AA26" s="119">
        <f t="shared" si="5"/>
        <v>15.229382403181505</v>
      </c>
      <c r="AB26" s="120">
        <f t="shared" si="5"/>
        <v>15.229382403181505</v>
      </c>
      <c r="AC26" s="121">
        <f t="shared" si="5"/>
        <v>33.430535597169545</v>
      </c>
      <c r="AD26" s="121">
        <f t="shared" si="5"/>
        <v>33.430535597169545</v>
      </c>
      <c r="AE26" s="121">
        <f t="shared" si="5"/>
        <v>33.430535597169545</v>
      </c>
      <c r="AF26" s="121">
        <f t="shared" ref="Q26:AF30" si="6">IF(YEAR(AF$8)=YEAR($B$3),$N26/12,$O26/12)</f>
        <v>33.430535597169545</v>
      </c>
      <c r="AG26" s="121">
        <f t="shared" si="4"/>
        <v>33.430535597169545</v>
      </c>
      <c r="AH26" s="121">
        <f t="shared" si="4"/>
        <v>33.430535597169545</v>
      </c>
      <c r="AI26" s="121">
        <f t="shared" si="4"/>
        <v>33.430535597169545</v>
      </c>
      <c r="AJ26" s="121">
        <f t="shared" si="4"/>
        <v>33.430535597169545</v>
      </c>
      <c r="AK26" s="121">
        <f t="shared" si="4"/>
        <v>33.430535597169545</v>
      </c>
      <c r="AL26" s="121">
        <f t="shared" si="4"/>
        <v>33.430535597169545</v>
      </c>
      <c r="AM26" s="121">
        <f t="shared" si="4"/>
        <v>33.430535597169545</v>
      </c>
      <c r="AN26" s="120">
        <f t="shared" si="4"/>
        <v>33.430535597169545</v>
      </c>
      <c r="AQ26" s="124"/>
      <c r="AR26" s="124"/>
    </row>
    <row r="27" spans="1:44" ht="15" x14ac:dyDescent="0.25">
      <c r="A27" s="96" t="s">
        <v>366</v>
      </c>
      <c r="B27" s="97" t="s">
        <v>367</v>
      </c>
      <c r="C27" s="98">
        <v>3367</v>
      </c>
      <c r="D27" s="99" t="s">
        <v>70</v>
      </c>
      <c r="E27" s="100" t="s">
        <v>94</v>
      </c>
      <c r="F27" s="97" t="s">
        <v>78</v>
      </c>
      <c r="G27" s="101">
        <v>0.5</v>
      </c>
      <c r="H27" s="102">
        <v>4.1000000000000002E-2</v>
      </c>
      <c r="I27" s="49"/>
      <c r="J27" s="103"/>
      <c r="K27" s="119">
        <v>793.47210691280407</v>
      </c>
      <c r="L27" s="119">
        <v>816.07882574707992</v>
      </c>
      <c r="M27" s="119"/>
      <c r="N27" s="119">
        <f t="shared" si="1"/>
        <v>16.266178191712484</v>
      </c>
      <c r="O27" s="120">
        <f t="shared" si="2"/>
        <v>16.729615927815139</v>
      </c>
      <c r="P27" s="121"/>
      <c r="Q27" s="122">
        <f t="shared" si="6"/>
        <v>1.3555148493093736</v>
      </c>
      <c r="R27" s="119">
        <f t="shared" si="6"/>
        <v>1.3555148493093736</v>
      </c>
      <c r="S27" s="119">
        <f t="shared" si="6"/>
        <v>1.3555148493093736</v>
      </c>
      <c r="T27" s="119">
        <f t="shared" si="6"/>
        <v>1.3555148493093736</v>
      </c>
      <c r="U27" s="119">
        <f t="shared" si="6"/>
        <v>1.3555148493093736</v>
      </c>
      <c r="V27" s="119">
        <f t="shared" si="6"/>
        <v>1.3555148493093736</v>
      </c>
      <c r="W27" s="119">
        <f t="shared" si="6"/>
        <v>1.3555148493093736</v>
      </c>
      <c r="X27" s="119">
        <f t="shared" si="6"/>
        <v>1.3555148493093736</v>
      </c>
      <c r="Y27" s="119">
        <f t="shared" si="6"/>
        <v>1.3555148493093736</v>
      </c>
      <c r="Z27" s="119">
        <f t="shared" si="6"/>
        <v>1.3555148493093736</v>
      </c>
      <c r="AA27" s="119">
        <f t="shared" si="6"/>
        <v>1.3555148493093736</v>
      </c>
      <c r="AB27" s="120">
        <f t="shared" si="6"/>
        <v>1.3555148493093736</v>
      </c>
      <c r="AC27" s="121">
        <f t="shared" si="6"/>
        <v>1.3941346606512617</v>
      </c>
      <c r="AD27" s="121">
        <f t="shared" si="6"/>
        <v>1.3941346606512617</v>
      </c>
      <c r="AE27" s="121">
        <f t="shared" si="6"/>
        <v>1.3941346606512617</v>
      </c>
      <c r="AF27" s="121">
        <f t="shared" si="6"/>
        <v>1.3941346606512617</v>
      </c>
      <c r="AG27" s="121">
        <f t="shared" si="4"/>
        <v>1.3941346606512617</v>
      </c>
      <c r="AH27" s="121">
        <f t="shared" si="4"/>
        <v>1.3941346606512617</v>
      </c>
      <c r="AI27" s="121">
        <f t="shared" si="4"/>
        <v>1.3941346606512617</v>
      </c>
      <c r="AJ27" s="121">
        <f t="shared" si="4"/>
        <v>1.3941346606512617</v>
      </c>
      <c r="AK27" s="121">
        <f t="shared" si="4"/>
        <v>1.3941346606512617</v>
      </c>
      <c r="AL27" s="121">
        <f t="shared" si="4"/>
        <v>1.3941346606512617</v>
      </c>
      <c r="AM27" s="121">
        <f t="shared" si="4"/>
        <v>1.3941346606512617</v>
      </c>
      <c r="AN27" s="120">
        <f t="shared" si="4"/>
        <v>1.3941346606512617</v>
      </c>
      <c r="AQ27" s="124"/>
      <c r="AR27" s="124"/>
    </row>
    <row r="28" spans="1:44" ht="15" x14ac:dyDescent="0.25">
      <c r="A28" s="96" t="s">
        <v>368</v>
      </c>
      <c r="B28" s="97" t="s">
        <v>369</v>
      </c>
      <c r="C28" s="98">
        <v>3363</v>
      </c>
      <c r="D28" s="99" t="s">
        <v>70</v>
      </c>
      <c r="E28" s="100" t="s">
        <v>94</v>
      </c>
      <c r="F28" s="97" t="s">
        <v>78</v>
      </c>
      <c r="G28" s="101">
        <v>0</v>
      </c>
      <c r="H28" s="102">
        <v>9.6100000000000005E-2</v>
      </c>
      <c r="I28" s="49"/>
      <c r="J28" s="103"/>
      <c r="K28" s="119">
        <v>8799.0084250846812</v>
      </c>
      <c r="L28" s="119">
        <v>9049.6999210469621</v>
      </c>
      <c r="M28" s="119"/>
      <c r="N28" s="119">
        <f t="shared" si="1"/>
        <v>845.58470965063793</v>
      </c>
      <c r="O28" s="120">
        <f t="shared" si="2"/>
        <v>869.67616241261305</v>
      </c>
      <c r="P28" s="121"/>
      <c r="Q28" s="122">
        <f t="shared" si="6"/>
        <v>70.465392470886499</v>
      </c>
      <c r="R28" s="119">
        <f t="shared" si="6"/>
        <v>70.465392470886499</v>
      </c>
      <c r="S28" s="119">
        <f t="shared" si="6"/>
        <v>70.465392470886499</v>
      </c>
      <c r="T28" s="119">
        <f t="shared" si="6"/>
        <v>70.465392470886499</v>
      </c>
      <c r="U28" s="119">
        <f t="shared" si="6"/>
        <v>70.465392470886499</v>
      </c>
      <c r="V28" s="119">
        <f t="shared" si="6"/>
        <v>70.465392470886499</v>
      </c>
      <c r="W28" s="119">
        <f t="shared" si="6"/>
        <v>70.465392470886499</v>
      </c>
      <c r="X28" s="119">
        <f t="shared" si="6"/>
        <v>70.465392470886499</v>
      </c>
      <c r="Y28" s="119">
        <f t="shared" si="6"/>
        <v>70.465392470886499</v>
      </c>
      <c r="Z28" s="119">
        <f t="shared" si="6"/>
        <v>70.465392470886499</v>
      </c>
      <c r="AA28" s="119">
        <f t="shared" si="6"/>
        <v>70.465392470886499</v>
      </c>
      <c r="AB28" s="120">
        <f t="shared" si="6"/>
        <v>70.465392470886499</v>
      </c>
      <c r="AC28" s="121">
        <f t="shared" si="6"/>
        <v>72.473013534384421</v>
      </c>
      <c r="AD28" s="121">
        <f t="shared" si="6"/>
        <v>72.473013534384421</v>
      </c>
      <c r="AE28" s="121">
        <f t="shared" si="6"/>
        <v>72.473013534384421</v>
      </c>
      <c r="AF28" s="121">
        <f t="shared" si="6"/>
        <v>72.473013534384421</v>
      </c>
      <c r="AG28" s="121">
        <f t="shared" si="4"/>
        <v>72.473013534384421</v>
      </c>
      <c r="AH28" s="121">
        <f t="shared" si="4"/>
        <v>72.473013534384421</v>
      </c>
      <c r="AI28" s="121">
        <f t="shared" si="4"/>
        <v>72.473013534384421</v>
      </c>
      <c r="AJ28" s="121">
        <f t="shared" si="4"/>
        <v>72.473013534384421</v>
      </c>
      <c r="AK28" s="121">
        <f t="shared" si="4"/>
        <v>72.473013534384421</v>
      </c>
      <c r="AL28" s="121">
        <f t="shared" si="4"/>
        <v>72.473013534384421</v>
      </c>
      <c r="AM28" s="121">
        <f t="shared" si="4"/>
        <v>72.473013534384421</v>
      </c>
      <c r="AN28" s="120">
        <f t="shared" si="4"/>
        <v>72.473013534384421</v>
      </c>
      <c r="AQ28" s="124"/>
      <c r="AR28" s="124"/>
    </row>
    <row r="29" spans="1:44" ht="15" x14ac:dyDescent="0.25">
      <c r="A29" s="96" t="s">
        <v>101</v>
      </c>
      <c r="B29" s="97" t="s">
        <v>370</v>
      </c>
      <c r="C29" s="98">
        <v>6428</v>
      </c>
      <c r="D29" s="99" t="s">
        <v>70</v>
      </c>
      <c r="E29" s="100" t="s">
        <v>94</v>
      </c>
      <c r="F29" s="97" t="s">
        <v>78</v>
      </c>
      <c r="G29" s="101">
        <v>0</v>
      </c>
      <c r="H29" s="102">
        <v>1</v>
      </c>
      <c r="I29" s="49"/>
      <c r="J29" s="103"/>
      <c r="K29" s="119">
        <v>13232.617321445183</v>
      </c>
      <c r="L29" s="119">
        <v>13832.786616704705</v>
      </c>
      <c r="M29" s="119"/>
      <c r="N29" s="119">
        <f t="shared" si="1"/>
        <v>13232.617321445183</v>
      </c>
      <c r="O29" s="120">
        <f t="shared" si="2"/>
        <v>13832.786616704705</v>
      </c>
      <c r="P29" s="121"/>
      <c r="Q29" s="122">
        <f t="shared" si="6"/>
        <v>1102.7181101204319</v>
      </c>
      <c r="R29" s="119">
        <f t="shared" si="6"/>
        <v>1102.7181101204319</v>
      </c>
      <c r="S29" s="119">
        <f t="shared" si="6"/>
        <v>1102.7181101204319</v>
      </c>
      <c r="T29" s="119">
        <f t="shared" si="6"/>
        <v>1102.7181101204319</v>
      </c>
      <c r="U29" s="119">
        <f t="shared" si="6"/>
        <v>1102.7181101204319</v>
      </c>
      <c r="V29" s="119">
        <f t="shared" si="6"/>
        <v>1102.7181101204319</v>
      </c>
      <c r="W29" s="119">
        <f t="shared" si="6"/>
        <v>1102.7181101204319</v>
      </c>
      <c r="X29" s="119">
        <f t="shared" si="6"/>
        <v>1102.7181101204319</v>
      </c>
      <c r="Y29" s="119">
        <f t="shared" si="6"/>
        <v>1102.7181101204319</v>
      </c>
      <c r="Z29" s="119">
        <f t="shared" si="6"/>
        <v>1102.7181101204319</v>
      </c>
      <c r="AA29" s="119">
        <f t="shared" si="6"/>
        <v>1102.7181101204319</v>
      </c>
      <c r="AB29" s="120">
        <f t="shared" si="6"/>
        <v>1102.7181101204319</v>
      </c>
      <c r="AC29" s="121">
        <f t="shared" si="6"/>
        <v>1152.7322180587255</v>
      </c>
      <c r="AD29" s="121">
        <f t="shared" si="6"/>
        <v>1152.7322180587255</v>
      </c>
      <c r="AE29" s="121">
        <f t="shared" si="6"/>
        <v>1152.7322180587255</v>
      </c>
      <c r="AF29" s="121">
        <f t="shared" si="6"/>
        <v>1152.7322180587255</v>
      </c>
      <c r="AG29" s="121">
        <f t="shared" si="4"/>
        <v>1152.7322180587255</v>
      </c>
      <c r="AH29" s="121">
        <f t="shared" si="4"/>
        <v>1152.7322180587255</v>
      </c>
      <c r="AI29" s="121">
        <f t="shared" si="4"/>
        <v>1152.7322180587255</v>
      </c>
      <c r="AJ29" s="121">
        <f t="shared" si="4"/>
        <v>1152.7322180587255</v>
      </c>
      <c r="AK29" s="121">
        <f t="shared" si="4"/>
        <v>1152.7322180587255</v>
      </c>
      <c r="AL29" s="121">
        <f t="shared" si="4"/>
        <v>1152.7322180587255</v>
      </c>
      <c r="AM29" s="121">
        <f t="shared" si="4"/>
        <v>1152.7322180587255</v>
      </c>
      <c r="AN29" s="120">
        <f t="shared" ref="AG29:AN30" si="7">IF(YEAR(AN$8)=YEAR($B$3),$N29/12,$O29/12)</f>
        <v>1152.7322180587255</v>
      </c>
      <c r="AQ29" s="124"/>
      <c r="AR29" s="124"/>
    </row>
    <row r="30" spans="1:44" ht="15" x14ac:dyDescent="0.25">
      <c r="A30" s="96" t="s">
        <v>371</v>
      </c>
      <c r="B30" s="97" t="s">
        <v>372</v>
      </c>
      <c r="C30" s="98">
        <v>3363</v>
      </c>
      <c r="D30" s="99" t="s">
        <v>70</v>
      </c>
      <c r="E30" s="100" t="s">
        <v>94</v>
      </c>
      <c r="F30" s="97" t="s">
        <v>78</v>
      </c>
      <c r="G30" s="101">
        <v>0</v>
      </c>
      <c r="H30" s="102">
        <v>0.13789999999999999</v>
      </c>
      <c r="I30" s="49"/>
      <c r="J30" s="103"/>
      <c r="K30" s="119">
        <v>21638</v>
      </c>
      <c r="L30" s="119">
        <v>19000</v>
      </c>
      <c r="M30" s="119"/>
      <c r="N30" s="119">
        <f t="shared" si="1"/>
        <v>2983.8802000000001</v>
      </c>
      <c r="O30" s="120">
        <f t="shared" si="2"/>
        <v>2620.1</v>
      </c>
      <c r="P30" s="121"/>
      <c r="Q30" s="122">
        <f t="shared" si="6"/>
        <v>248.65668333333335</v>
      </c>
      <c r="R30" s="119">
        <f t="shared" si="6"/>
        <v>248.65668333333335</v>
      </c>
      <c r="S30" s="119">
        <f t="shared" si="6"/>
        <v>248.65668333333335</v>
      </c>
      <c r="T30" s="119">
        <f t="shared" si="6"/>
        <v>248.65668333333335</v>
      </c>
      <c r="U30" s="119">
        <f t="shared" si="6"/>
        <v>248.65668333333335</v>
      </c>
      <c r="V30" s="119">
        <f t="shared" si="6"/>
        <v>248.65668333333335</v>
      </c>
      <c r="W30" s="119">
        <f t="shared" si="6"/>
        <v>248.65668333333335</v>
      </c>
      <c r="X30" s="119">
        <f t="shared" si="6"/>
        <v>248.65668333333335</v>
      </c>
      <c r="Y30" s="119">
        <f t="shared" si="6"/>
        <v>248.65668333333335</v>
      </c>
      <c r="Z30" s="119">
        <f t="shared" si="6"/>
        <v>248.65668333333335</v>
      </c>
      <c r="AA30" s="119">
        <f t="shared" si="6"/>
        <v>248.65668333333335</v>
      </c>
      <c r="AB30" s="120">
        <f t="shared" si="6"/>
        <v>248.65668333333335</v>
      </c>
      <c r="AC30" s="121">
        <f t="shared" si="6"/>
        <v>218.34166666666667</v>
      </c>
      <c r="AD30" s="121">
        <f t="shared" si="6"/>
        <v>218.34166666666667</v>
      </c>
      <c r="AE30" s="121">
        <f t="shared" si="6"/>
        <v>218.34166666666667</v>
      </c>
      <c r="AF30" s="121">
        <f t="shared" si="6"/>
        <v>218.34166666666667</v>
      </c>
      <c r="AG30" s="121">
        <f t="shared" si="7"/>
        <v>218.34166666666667</v>
      </c>
      <c r="AH30" s="121">
        <f t="shared" si="7"/>
        <v>218.34166666666667</v>
      </c>
      <c r="AI30" s="121">
        <f t="shared" si="7"/>
        <v>218.34166666666667</v>
      </c>
      <c r="AJ30" s="121">
        <f t="shared" si="7"/>
        <v>218.34166666666667</v>
      </c>
      <c r="AK30" s="121">
        <f t="shared" si="7"/>
        <v>218.34166666666667</v>
      </c>
      <c r="AL30" s="121">
        <f t="shared" si="7"/>
        <v>218.34166666666667</v>
      </c>
      <c r="AM30" s="121">
        <f t="shared" si="7"/>
        <v>218.34166666666667</v>
      </c>
      <c r="AN30" s="120">
        <f t="shared" si="7"/>
        <v>218.34166666666667</v>
      </c>
      <c r="AQ30" s="124"/>
      <c r="AR30" s="124"/>
    </row>
    <row r="31" spans="1:44" ht="15" x14ac:dyDescent="0.25">
      <c r="A31" s="96" t="s">
        <v>103</v>
      </c>
      <c r="B31" s="97" t="s">
        <v>373</v>
      </c>
      <c r="C31" s="98">
        <v>3364</v>
      </c>
      <c r="D31" s="99" t="s">
        <v>70</v>
      </c>
      <c r="E31" s="100" t="s">
        <v>94</v>
      </c>
      <c r="F31" s="97" t="s">
        <v>71</v>
      </c>
      <c r="G31" s="101">
        <v>0</v>
      </c>
      <c r="H31" s="102">
        <v>0.2495</v>
      </c>
      <c r="I31" s="49"/>
      <c r="J31" s="103"/>
      <c r="K31" s="119">
        <v>4600</v>
      </c>
      <c r="L31" s="119">
        <v>4700</v>
      </c>
      <c r="M31" s="119"/>
      <c r="N31" s="119">
        <f t="shared" si="1"/>
        <v>1147.7</v>
      </c>
      <c r="O31" s="120">
        <f t="shared" si="2"/>
        <v>1172.6500000000001</v>
      </c>
      <c r="P31" s="121"/>
      <c r="Q31" s="122">
        <f t="shared" si="3"/>
        <v>95.641666666666666</v>
      </c>
      <c r="R31" s="119">
        <f t="shared" si="3"/>
        <v>95.641666666666666</v>
      </c>
      <c r="S31" s="119">
        <f t="shared" si="3"/>
        <v>95.641666666666666</v>
      </c>
      <c r="T31" s="119">
        <f t="shared" si="3"/>
        <v>95.641666666666666</v>
      </c>
      <c r="U31" s="119">
        <f t="shared" si="3"/>
        <v>95.641666666666666</v>
      </c>
      <c r="V31" s="119">
        <f t="shared" si="3"/>
        <v>95.641666666666666</v>
      </c>
      <c r="W31" s="119">
        <f t="shared" si="3"/>
        <v>95.641666666666666</v>
      </c>
      <c r="X31" s="119">
        <f t="shared" si="3"/>
        <v>95.641666666666666</v>
      </c>
      <c r="Y31" s="119">
        <f t="shared" si="3"/>
        <v>95.641666666666666</v>
      </c>
      <c r="Z31" s="119">
        <f t="shared" si="3"/>
        <v>95.641666666666666</v>
      </c>
      <c r="AA31" s="119">
        <f t="shared" si="3"/>
        <v>95.641666666666666</v>
      </c>
      <c r="AB31" s="120">
        <f t="shared" si="3"/>
        <v>95.641666666666666</v>
      </c>
      <c r="AC31" s="121">
        <f t="shared" si="3"/>
        <v>97.720833333333346</v>
      </c>
      <c r="AD31" s="121">
        <f t="shared" si="3"/>
        <v>97.720833333333346</v>
      </c>
      <c r="AE31" s="121">
        <f t="shared" si="3"/>
        <v>97.720833333333346</v>
      </c>
      <c r="AF31" s="121">
        <f t="shared" si="3"/>
        <v>97.720833333333346</v>
      </c>
      <c r="AG31" s="121">
        <f t="shared" si="4"/>
        <v>97.720833333333346</v>
      </c>
      <c r="AH31" s="121">
        <f t="shared" si="4"/>
        <v>97.720833333333346</v>
      </c>
      <c r="AI31" s="121">
        <f t="shared" si="4"/>
        <v>97.720833333333346</v>
      </c>
      <c r="AJ31" s="121">
        <f t="shared" si="4"/>
        <v>97.720833333333346</v>
      </c>
      <c r="AK31" s="121">
        <f t="shared" si="4"/>
        <v>97.720833333333346</v>
      </c>
      <c r="AL31" s="121">
        <f t="shared" si="4"/>
        <v>97.720833333333346</v>
      </c>
      <c r="AM31" s="121">
        <f t="shared" si="4"/>
        <v>97.720833333333346</v>
      </c>
      <c r="AN31" s="120">
        <f t="shared" si="4"/>
        <v>97.720833333333346</v>
      </c>
      <c r="AQ31" s="124"/>
      <c r="AR31" s="124"/>
    </row>
    <row r="32" spans="1:44" ht="15" x14ac:dyDescent="0.25">
      <c r="A32" s="96" t="s">
        <v>102</v>
      </c>
      <c r="B32" s="97" t="s">
        <v>374</v>
      </c>
      <c r="C32" s="98">
        <v>3364</v>
      </c>
      <c r="D32" s="99" t="s">
        <v>70</v>
      </c>
      <c r="E32" s="100" t="s">
        <v>94</v>
      </c>
      <c r="F32" s="97" t="s">
        <v>71</v>
      </c>
      <c r="G32" s="101">
        <v>0</v>
      </c>
      <c r="H32" s="102">
        <v>0.25729999999999997</v>
      </c>
      <c r="I32" s="49"/>
      <c r="J32" s="103"/>
      <c r="K32" s="119">
        <v>28000</v>
      </c>
      <c r="L32" s="119">
        <v>26673.4</v>
      </c>
      <c r="M32" s="119"/>
      <c r="N32" s="119">
        <f t="shared" si="1"/>
        <v>7204.4</v>
      </c>
      <c r="O32" s="120">
        <f t="shared" si="2"/>
        <v>6863.0658199999998</v>
      </c>
      <c r="P32" s="121"/>
      <c r="Q32" s="122">
        <f t="shared" si="3"/>
        <v>600.36666666666667</v>
      </c>
      <c r="R32" s="119">
        <f t="shared" si="3"/>
        <v>600.36666666666667</v>
      </c>
      <c r="S32" s="119">
        <f t="shared" si="3"/>
        <v>600.36666666666667</v>
      </c>
      <c r="T32" s="119">
        <f t="shared" si="3"/>
        <v>600.36666666666667</v>
      </c>
      <c r="U32" s="119">
        <f t="shared" si="3"/>
        <v>600.36666666666667</v>
      </c>
      <c r="V32" s="119">
        <f t="shared" si="3"/>
        <v>600.36666666666667</v>
      </c>
      <c r="W32" s="119">
        <f t="shared" si="3"/>
        <v>600.36666666666667</v>
      </c>
      <c r="X32" s="119">
        <f t="shared" si="3"/>
        <v>600.36666666666667</v>
      </c>
      <c r="Y32" s="119">
        <f t="shared" si="3"/>
        <v>600.36666666666667</v>
      </c>
      <c r="Z32" s="119">
        <f t="shared" si="3"/>
        <v>600.36666666666667</v>
      </c>
      <c r="AA32" s="119">
        <f t="shared" si="3"/>
        <v>600.36666666666667</v>
      </c>
      <c r="AB32" s="120">
        <f t="shared" si="3"/>
        <v>600.36666666666667</v>
      </c>
      <c r="AC32" s="121">
        <f t="shared" si="3"/>
        <v>571.92215166666665</v>
      </c>
      <c r="AD32" s="121">
        <f t="shared" si="3"/>
        <v>571.92215166666665</v>
      </c>
      <c r="AE32" s="121">
        <f t="shared" si="3"/>
        <v>571.92215166666665</v>
      </c>
      <c r="AF32" s="121">
        <f t="shared" si="3"/>
        <v>571.92215166666665</v>
      </c>
      <c r="AG32" s="121">
        <f t="shared" si="4"/>
        <v>571.92215166666665</v>
      </c>
      <c r="AH32" s="121">
        <f t="shared" si="4"/>
        <v>571.92215166666665</v>
      </c>
      <c r="AI32" s="121">
        <f t="shared" si="4"/>
        <v>571.92215166666665</v>
      </c>
      <c r="AJ32" s="121">
        <f t="shared" si="4"/>
        <v>571.92215166666665</v>
      </c>
      <c r="AK32" s="121">
        <f t="shared" si="4"/>
        <v>571.92215166666665</v>
      </c>
      <c r="AL32" s="121">
        <f t="shared" si="4"/>
        <v>571.92215166666665</v>
      </c>
      <c r="AM32" s="121">
        <f t="shared" si="4"/>
        <v>571.92215166666665</v>
      </c>
      <c r="AN32" s="120">
        <f t="shared" si="4"/>
        <v>571.92215166666665</v>
      </c>
      <c r="AQ32" s="124"/>
      <c r="AR32" s="124"/>
    </row>
    <row r="33" spans="1:44" ht="15" x14ac:dyDescent="0.25">
      <c r="A33" s="96" t="s">
        <v>105</v>
      </c>
      <c r="B33" s="97" t="s">
        <v>375</v>
      </c>
      <c r="C33" s="98">
        <v>3367</v>
      </c>
      <c r="D33" s="99" t="s">
        <v>70</v>
      </c>
      <c r="E33" s="100" t="s">
        <v>94</v>
      </c>
      <c r="F33" s="97" t="s">
        <v>71</v>
      </c>
      <c r="G33" s="101">
        <v>0.5</v>
      </c>
      <c r="H33" s="102">
        <v>6.6900000000000001E-2</v>
      </c>
      <c r="I33" s="49"/>
      <c r="J33" s="103"/>
      <c r="K33" s="119">
        <v>2400</v>
      </c>
      <c r="L33" s="119">
        <v>2400</v>
      </c>
      <c r="M33" s="119"/>
      <c r="N33" s="119">
        <f t="shared" si="1"/>
        <v>80.28</v>
      </c>
      <c r="O33" s="120">
        <f t="shared" si="2"/>
        <v>80.28</v>
      </c>
      <c r="P33" s="121"/>
      <c r="Q33" s="122">
        <f t="shared" si="3"/>
        <v>6.69</v>
      </c>
      <c r="R33" s="119">
        <f t="shared" si="3"/>
        <v>6.69</v>
      </c>
      <c r="S33" s="119">
        <f t="shared" si="3"/>
        <v>6.69</v>
      </c>
      <c r="T33" s="119">
        <f t="shared" si="3"/>
        <v>6.69</v>
      </c>
      <c r="U33" s="119">
        <f t="shared" si="3"/>
        <v>6.69</v>
      </c>
      <c r="V33" s="119">
        <f t="shared" si="3"/>
        <v>6.69</v>
      </c>
      <c r="W33" s="119">
        <f t="shared" si="3"/>
        <v>6.69</v>
      </c>
      <c r="X33" s="119">
        <f t="shared" si="3"/>
        <v>6.69</v>
      </c>
      <c r="Y33" s="119">
        <f t="shared" si="3"/>
        <v>6.69</v>
      </c>
      <c r="Z33" s="119">
        <f t="shared" si="3"/>
        <v>6.69</v>
      </c>
      <c r="AA33" s="119">
        <f t="shared" si="3"/>
        <v>6.69</v>
      </c>
      <c r="AB33" s="120">
        <f t="shared" si="3"/>
        <v>6.69</v>
      </c>
      <c r="AC33" s="121">
        <f t="shared" si="3"/>
        <v>6.69</v>
      </c>
      <c r="AD33" s="121">
        <f t="shared" si="3"/>
        <v>6.69</v>
      </c>
      <c r="AE33" s="121">
        <f t="shared" si="3"/>
        <v>6.69</v>
      </c>
      <c r="AF33" s="121">
        <f t="shared" si="3"/>
        <v>6.69</v>
      </c>
      <c r="AG33" s="121">
        <f t="shared" si="4"/>
        <v>6.69</v>
      </c>
      <c r="AH33" s="121">
        <f t="shared" si="4"/>
        <v>6.69</v>
      </c>
      <c r="AI33" s="121">
        <f t="shared" si="4"/>
        <v>6.69</v>
      </c>
      <c r="AJ33" s="121">
        <f t="shared" si="4"/>
        <v>6.69</v>
      </c>
      <c r="AK33" s="121">
        <f t="shared" si="4"/>
        <v>6.69</v>
      </c>
      <c r="AL33" s="121">
        <f t="shared" si="4"/>
        <v>6.69</v>
      </c>
      <c r="AM33" s="121">
        <f t="shared" si="4"/>
        <v>6.69</v>
      </c>
      <c r="AN33" s="120">
        <f t="shared" si="4"/>
        <v>6.69</v>
      </c>
      <c r="AQ33" s="124"/>
      <c r="AR33" s="124"/>
    </row>
    <row r="34" spans="1:44" ht="15" x14ac:dyDescent="0.25">
      <c r="A34" s="96" t="s">
        <v>104</v>
      </c>
      <c r="B34" s="97" t="s">
        <v>376</v>
      </c>
      <c r="C34" s="98" t="s">
        <v>377</v>
      </c>
      <c r="D34" s="99" t="s">
        <v>70</v>
      </c>
      <c r="E34" s="100" t="s">
        <v>94</v>
      </c>
      <c r="F34" s="97" t="s">
        <v>71</v>
      </c>
      <c r="G34" s="101">
        <v>0</v>
      </c>
      <c r="H34" s="102">
        <v>1</v>
      </c>
      <c r="I34" s="49"/>
      <c r="J34" s="103"/>
      <c r="K34" s="119">
        <v>18989.75</v>
      </c>
      <c r="L34" s="119">
        <v>60450</v>
      </c>
      <c r="M34" s="119"/>
      <c r="N34" s="119">
        <f t="shared" si="1"/>
        <v>18989.75</v>
      </c>
      <c r="O34" s="120">
        <f t="shared" si="2"/>
        <v>60450</v>
      </c>
      <c r="P34" s="121"/>
      <c r="Q34" s="122">
        <f t="shared" si="3"/>
        <v>1582.4791666666667</v>
      </c>
      <c r="R34" s="119">
        <f t="shared" si="3"/>
        <v>1582.4791666666667</v>
      </c>
      <c r="S34" s="119">
        <f t="shared" si="3"/>
        <v>1582.4791666666667</v>
      </c>
      <c r="T34" s="119">
        <f t="shared" si="3"/>
        <v>1582.4791666666667</v>
      </c>
      <c r="U34" s="119">
        <f t="shared" si="3"/>
        <v>1582.4791666666667</v>
      </c>
      <c r="V34" s="119">
        <f t="shared" si="3"/>
        <v>1582.4791666666667</v>
      </c>
      <c r="W34" s="119">
        <f t="shared" si="3"/>
        <v>1582.4791666666667</v>
      </c>
      <c r="X34" s="119">
        <f t="shared" si="3"/>
        <v>1582.4791666666667</v>
      </c>
      <c r="Y34" s="119">
        <f t="shared" si="3"/>
        <v>1582.4791666666667</v>
      </c>
      <c r="Z34" s="119">
        <f t="shared" si="3"/>
        <v>1582.4791666666667</v>
      </c>
      <c r="AA34" s="119">
        <f t="shared" si="3"/>
        <v>1582.4791666666667</v>
      </c>
      <c r="AB34" s="120">
        <f t="shared" si="3"/>
        <v>1582.4791666666667</v>
      </c>
      <c r="AC34" s="121">
        <f t="shared" si="3"/>
        <v>5037.5</v>
      </c>
      <c r="AD34" s="121">
        <f t="shared" si="3"/>
        <v>5037.5</v>
      </c>
      <c r="AE34" s="121">
        <f t="shared" si="3"/>
        <v>5037.5</v>
      </c>
      <c r="AF34" s="121">
        <f t="shared" si="3"/>
        <v>5037.5</v>
      </c>
      <c r="AG34" s="121">
        <f t="shared" si="4"/>
        <v>5037.5</v>
      </c>
      <c r="AH34" s="121">
        <f t="shared" si="4"/>
        <v>5037.5</v>
      </c>
      <c r="AI34" s="121">
        <f t="shared" si="4"/>
        <v>5037.5</v>
      </c>
      <c r="AJ34" s="121">
        <f t="shared" si="4"/>
        <v>5037.5</v>
      </c>
      <c r="AK34" s="121">
        <f t="shared" si="4"/>
        <v>5037.5</v>
      </c>
      <c r="AL34" s="121">
        <f t="shared" si="4"/>
        <v>5037.5</v>
      </c>
      <c r="AM34" s="121">
        <f t="shared" si="4"/>
        <v>5037.5</v>
      </c>
      <c r="AN34" s="120">
        <f t="shared" si="4"/>
        <v>5037.5</v>
      </c>
      <c r="AQ34" s="124"/>
      <c r="AR34" s="124"/>
    </row>
    <row r="35" spans="1:44" ht="15" x14ac:dyDescent="0.25">
      <c r="A35" s="96" t="s">
        <v>106</v>
      </c>
      <c r="B35" s="97" t="s">
        <v>378</v>
      </c>
      <c r="C35" s="98">
        <v>3367</v>
      </c>
      <c r="D35" s="99" t="s">
        <v>70</v>
      </c>
      <c r="E35" s="100" t="s">
        <v>94</v>
      </c>
      <c r="F35" s="97" t="s">
        <v>71</v>
      </c>
      <c r="G35" s="101">
        <v>0</v>
      </c>
      <c r="H35" s="102">
        <v>0.21709999999999999</v>
      </c>
      <c r="I35" s="49"/>
      <c r="J35" s="103"/>
      <c r="K35" s="119">
        <v>4700</v>
      </c>
      <c r="L35" s="119">
        <v>4800</v>
      </c>
      <c r="M35" s="119"/>
      <c r="N35" s="119">
        <f t="shared" si="1"/>
        <v>1020.3699999999999</v>
      </c>
      <c r="O35" s="120">
        <f t="shared" si="2"/>
        <v>1042.08</v>
      </c>
      <c r="P35" s="121"/>
      <c r="Q35" s="122">
        <f t="shared" si="3"/>
        <v>85.03083333333332</v>
      </c>
      <c r="R35" s="119">
        <f t="shared" si="3"/>
        <v>85.03083333333332</v>
      </c>
      <c r="S35" s="119">
        <f t="shared" si="3"/>
        <v>85.03083333333332</v>
      </c>
      <c r="T35" s="119">
        <f t="shared" si="3"/>
        <v>85.03083333333332</v>
      </c>
      <c r="U35" s="119">
        <f t="shared" si="3"/>
        <v>85.03083333333332</v>
      </c>
      <c r="V35" s="119">
        <f t="shared" si="3"/>
        <v>85.03083333333332</v>
      </c>
      <c r="W35" s="119">
        <f t="shared" si="3"/>
        <v>85.03083333333332</v>
      </c>
      <c r="X35" s="119">
        <f t="shared" si="3"/>
        <v>85.03083333333332</v>
      </c>
      <c r="Y35" s="119">
        <f t="shared" si="3"/>
        <v>85.03083333333332</v>
      </c>
      <c r="Z35" s="119">
        <f t="shared" si="3"/>
        <v>85.03083333333332</v>
      </c>
      <c r="AA35" s="119">
        <f t="shared" si="3"/>
        <v>85.03083333333332</v>
      </c>
      <c r="AB35" s="120">
        <f t="shared" si="3"/>
        <v>85.03083333333332</v>
      </c>
      <c r="AC35" s="121">
        <f t="shared" si="3"/>
        <v>86.839999999999989</v>
      </c>
      <c r="AD35" s="121">
        <f t="shared" si="3"/>
        <v>86.839999999999989</v>
      </c>
      <c r="AE35" s="121">
        <f t="shared" si="3"/>
        <v>86.839999999999989</v>
      </c>
      <c r="AF35" s="121">
        <f t="shared" si="3"/>
        <v>86.839999999999989</v>
      </c>
      <c r="AG35" s="121">
        <f t="shared" si="4"/>
        <v>86.839999999999989</v>
      </c>
      <c r="AH35" s="121">
        <f t="shared" si="4"/>
        <v>86.839999999999989</v>
      </c>
      <c r="AI35" s="121">
        <f t="shared" si="4"/>
        <v>86.839999999999989</v>
      </c>
      <c r="AJ35" s="121">
        <f t="shared" si="4"/>
        <v>86.839999999999989</v>
      </c>
      <c r="AK35" s="121">
        <f t="shared" si="4"/>
        <v>86.839999999999989</v>
      </c>
      <c r="AL35" s="121">
        <f t="shared" si="4"/>
        <v>86.839999999999989</v>
      </c>
      <c r="AM35" s="121">
        <f t="shared" si="4"/>
        <v>86.839999999999989</v>
      </c>
      <c r="AN35" s="120">
        <f t="shared" si="4"/>
        <v>86.839999999999989</v>
      </c>
      <c r="AQ35" s="124"/>
      <c r="AR35" s="124"/>
    </row>
    <row r="36" spans="1:44" ht="15" x14ac:dyDescent="0.25">
      <c r="A36" s="96" t="s">
        <v>379</v>
      </c>
      <c r="B36" s="97" t="s">
        <v>380</v>
      </c>
      <c r="C36" s="98">
        <v>3363</v>
      </c>
      <c r="D36" s="99" t="s">
        <v>70</v>
      </c>
      <c r="E36" s="100" t="s">
        <v>94</v>
      </c>
      <c r="F36" s="97" t="s">
        <v>78</v>
      </c>
      <c r="G36" s="101">
        <v>0</v>
      </c>
      <c r="H36" s="102">
        <v>1</v>
      </c>
      <c r="I36" s="49"/>
      <c r="J36" s="103"/>
      <c r="K36" s="119">
        <v>6232.796234099821</v>
      </c>
      <c r="L36" s="119">
        <v>0</v>
      </c>
      <c r="M36" s="119"/>
      <c r="N36" s="119">
        <f t="shared" si="1"/>
        <v>6232.796234099821</v>
      </c>
      <c r="O36" s="120">
        <f t="shared" si="2"/>
        <v>0</v>
      </c>
      <c r="P36" s="121"/>
      <c r="Q36" s="122">
        <f t="shared" si="3"/>
        <v>519.39968617498505</v>
      </c>
      <c r="R36" s="119">
        <f t="shared" si="3"/>
        <v>519.39968617498505</v>
      </c>
      <c r="S36" s="119">
        <f t="shared" si="3"/>
        <v>519.39968617498505</v>
      </c>
      <c r="T36" s="119">
        <f t="shared" si="3"/>
        <v>519.39968617498505</v>
      </c>
      <c r="U36" s="119">
        <f t="shared" si="3"/>
        <v>519.39968617498505</v>
      </c>
      <c r="V36" s="119">
        <f t="shared" si="3"/>
        <v>519.39968617498505</v>
      </c>
      <c r="W36" s="119">
        <f t="shared" si="3"/>
        <v>519.39968617498505</v>
      </c>
      <c r="X36" s="119">
        <f t="shared" si="3"/>
        <v>519.39968617498505</v>
      </c>
      <c r="Y36" s="119">
        <f t="shared" si="3"/>
        <v>519.39968617498505</v>
      </c>
      <c r="Z36" s="119">
        <f t="shared" si="3"/>
        <v>519.39968617498505</v>
      </c>
      <c r="AA36" s="119">
        <f t="shared" si="3"/>
        <v>519.39968617498505</v>
      </c>
      <c r="AB36" s="120">
        <f t="shared" si="3"/>
        <v>519.39968617498505</v>
      </c>
      <c r="AC36" s="121">
        <f t="shared" si="3"/>
        <v>0</v>
      </c>
      <c r="AD36" s="121">
        <f t="shared" si="3"/>
        <v>0</v>
      </c>
      <c r="AE36" s="121">
        <f t="shared" si="3"/>
        <v>0</v>
      </c>
      <c r="AF36" s="121">
        <f t="shared" si="3"/>
        <v>0</v>
      </c>
      <c r="AG36" s="121">
        <f t="shared" si="4"/>
        <v>0</v>
      </c>
      <c r="AH36" s="121">
        <f t="shared" si="4"/>
        <v>0</v>
      </c>
      <c r="AI36" s="121">
        <f t="shared" si="4"/>
        <v>0</v>
      </c>
      <c r="AJ36" s="121">
        <f t="shared" si="4"/>
        <v>0</v>
      </c>
      <c r="AK36" s="121">
        <f t="shared" si="4"/>
        <v>0</v>
      </c>
      <c r="AL36" s="121">
        <f t="shared" si="4"/>
        <v>0</v>
      </c>
      <c r="AM36" s="121">
        <f t="shared" si="4"/>
        <v>0</v>
      </c>
      <c r="AN36" s="120">
        <f t="shared" si="4"/>
        <v>0</v>
      </c>
      <c r="AQ36" s="124"/>
      <c r="AR36" s="124"/>
    </row>
    <row r="37" spans="1:44" ht="15" x14ac:dyDescent="0.25">
      <c r="A37" s="96" t="s">
        <v>381</v>
      </c>
      <c r="B37" s="97" t="s">
        <v>382</v>
      </c>
      <c r="C37" s="98" t="s">
        <v>383</v>
      </c>
      <c r="D37" s="99" t="s">
        <v>70</v>
      </c>
      <c r="E37" s="100" t="s">
        <v>94</v>
      </c>
      <c r="F37" s="97" t="s">
        <v>78</v>
      </c>
      <c r="G37" s="101">
        <v>0</v>
      </c>
      <c r="H37" s="102">
        <v>0.90693749999999995</v>
      </c>
      <c r="I37" s="49"/>
      <c r="J37" s="103"/>
      <c r="K37" s="119">
        <v>16000</v>
      </c>
      <c r="L37" s="119">
        <v>0</v>
      </c>
      <c r="M37" s="119"/>
      <c r="N37" s="119">
        <f t="shared" si="1"/>
        <v>14511</v>
      </c>
      <c r="O37" s="120">
        <f t="shared" si="2"/>
        <v>0</v>
      </c>
      <c r="P37" s="121"/>
      <c r="Q37" s="122">
        <f t="shared" si="3"/>
        <v>1209.25</v>
      </c>
      <c r="R37" s="119">
        <f t="shared" si="3"/>
        <v>1209.25</v>
      </c>
      <c r="S37" s="119">
        <f t="shared" si="3"/>
        <v>1209.25</v>
      </c>
      <c r="T37" s="119">
        <f t="shared" si="3"/>
        <v>1209.25</v>
      </c>
      <c r="U37" s="119">
        <f t="shared" si="3"/>
        <v>1209.25</v>
      </c>
      <c r="V37" s="119">
        <f t="shared" si="3"/>
        <v>1209.25</v>
      </c>
      <c r="W37" s="119">
        <f t="shared" si="3"/>
        <v>1209.25</v>
      </c>
      <c r="X37" s="119">
        <f t="shared" si="3"/>
        <v>1209.25</v>
      </c>
      <c r="Y37" s="119">
        <f t="shared" si="3"/>
        <v>1209.25</v>
      </c>
      <c r="Z37" s="119">
        <f t="shared" si="3"/>
        <v>1209.25</v>
      </c>
      <c r="AA37" s="119">
        <f t="shared" si="3"/>
        <v>1209.25</v>
      </c>
      <c r="AB37" s="120">
        <f t="shared" si="3"/>
        <v>1209.25</v>
      </c>
      <c r="AC37" s="121">
        <f t="shared" si="3"/>
        <v>0</v>
      </c>
      <c r="AD37" s="121">
        <f t="shared" si="3"/>
        <v>0</v>
      </c>
      <c r="AE37" s="121">
        <f t="shared" si="3"/>
        <v>0</v>
      </c>
      <c r="AF37" s="121">
        <f t="shared" si="3"/>
        <v>0</v>
      </c>
      <c r="AG37" s="121">
        <f t="shared" si="4"/>
        <v>0</v>
      </c>
      <c r="AH37" s="121">
        <f t="shared" si="4"/>
        <v>0</v>
      </c>
      <c r="AI37" s="121">
        <f t="shared" si="4"/>
        <v>0</v>
      </c>
      <c r="AJ37" s="121">
        <f t="shared" si="4"/>
        <v>0</v>
      </c>
      <c r="AK37" s="121">
        <f t="shared" si="4"/>
        <v>0</v>
      </c>
      <c r="AL37" s="121">
        <f t="shared" si="4"/>
        <v>0</v>
      </c>
      <c r="AM37" s="121">
        <f t="shared" si="4"/>
        <v>0</v>
      </c>
      <c r="AN37" s="120">
        <f t="shared" si="4"/>
        <v>0</v>
      </c>
      <c r="AQ37" s="124"/>
      <c r="AR37" s="124"/>
    </row>
    <row r="38" spans="1:44" ht="15" x14ac:dyDescent="0.25">
      <c r="A38" s="96" t="s">
        <v>92</v>
      </c>
      <c r="B38" s="97" t="s">
        <v>93</v>
      </c>
      <c r="C38" s="98">
        <v>5146</v>
      </c>
      <c r="D38" s="99" t="s">
        <v>70</v>
      </c>
      <c r="E38" s="100" t="s">
        <v>94</v>
      </c>
      <c r="F38" s="97" t="s">
        <v>78</v>
      </c>
      <c r="G38" s="101">
        <v>0</v>
      </c>
      <c r="H38" s="102">
        <v>1</v>
      </c>
      <c r="I38" s="49"/>
      <c r="J38" s="103"/>
      <c r="K38" s="119">
        <v>0</v>
      </c>
      <c r="L38" s="119">
        <v>2570</v>
      </c>
      <c r="M38" s="119"/>
      <c r="N38" s="119">
        <f t="shared" si="1"/>
        <v>0</v>
      </c>
      <c r="O38" s="120">
        <f t="shared" si="2"/>
        <v>2570</v>
      </c>
      <c r="P38" s="121"/>
      <c r="Q38" s="122">
        <f t="shared" si="3"/>
        <v>0</v>
      </c>
      <c r="R38" s="119">
        <f t="shared" si="3"/>
        <v>0</v>
      </c>
      <c r="S38" s="119">
        <f t="shared" si="3"/>
        <v>0</v>
      </c>
      <c r="T38" s="119">
        <f t="shared" si="3"/>
        <v>0</v>
      </c>
      <c r="U38" s="119">
        <f t="shared" si="3"/>
        <v>0</v>
      </c>
      <c r="V38" s="119">
        <f t="shared" si="3"/>
        <v>0</v>
      </c>
      <c r="W38" s="119">
        <f t="shared" si="3"/>
        <v>0</v>
      </c>
      <c r="X38" s="119">
        <f t="shared" si="3"/>
        <v>0</v>
      </c>
      <c r="Y38" s="119">
        <f t="shared" si="3"/>
        <v>0</v>
      </c>
      <c r="Z38" s="119">
        <f t="shared" si="3"/>
        <v>0</v>
      </c>
      <c r="AA38" s="119">
        <f t="shared" si="3"/>
        <v>0</v>
      </c>
      <c r="AB38" s="120">
        <f t="shared" si="3"/>
        <v>0</v>
      </c>
      <c r="AC38" s="121">
        <f t="shared" si="3"/>
        <v>214.16666666666666</v>
      </c>
      <c r="AD38" s="121">
        <f t="shared" si="3"/>
        <v>214.16666666666666</v>
      </c>
      <c r="AE38" s="121">
        <f t="shared" si="3"/>
        <v>214.16666666666666</v>
      </c>
      <c r="AF38" s="121">
        <f t="shared" si="3"/>
        <v>214.16666666666666</v>
      </c>
      <c r="AG38" s="121">
        <f t="shared" si="4"/>
        <v>214.16666666666666</v>
      </c>
      <c r="AH38" s="121">
        <f t="shared" si="4"/>
        <v>214.16666666666666</v>
      </c>
      <c r="AI38" s="121">
        <f t="shared" si="4"/>
        <v>214.16666666666666</v>
      </c>
      <c r="AJ38" s="121">
        <f t="shared" si="4"/>
        <v>214.16666666666666</v>
      </c>
      <c r="AK38" s="121">
        <f t="shared" si="4"/>
        <v>214.16666666666666</v>
      </c>
      <c r="AL38" s="121">
        <f t="shared" si="4"/>
        <v>214.16666666666666</v>
      </c>
      <c r="AM38" s="121">
        <f t="shared" si="4"/>
        <v>214.16666666666666</v>
      </c>
      <c r="AN38" s="120">
        <f t="shared" si="4"/>
        <v>214.16666666666666</v>
      </c>
      <c r="AQ38" s="124"/>
      <c r="AR38" s="124"/>
    </row>
    <row r="39" spans="1:44" s="109" customFormat="1" ht="15.75" thickBot="1" x14ac:dyDescent="0.3">
      <c r="A39" s="326" t="s">
        <v>23</v>
      </c>
      <c r="B39" s="327"/>
      <c r="C39" s="327"/>
      <c r="D39" s="327"/>
      <c r="E39" s="327"/>
      <c r="F39" s="327"/>
      <c r="G39" s="327"/>
      <c r="H39" s="328"/>
      <c r="J39" s="125">
        <f t="shared" ref="J39:O39" si="8">SUM(J9:J38)</f>
        <v>0</v>
      </c>
      <c r="K39" s="126">
        <f t="shared" si="8"/>
        <v>249738.51263570081</v>
      </c>
      <c r="L39" s="126">
        <f t="shared" si="8"/>
        <v>282550.71053465537</v>
      </c>
      <c r="M39" s="126">
        <f t="shared" si="8"/>
        <v>0</v>
      </c>
      <c r="N39" s="126">
        <f t="shared" si="8"/>
        <v>103254.33640404271</v>
      </c>
      <c r="O39" s="127">
        <f t="shared" si="8"/>
        <v>142496.58690464596</v>
      </c>
      <c r="P39" s="128"/>
      <c r="Q39" s="125">
        <f t="shared" ref="Q39:AN39" si="9">SUM(Q9:Q38)</f>
        <v>8604.5280336702235</v>
      </c>
      <c r="R39" s="126">
        <f t="shared" si="9"/>
        <v>8604.5280336702235</v>
      </c>
      <c r="S39" s="126">
        <f t="shared" si="9"/>
        <v>8604.5280336702235</v>
      </c>
      <c r="T39" s="126">
        <f t="shared" si="9"/>
        <v>8604.5280336702235</v>
      </c>
      <c r="U39" s="126">
        <f t="shared" si="9"/>
        <v>8604.5280336702235</v>
      </c>
      <c r="V39" s="126">
        <f t="shared" si="9"/>
        <v>8604.5280336702235</v>
      </c>
      <c r="W39" s="126">
        <f t="shared" si="9"/>
        <v>8604.5280336702235</v>
      </c>
      <c r="X39" s="126">
        <f t="shared" si="9"/>
        <v>8604.5280336702235</v>
      </c>
      <c r="Y39" s="126">
        <f t="shared" si="9"/>
        <v>8604.5280336702235</v>
      </c>
      <c r="Z39" s="126">
        <f t="shared" si="9"/>
        <v>8604.5280336702235</v>
      </c>
      <c r="AA39" s="126">
        <f t="shared" si="9"/>
        <v>8604.5280336702235</v>
      </c>
      <c r="AB39" s="127">
        <f t="shared" si="9"/>
        <v>8604.5280336702235</v>
      </c>
      <c r="AC39" s="126">
        <f t="shared" si="9"/>
        <v>11874.715575387161</v>
      </c>
      <c r="AD39" s="126">
        <f t="shared" si="9"/>
        <v>11874.715575387161</v>
      </c>
      <c r="AE39" s="126">
        <f t="shared" si="9"/>
        <v>11874.715575387161</v>
      </c>
      <c r="AF39" s="126">
        <f t="shared" si="9"/>
        <v>11874.715575387161</v>
      </c>
      <c r="AG39" s="126">
        <f t="shared" si="9"/>
        <v>11874.715575387161</v>
      </c>
      <c r="AH39" s="126">
        <f t="shared" si="9"/>
        <v>11874.715575387161</v>
      </c>
      <c r="AI39" s="126">
        <f t="shared" si="9"/>
        <v>11874.715575387161</v>
      </c>
      <c r="AJ39" s="126">
        <f t="shared" si="9"/>
        <v>11874.715575387161</v>
      </c>
      <c r="AK39" s="126">
        <f t="shared" si="9"/>
        <v>11874.715575387161</v>
      </c>
      <c r="AL39" s="126">
        <f t="shared" si="9"/>
        <v>11874.715575387161</v>
      </c>
      <c r="AM39" s="126">
        <f t="shared" si="9"/>
        <v>11874.715575387161</v>
      </c>
      <c r="AN39" s="127">
        <f t="shared" si="9"/>
        <v>11874.715575387161</v>
      </c>
      <c r="AO39" s="128"/>
      <c r="AQ39" s="129"/>
      <c r="AR39" s="129"/>
    </row>
    <row r="40" spans="1:44" ht="15.75" thickTop="1" x14ac:dyDescent="0.25"/>
    <row r="41" spans="1:44" ht="15.75" thickBot="1" x14ac:dyDescent="0.3">
      <c r="A41" s="326" t="s">
        <v>24</v>
      </c>
      <c r="B41" s="327"/>
      <c r="C41" s="327"/>
      <c r="D41" s="327"/>
      <c r="E41" s="327"/>
      <c r="F41" s="327"/>
      <c r="G41" s="327"/>
      <c r="H41" s="328"/>
      <c r="I41" s="109"/>
      <c r="J41" s="125"/>
      <c r="K41" s="126"/>
      <c r="L41" s="126"/>
      <c r="M41" s="126"/>
      <c r="N41" s="126"/>
      <c r="O41" s="127"/>
      <c r="P41" s="128"/>
      <c r="Q41" s="125">
        <f>Q39</f>
        <v>8604.5280336702235</v>
      </c>
      <c r="R41" s="126">
        <f t="shared" ref="R41:AJ41" si="10">R39+Q41</f>
        <v>17209.056067340447</v>
      </c>
      <c r="S41" s="126">
        <f t="shared" si="10"/>
        <v>25813.584101010671</v>
      </c>
      <c r="T41" s="126">
        <f t="shared" si="10"/>
        <v>34418.112134680894</v>
      </c>
      <c r="U41" s="126">
        <f t="shared" si="10"/>
        <v>43022.640168351121</v>
      </c>
      <c r="V41" s="126">
        <f t="shared" si="10"/>
        <v>51627.168202021348</v>
      </c>
      <c r="W41" s="126">
        <f t="shared" si="10"/>
        <v>60231.696235691576</v>
      </c>
      <c r="X41" s="126">
        <f t="shared" si="10"/>
        <v>68836.224269361803</v>
      </c>
      <c r="Y41" s="126">
        <f t="shared" si="10"/>
        <v>77440.75230303203</v>
      </c>
      <c r="Z41" s="126">
        <f t="shared" si="10"/>
        <v>86045.280336702257</v>
      </c>
      <c r="AA41" s="126">
        <f t="shared" si="10"/>
        <v>94649.808370372484</v>
      </c>
      <c r="AB41" s="127">
        <f t="shared" si="10"/>
        <v>103254.33640404271</v>
      </c>
      <c r="AC41" s="126">
        <f t="shared" si="10"/>
        <v>115129.05197942987</v>
      </c>
      <c r="AD41" s="126">
        <f t="shared" si="10"/>
        <v>127003.76755481704</v>
      </c>
      <c r="AE41" s="126">
        <f t="shared" si="10"/>
        <v>138878.4831302042</v>
      </c>
      <c r="AF41" s="126">
        <f t="shared" si="10"/>
        <v>150753.19870559135</v>
      </c>
      <c r="AG41" s="126">
        <f t="shared" si="10"/>
        <v>162627.9142809785</v>
      </c>
      <c r="AH41" s="126">
        <f t="shared" si="10"/>
        <v>174502.62985636565</v>
      </c>
      <c r="AI41" s="126">
        <f t="shared" si="10"/>
        <v>186377.34543175279</v>
      </c>
      <c r="AJ41" s="126">
        <f t="shared" si="10"/>
        <v>198252.06100713994</v>
      </c>
      <c r="AK41" s="126">
        <f>AK39+AJ41</f>
        <v>210126.77658252709</v>
      </c>
      <c r="AL41" s="126">
        <f>AL39+AK41</f>
        <v>222001.49215791424</v>
      </c>
      <c r="AM41" s="126">
        <f>AM39+AL41</f>
        <v>233876.20773330139</v>
      </c>
      <c r="AN41" s="127">
        <f>AN39+AM41</f>
        <v>245750.92330868854</v>
      </c>
      <c r="AO41" s="121"/>
    </row>
    <row r="42" spans="1:44" ht="15.75" thickTop="1" x14ac:dyDescent="0.25">
      <c r="Q42" s="121"/>
      <c r="R42" s="121"/>
      <c r="S42" s="121"/>
      <c r="T42" s="121"/>
      <c r="U42" s="121"/>
      <c r="V42" s="121"/>
      <c r="W42" s="121"/>
      <c r="X42" s="121"/>
      <c r="Y42" s="121"/>
      <c r="Z42" s="121"/>
      <c r="AA42" s="121"/>
      <c r="AB42" s="121"/>
      <c r="AC42" s="121"/>
      <c r="AD42" s="121"/>
      <c r="AE42" s="121"/>
      <c r="AF42" s="121"/>
      <c r="AG42" s="121"/>
      <c r="AH42" s="121"/>
      <c r="AI42" s="121"/>
      <c r="AJ42" s="121"/>
      <c r="AK42" s="121"/>
      <c r="AL42" s="121"/>
      <c r="AM42" s="121"/>
      <c r="AN42" s="121"/>
    </row>
    <row r="43" spans="1:44" ht="15" x14ac:dyDescent="0.25">
      <c r="T43" s="131"/>
      <c r="U43" s="131"/>
      <c r="V43" s="131"/>
      <c r="W43" s="131"/>
      <c r="X43" s="131"/>
      <c r="Y43" s="131"/>
      <c r="Z43" s="131"/>
      <c r="AA43" s="131"/>
      <c r="AC43" s="132"/>
      <c r="AH43" s="130"/>
      <c r="AI43" s="130"/>
      <c r="AJ43" s="130"/>
      <c r="AK43" s="130"/>
      <c r="AL43" s="130"/>
      <c r="AM43" s="130"/>
    </row>
    <row r="44" spans="1:44" ht="15" x14ac:dyDescent="0.25">
      <c r="A44" s="112" t="s">
        <v>25</v>
      </c>
      <c r="Q44" s="131"/>
      <c r="R44" s="131"/>
      <c r="S44" s="131"/>
      <c r="T44" s="119"/>
      <c r="U44" s="119"/>
      <c r="V44" s="119"/>
      <c r="W44" s="119"/>
      <c r="X44" s="119"/>
      <c r="Y44" s="119"/>
      <c r="Z44" s="119"/>
      <c r="AA44" s="119"/>
      <c r="AB44" s="133"/>
      <c r="AC44" s="134"/>
      <c r="AH44" s="130"/>
      <c r="AI44" s="130"/>
      <c r="AJ44" s="130"/>
      <c r="AK44" s="130"/>
      <c r="AL44" s="130"/>
      <c r="AM44" s="130"/>
    </row>
    <row r="45" spans="1:44" ht="15" x14ac:dyDescent="0.25">
      <c r="A45" s="225"/>
      <c r="B45" s="225"/>
      <c r="C45" s="225"/>
      <c r="D45" s="225"/>
      <c r="E45" s="225"/>
      <c r="F45" s="225"/>
      <c r="G45" s="225"/>
      <c r="H45" s="225"/>
      <c r="O45" s="119"/>
      <c r="Q45" s="119"/>
      <c r="R45" s="119"/>
      <c r="S45" s="119"/>
      <c r="T45" s="119"/>
      <c r="U45" s="135"/>
      <c r="V45" s="119"/>
      <c r="X45" s="119"/>
      <c r="Y45" s="119"/>
      <c r="Z45" s="119"/>
      <c r="AA45" s="119"/>
      <c r="AB45" s="136"/>
      <c r="AC45" s="134"/>
      <c r="AD45" s="119"/>
      <c r="AE45" s="119"/>
      <c r="AF45" s="119"/>
      <c r="AG45" s="119"/>
      <c r="AH45" s="130"/>
      <c r="AI45" s="130"/>
      <c r="AJ45" s="130"/>
      <c r="AK45" s="130"/>
      <c r="AL45" s="130"/>
      <c r="AM45" s="130"/>
      <c r="AN45" s="119"/>
    </row>
    <row r="46" spans="1:44" ht="15.75" thickBot="1" x14ac:dyDescent="0.3">
      <c r="U46" s="137"/>
      <c r="V46" s="119"/>
      <c r="W46" s="119"/>
      <c r="Y46" s="119"/>
      <c r="Z46" s="119"/>
      <c r="AA46" s="119"/>
      <c r="AB46" s="119"/>
      <c r="AC46" s="119"/>
      <c r="AD46" s="119"/>
    </row>
    <row r="47" spans="1:44" s="117" customFormat="1" ht="76.5" customHeight="1" thickBot="1" x14ac:dyDescent="0.3">
      <c r="A47" s="44" t="s">
        <v>15</v>
      </c>
      <c r="B47" s="45" t="s">
        <v>16</v>
      </c>
      <c r="C47" s="45" t="s">
        <v>17</v>
      </c>
      <c r="D47" s="45" t="s">
        <v>18</v>
      </c>
      <c r="E47" s="45" t="s">
        <v>19</v>
      </c>
      <c r="F47" s="45" t="s">
        <v>20</v>
      </c>
      <c r="G47" s="45" t="s">
        <v>21</v>
      </c>
      <c r="H47" s="46" t="s">
        <v>22</v>
      </c>
      <c r="I47" s="47"/>
      <c r="J47" s="44" t="str">
        <f t="shared" ref="J47:O47" si="11">J8</f>
        <v>2014 CWIP</v>
      </c>
      <c r="K47" s="45" t="str">
        <f t="shared" si="11"/>
        <v>2015 Total Expenditures</v>
      </c>
      <c r="L47" s="45" t="str">
        <f t="shared" si="11"/>
        <v>2016 Total Expenditures</v>
      </c>
      <c r="M47" s="45" t="str">
        <f t="shared" si="11"/>
        <v>2014 ISO CWIP Less Collectible</v>
      </c>
      <c r="N47" s="45" t="str">
        <f t="shared" si="11"/>
        <v>2015 ISO Expenditures Less COR/Collectible</v>
      </c>
      <c r="O47" s="46" t="str">
        <f t="shared" si="11"/>
        <v>2016 ISO Expenditures Less COR/Collectible</v>
      </c>
      <c r="P47" s="48"/>
      <c r="Q47" s="114">
        <f>$B$3</f>
        <v>42005</v>
      </c>
      <c r="R47" s="115">
        <f t="shared" ref="R47:AJ47" si="12">DATE(YEAR(Q47),MONTH(Q47)+1,DAY(Q47))</f>
        <v>42036</v>
      </c>
      <c r="S47" s="115">
        <f t="shared" si="12"/>
        <v>42064</v>
      </c>
      <c r="T47" s="115">
        <f t="shared" si="12"/>
        <v>42095</v>
      </c>
      <c r="U47" s="115">
        <f t="shared" si="12"/>
        <v>42125</v>
      </c>
      <c r="V47" s="115">
        <f t="shared" si="12"/>
        <v>42156</v>
      </c>
      <c r="W47" s="115">
        <f t="shared" si="12"/>
        <v>42186</v>
      </c>
      <c r="X47" s="115">
        <f t="shared" si="12"/>
        <v>42217</v>
      </c>
      <c r="Y47" s="115">
        <f t="shared" si="12"/>
        <v>42248</v>
      </c>
      <c r="Z47" s="115">
        <f t="shared" si="12"/>
        <v>42278</v>
      </c>
      <c r="AA47" s="115">
        <f t="shared" si="12"/>
        <v>42309</v>
      </c>
      <c r="AB47" s="116">
        <f t="shared" si="12"/>
        <v>42339</v>
      </c>
      <c r="AC47" s="115">
        <f t="shared" si="12"/>
        <v>42370</v>
      </c>
      <c r="AD47" s="115">
        <f t="shared" si="12"/>
        <v>42401</v>
      </c>
      <c r="AE47" s="115">
        <f t="shared" si="12"/>
        <v>42430</v>
      </c>
      <c r="AF47" s="115">
        <f t="shared" si="12"/>
        <v>42461</v>
      </c>
      <c r="AG47" s="115">
        <f t="shared" si="12"/>
        <v>42491</v>
      </c>
      <c r="AH47" s="115">
        <f t="shared" si="12"/>
        <v>42522</v>
      </c>
      <c r="AI47" s="115">
        <f t="shared" si="12"/>
        <v>42552</v>
      </c>
      <c r="AJ47" s="115">
        <f t="shared" si="12"/>
        <v>42583</v>
      </c>
      <c r="AK47" s="115">
        <f>DATE(YEAR(AJ47),MONTH(AJ47)+1,DAY(AJ47))</f>
        <v>42614</v>
      </c>
      <c r="AL47" s="115">
        <f>DATE(YEAR(AK47),MONTH(AK47)+1,DAY(AK47))</f>
        <v>42644</v>
      </c>
      <c r="AM47" s="115">
        <f>DATE(YEAR(AL47),MONTH(AL47)+1,DAY(AL47))</f>
        <v>42675</v>
      </c>
      <c r="AN47" s="116">
        <f>DATE(YEAR(AM47),MONTH(AM47)+1,DAY(AM47))</f>
        <v>42705</v>
      </c>
      <c r="AQ47" s="118"/>
      <c r="AR47" s="118"/>
    </row>
    <row r="48" spans="1:44" ht="15" x14ac:dyDescent="0.25">
      <c r="A48" s="96" t="s">
        <v>152</v>
      </c>
      <c r="B48" s="97" t="s">
        <v>384</v>
      </c>
      <c r="C48" s="98">
        <v>6428</v>
      </c>
      <c r="D48" s="99" t="s">
        <v>70</v>
      </c>
      <c r="E48" s="100">
        <v>42156</v>
      </c>
      <c r="F48" s="97" t="s">
        <v>78</v>
      </c>
      <c r="G48" s="101">
        <v>0</v>
      </c>
      <c r="H48" s="102">
        <v>1</v>
      </c>
      <c r="I48" s="263"/>
      <c r="J48" s="138">
        <v>4723.7900100000015</v>
      </c>
      <c r="K48" s="139">
        <v>1227.7686174536764</v>
      </c>
      <c r="L48" s="119">
        <v>0</v>
      </c>
      <c r="M48" s="119">
        <f t="shared" ref="M48:M120" si="13">$J48*$H48*(1-$G48)</f>
        <v>4723.7900100000015</v>
      </c>
      <c r="N48" s="121">
        <f t="shared" ref="N48:N120" si="14">$K48*$H48*(1-$G48)</f>
        <v>1227.7686174536764</v>
      </c>
      <c r="O48" s="120">
        <f t="shared" ref="O48:O120" si="15">$L48*$H48*(1-$G48)</f>
        <v>0</v>
      </c>
      <c r="P48" s="121"/>
      <c r="Q48" s="122">
        <f ca="1">+IF($E48=Q$47,SUM($M48:OFFSET($M48,0,IF(YEAR(Q$47)=VALUE(LEFT($K$47,4)),1,2))),
IF(YEAR($E48)&lt;VALUE(LEFT($K$47,4)),($M48+$N48)/12,0))</f>
        <v>0</v>
      </c>
      <c r="R48" s="119">
        <f ca="1">+IF($E48=R$47,SUM($M48:OFFSET($M48,0,IF(YEAR(R$47)=VALUE(LEFT($K$47,4)),1,2))),
IF(YEAR($E48)&lt;VALUE(LEFT($K$47,4)),($M48+$N48)/12,0))</f>
        <v>0</v>
      </c>
      <c r="S48" s="119">
        <f ca="1">+IF($E48=S$47,SUM($M48:OFFSET($M48,0,IF(YEAR(S$47)=VALUE(LEFT($K$47,4)),1,2))),
IF(YEAR($E48)&lt;VALUE(LEFT($K$47,4)),($M48+$N48)/12,0))</f>
        <v>0</v>
      </c>
      <c r="T48" s="119">
        <f ca="1">+IF($E48=T$47,SUM($M48:OFFSET($M48,0,IF(YEAR(T$47)=VALUE(LEFT($K$47,4)),1,2))),
IF(YEAR($E48)&lt;VALUE(LEFT($K$47,4)),($M48+$N48)/12,0))</f>
        <v>0</v>
      </c>
      <c r="U48" s="119">
        <f ca="1">+IF($E48=U$47,SUM($M48:OFFSET($M48,0,IF(YEAR(U$47)=VALUE(LEFT($K$47,4)),1,2))),
IF(YEAR($E48)&lt;VALUE(LEFT($K$47,4)),($M48+$N48)/12,0))</f>
        <v>0</v>
      </c>
      <c r="V48" s="119">
        <f ca="1">+IF($E48=V$47,SUM($M48:OFFSET($M48,0,IF(YEAR(V$47)=VALUE(LEFT($K$47,4)),1,2))),
IF(YEAR($E48)&lt;VALUE(LEFT($K$47,4)),($M48+$N48)/12,0))</f>
        <v>5951.5586274536781</v>
      </c>
      <c r="W48" s="119">
        <f ca="1">+IF($E48=W$47,SUM($M48:OFFSET($M48,0,IF(YEAR(W$47)=VALUE(LEFT($K$47,4)),1,2))),
IF(YEAR($E48)&lt;VALUE(LEFT($K$47,4)),($M48+$N48)/12,0))</f>
        <v>0</v>
      </c>
      <c r="X48" s="119">
        <f ca="1">+IF($E48=X$47,SUM($M48:OFFSET($M48,0,IF(YEAR(X$47)=VALUE(LEFT($K$47,4)),1,2))),
IF(YEAR($E48)&lt;VALUE(LEFT($K$47,4)),($M48+$N48)/12,0))</f>
        <v>0</v>
      </c>
      <c r="Y48" s="119">
        <f ca="1">+IF($E48=Y$47,SUM($M48:OFFSET($M48,0,IF(YEAR(Y$47)=VALUE(LEFT($K$47,4)),1,2))),
IF(YEAR($E48)&lt;VALUE(LEFT($K$47,4)),($M48+$N48)/12,0))</f>
        <v>0</v>
      </c>
      <c r="Z48" s="119">
        <f ca="1">+IF($E48=Z$47,SUM($M48:OFFSET($M48,0,IF(YEAR(Z$47)=VALUE(LEFT($K$47,4)),1,2))),
IF(YEAR($E48)&lt;VALUE(LEFT($K$47,4)),($M48+$N48)/12,0))</f>
        <v>0</v>
      </c>
      <c r="AA48" s="119">
        <f ca="1">+IF($E48=AA$47,SUM($M48:OFFSET($M48,0,IF(YEAR(AA$47)=VALUE(LEFT($K$47,4)),1,2))),
IF(YEAR($E48)&lt;VALUE(LEFT($K$47,4)),($M48+$N48)/12,0))</f>
        <v>0</v>
      </c>
      <c r="AB48" s="120">
        <f ca="1">+IF($E48=AB$47,SUM($M48:OFFSET($M48,0,IF(YEAR(AB$47)=VALUE(LEFT($K$47,4)),1,2))),
IF(YEAR($E48)&lt;VALUE(LEFT($K$47,4)),($M48+$N48)/12,0))</f>
        <v>0</v>
      </c>
      <c r="AC48" s="122">
        <f ca="1">+IF($E48=AC$47,SUM($M48:OFFSET($M48,0,IF(YEAR(AC$47)=VALUE(LEFT($K$47,4)),1,2))),
IF(YEAR($E48)&lt;=2015,$O48/12,0))</f>
        <v>0</v>
      </c>
      <c r="AD48" s="119">
        <f ca="1">+IF($E48=AD$47,SUM($M48:OFFSET($M48,0,IF(YEAR(AD$47)=VALUE(LEFT($K$47,4)),1,2))),
IF(YEAR($E48)&lt;=2015,$O48/12,0))</f>
        <v>0</v>
      </c>
      <c r="AE48" s="119">
        <f ca="1">+IF($E48=AE$47,SUM($M48:OFFSET($M48,0,IF(YEAR(AE$47)=VALUE(LEFT($K$47,4)),1,2))),
IF(YEAR($E48)&lt;=2015,$O48/12,0))</f>
        <v>0</v>
      </c>
      <c r="AF48" s="119">
        <f ca="1">+IF($E48=AF$47,SUM($M48:OFFSET($M48,0,IF(YEAR(AF$47)=VALUE(LEFT($K$47,4)),1,2))),
IF(YEAR($E48)&lt;=2015,$O48/12,0))</f>
        <v>0</v>
      </c>
      <c r="AG48" s="119">
        <f ca="1">+IF($E48=AG$47,SUM($M48:OFFSET($M48,0,IF(YEAR(AG$47)=VALUE(LEFT($K$47,4)),1,2))),
IF(YEAR($E48)&lt;=2015,$O48/12,0))</f>
        <v>0</v>
      </c>
      <c r="AH48" s="119">
        <f ca="1">+IF($E48=AH$47,SUM($M48:OFFSET($M48,0,IF(YEAR(AH$47)=VALUE(LEFT($K$47,4)),1,2))),
IF(YEAR($E48)&lt;=2015,$O48/12,0))</f>
        <v>0</v>
      </c>
      <c r="AI48" s="119">
        <f ca="1">+IF($E48=AI$47,SUM($M48:OFFSET($M48,0,IF(YEAR(AI$47)=VALUE(LEFT($K$47,4)),1,2))),
IF(YEAR($E48)&lt;=2015,$O48/12,0))</f>
        <v>0</v>
      </c>
      <c r="AJ48" s="119">
        <f ca="1">+IF($E48=AJ$47,SUM($M48:OFFSET($M48,0,IF(YEAR(AJ$47)=VALUE(LEFT($K$47,4)),1,2))),
IF(YEAR($E48)&lt;=2015,$O48/12,0))</f>
        <v>0</v>
      </c>
      <c r="AK48" s="119">
        <f ca="1">+IF($E48=AK$47,SUM($M48:OFFSET($M48,0,IF(YEAR(AK$47)=VALUE(LEFT($K$47,4)),1,2))),
IF(YEAR($E48)&lt;=2015,$O48/12,0))</f>
        <v>0</v>
      </c>
      <c r="AL48" s="119">
        <f ca="1">+IF($E48=AL$47,SUM($M48:OFFSET($M48,0,IF(YEAR(AL$47)=VALUE(LEFT($K$47,4)),1,2))),
IF(YEAR($E48)&lt;=2015,$O48/12,0))</f>
        <v>0</v>
      </c>
      <c r="AM48" s="119">
        <f ca="1">+IF($E48=AM$47,SUM($M48:OFFSET($M48,0,IF(YEAR(AM$47)=VALUE(LEFT($K$47,4)),1,2))),
IF(YEAR($E48)&lt;=2015,$O48/12,0))</f>
        <v>0</v>
      </c>
      <c r="AN48" s="120">
        <f ca="1">+IF($E48=AN$47,SUM($M48:OFFSET($M48,0,IF(YEAR(AN$47)=VALUE(LEFT($K$47,4)),1,2))),
IF(YEAR($E48)&lt;=2015,$O48/12,0))</f>
        <v>0</v>
      </c>
      <c r="AO48" s="121"/>
    </row>
    <row r="49" spans="1:41" s="105" customFormat="1" ht="15" x14ac:dyDescent="0.25">
      <c r="A49" s="96" t="s">
        <v>385</v>
      </c>
      <c r="B49" s="97" t="s">
        <v>386</v>
      </c>
      <c r="C49" s="98">
        <v>7666</v>
      </c>
      <c r="D49" s="99" t="s">
        <v>70</v>
      </c>
      <c r="E49" s="100">
        <v>42705</v>
      </c>
      <c r="F49" s="97" t="s">
        <v>78</v>
      </c>
      <c r="G49" s="101">
        <v>0</v>
      </c>
      <c r="H49" s="102">
        <v>1</v>
      </c>
      <c r="I49" s="263"/>
      <c r="J49" s="140">
        <v>0</v>
      </c>
      <c r="K49" s="139">
        <v>56.898215231733012</v>
      </c>
      <c r="L49" s="119">
        <v>110.90468379333777</v>
      </c>
      <c r="M49" s="119">
        <f t="shared" si="13"/>
        <v>0</v>
      </c>
      <c r="N49" s="121">
        <f t="shared" si="14"/>
        <v>56.898215231733012</v>
      </c>
      <c r="O49" s="120">
        <f t="shared" si="15"/>
        <v>110.90468379333777</v>
      </c>
      <c r="P49" s="121"/>
      <c r="Q49" s="319">
        <f ca="1">+IF($E49=Q$47,SUM($M49:OFFSET($M49,0,IF(YEAR(Q$47)=VALUE(LEFT($K$47,4)),1,2))),
IF(YEAR($E49)&lt;VALUE(LEFT($K$47,4)),($M49+$N49)/12,0))</f>
        <v>0</v>
      </c>
      <c r="R49" s="119">
        <f ca="1">+IF($E49=R$47,SUM($M49:OFFSET($M49,0,IF(YEAR(R$47)=VALUE(LEFT($K$47,4)),1,2))),
IF(YEAR($E49)&lt;VALUE(LEFT($K$47,4)),($M49+$N49)/12,0))</f>
        <v>0</v>
      </c>
      <c r="S49" s="119">
        <f ca="1">+IF($E49=S$47,SUM($M49:OFFSET($M49,0,IF(YEAR(S$47)=VALUE(LEFT($K$47,4)),1,2))),
IF(YEAR($E49)&lt;VALUE(LEFT($K$47,4)),($M49+$N49)/12,0))</f>
        <v>0</v>
      </c>
      <c r="T49" s="119">
        <f ca="1">+IF($E49=T$47,SUM($M49:OFFSET($M49,0,IF(YEAR(T$47)=VALUE(LEFT($K$47,4)),1,2))),
IF(YEAR($E49)&lt;VALUE(LEFT($K$47,4)),($M49+$N49)/12,0))</f>
        <v>0</v>
      </c>
      <c r="U49" s="119">
        <f ca="1">+IF($E49=U$47,SUM($M49:OFFSET($M49,0,IF(YEAR(U$47)=VALUE(LEFT($K$47,4)),1,2))),
IF(YEAR($E49)&lt;VALUE(LEFT($K$47,4)),($M49+$N49)/12,0))</f>
        <v>0</v>
      </c>
      <c r="V49" s="119">
        <f ca="1">+IF($E49=V$47,SUM($M49:OFFSET($M49,0,IF(YEAR(V$47)=VALUE(LEFT($K$47,4)),1,2))),
IF(YEAR($E49)&lt;VALUE(LEFT($K$47,4)),($M49+$N49)/12,0))</f>
        <v>0</v>
      </c>
      <c r="W49" s="119">
        <f ca="1">+IF($E49=W$47,SUM($M49:OFFSET($M49,0,IF(YEAR(W$47)=VALUE(LEFT($K$47,4)),1,2))),
IF(YEAR($E49)&lt;VALUE(LEFT($K$47,4)),($M49+$N49)/12,0))</f>
        <v>0</v>
      </c>
      <c r="X49" s="119">
        <f ca="1">+IF($E49=X$47,SUM($M49:OFFSET($M49,0,IF(YEAR(X$47)=VALUE(LEFT($K$47,4)),1,2))),
IF(YEAR($E49)&lt;VALUE(LEFT($K$47,4)),($M49+$N49)/12,0))</f>
        <v>0</v>
      </c>
      <c r="Y49" s="119">
        <f ca="1">+IF($E49=Y$47,SUM($M49:OFFSET($M49,0,IF(YEAR(Y$47)=VALUE(LEFT($K$47,4)),1,2))),
IF(YEAR($E49)&lt;VALUE(LEFT($K$47,4)),($M49+$N49)/12,0))</f>
        <v>0</v>
      </c>
      <c r="Z49" s="119">
        <f ca="1">+IF($E49=Z$47,SUM($M49:OFFSET($M49,0,IF(YEAR(Z$47)=VALUE(LEFT($K$47,4)),1,2))),
IF(YEAR($E49)&lt;VALUE(LEFT($K$47,4)),($M49+$N49)/12,0))</f>
        <v>0</v>
      </c>
      <c r="AA49" s="119">
        <f ca="1">+IF($E49=AA$47,SUM($M49:OFFSET($M49,0,IF(YEAR(AA$47)=VALUE(LEFT($K$47,4)),1,2))),
IF(YEAR($E49)&lt;VALUE(LEFT($K$47,4)),($M49+$N49)/12,0))</f>
        <v>0</v>
      </c>
      <c r="AB49" s="120">
        <f ca="1">+IF($E49=AB$47,SUM($M49:OFFSET($M49,0,IF(YEAR(AB$47)=VALUE(LEFT($K$47,4)),1,2))),
IF(YEAR($E49)&lt;VALUE(LEFT($K$47,4)),($M49+$N49)/12,0))</f>
        <v>0</v>
      </c>
      <c r="AC49" s="122">
        <f ca="1">+IF($E49=AC$47,SUM($M49:OFFSET($M49,0,IF(YEAR(AC$47)=VALUE(LEFT($K$47,4)),1,2))),
IF(YEAR($E49)&lt;=2015,$O49/12,0))</f>
        <v>0</v>
      </c>
      <c r="AD49" s="119">
        <f ca="1">+IF($E49=AD$47,SUM($M49:OFFSET($M49,0,IF(YEAR(AD$47)=VALUE(LEFT($K$47,4)),1,2))),
IF(YEAR($E49)&lt;=2015,$O49/12,0))</f>
        <v>0</v>
      </c>
      <c r="AE49" s="119">
        <f ca="1">+IF($E49=AE$47,SUM($M49:OFFSET($M49,0,IF(YEAR(AE$47)=VALUE(LEFT($K$47,4)),1,2))),
IF(YEAR($E49)&lt;=2015,$O49/12,0))</f>
        <v>0</v>
      </c>
      <c r="AF49" s="119">
        <f ca="1">+IF($E49=AF$47,SUM($M49:OFFSET($M49,0,IF(YEAR(AF$47)=VALUE(LEFT($K$47,4)),1,2))),
IF(YEAR($E49)&lt;=2015,$O49/12,0))</f>
        <v>0</v>
      </c>
      <c r="AG49" s="119">
        <f ca="1">+IF($E49=AG$47,SUM($M49:OFFSET($M49,0,IF(YEAR(AG$47)=VALUE(LEFT($K$47,4)),1,2))),
IF(YEAR($E49)&lt;=2015,$O49/12,0))</f>
        <v>0</v>
      </c>
      <c r="AH49" s="119">
        <f ca="1">+IF($E49=AH$47,SUM($M49:OFFSET($M49,0,IF(YEAR(AH$47)=VALUE(LEFT($K$47,4)),1,2))),
IF(YEAR($E49)&lt;=2015,$O49/12,0))</f>
        <v>0</v>
      </c>
      <c r="AI49" s="119">
        <f ca="1">+IF($E49=AI$47,SUM($M49:OFFSET($M49,0,IF(YEAR(AI$47)=VALUE(LEFT($K$47,4)),1,2))),
IF(YEAR($E49)&lt;=2015,$O49/12,0))</f>
        <v>0</v>
      </c>
      <c r="AJ49" s="119">
        <f ca="1">+IF($E49=AJ$47,SUM($M49:OFFSET($M49,0,IF(YEAR(AJ$47)=VALUE(LEFT($K$47,4)),1,2))),
IF(YEAR($E49)&lt;=2015,$O49/12,0))</f>
        <v>0</v>
      </c>
      <c r="AK49" s="119">
        <f ca="1">+IF($E49=AK$47,SUM($M49:OFFSET($M49,0,IF(YEAR(AK$47)=VALUE(LEFT($K$47,4)),1,2))),
IF(YEAR($E49)&lt;=2015,$O49/12,0))</f>
        <v>0</v>
      </c>
      <c r="AL49" s="119">
        <f ca="1">+IF($E49=AL$47,SUM($M49:OFFSET($M49,0,IF(YEAR(AL$47)=VALUE(LEFT($K$47,4)),1,2))),
IF(YEAR($E49)&lt;=2015,$O49/12,0))</f>
        <v>0</v>
      </c>
      <c r="AM49" s="119">
        <f ca="1">+IF($E49=AM$47,SUM($M49:OFFSET($M49,0,IF(YEAR(AM$47)=VALUE(LEFT($K$47,4)),1,2))),
IF(YEAR($E49)&lt;=2015,$O49/12,0))</f>
        <v>0</v>
      </c>
      <c r="AN49" s="120">
        <f ca="1">+IF($E49=AN$47,SUM($M49:OFFSET($M49,0,IF(YEAR(AN$47)=VALUE(LEFT($K$47,4)),1,2))),
IF(YEAR($E49)&lt;=2015,$O49/12,0))</f>
        <v>167.80289902507079</v>
      </c>
      <c r="AO49" s="121"/>
    </row>
    <row r="50" spans="1:41" s="105" customFormat="1" ht="15" x14ac:dyDescent="0.25">
      <c r="A50" s="96" t="s">
        <v>387</v>
      </c>
      <c r="B50" s="97" t="s">
        <v>388</v>
      </c>
      <c r="C50" s="98">
        <v>3362</v>
      </c>
      <c r="D50" s="99" t="s">
        <v>70</v>
      </c>
      <c r="E50" s="100">
        <v>42339</v>
      </c>
      <c r="F50" s="97" t="s">
        <v>78</v>
      </c>
      <c r="G50" s="101">
        <v>0</v>
      </c>
      <c r="H50" s="102">
        <v>1</v>
      </c>
      <c r="I50" s="263"/>
      <c r="J50" s="140">
        <v>0</v>
      </c>
      <c r="K50" s="139">
        <v>9100</v>
      </c>
      <c r="L50" s="119">
        <v>0</v>
      </c>
      <c r="M50" s="119">
        <f t="shared" si="13"/>
        <v>0</v>
      </c>
      <c r="N50" s="121">
        <f t="shared" si="14"/>
        <v>9100</v>
      </c>
      <c r="O50" s="120">
        <f t="shared" si="15"/>
        <v>0</v>
      </c>
      <c r="P50" s="121"/>
      <c r="Q50" s="122">
        <f ca="1">+IF($E50=Q$47,SUM($M50:OFFSET($M50,0,IF(YEAR(Q$47)=VALUE(LEFT($K$47,4)),1,2))),
IF(YEAR($E50)&lt;VALUE(LEFT($K$47,4)),($M50+$N50)/12,0))</f>
        <v>0</v>
      </c>
      <c r="R50" s="119">
        <f ca="1">+IF($E50=R$47,SUM($M50:OFFSET($M50,0,IF(YEAR(R$47)=VALUE(LEFT($K$47,4)),1,2))),
IF(YEAR($E50)&lt;VALUE(LEFT($K$47,4)),($M50+$N50)/12,0))</f>
        <v>0</v>
      </c>
      <c r="S50" s="119">
        <f ca="1">+IF($E50=S$47,SUM($M50:OFFSET($M50,0,IF(YEAR(S$47)=VALUE(LEFT($K$47,4)),1,2))),
IF(YEAR($E50)&lt;VALUE(LEFT($K$47,4)),($M50+$N50)/12,0))</f>
        <v>0</v>
      </c>
      <c r="T50" s="119">
        <f ca="1">+IF($E50=T$47,SUM($M50:OFFSET($M50,0,IF(YEAR(T$47)=VALUE(LEFT($K$47,4)),1,2))),
IF(YEAR($E50)&lt;VALUE(LEFT($K$47,4)),($M50+$N50)/12,0))</f>
        <v>0</v>
      </c>
      <c r="U50" s="119">
        <f ca="1">+IF($E50=U$47,SUM($M50:OFFSET($M50,0,IF(YEAR(U$47)=VALUE(LEFT($K$47,4)),1,2))),
IF(YEAR($E50)&lt;VALUE(LEFT($K$47,4)),($M50+$N50)/12,0))</f>
        <v>0</v>
      </c>
      <c r="V50" s="119">
        <f ca="1">+IF($E50=V$47,SUM($M50:OFFSET($M50,0,IF(YEAR(V$47)=VALUE(LEFT($K$47,4)),1,2))),
IF(YEAR($E50)&lt;VALUE(LEFT($K$47,4)),($M50+$N50)/12,0))</f>
        <v>0</v>
      </c>
      <c r="W50" s="119">
        <f ca="1">+IF($E50=W$47,SUM($M50:OFFSET($M50,0,IF(YEAR(W$47)=VALUE(LEFT($K$47,4)),1,2))),
IF(YEAR($E50)&lt;VALUE(LEFT($K$47,4)),($M50+$N50)/12,0))</f>
        <v>0</v>
      </c>
      <c r="X50" s="119">
        <f ca="1">+IF($E50=X$47,SUM($M50:OFFSET($M50,0,IF(YEAR(X$47)=VALUE(LEFT($K$47,4)),1,2))),
IF(YEAR($E50)&lt;VALUE(LEFT($K$47,4)),($M50+$N50)/12,0))</f>
        <v>0</v>
      </c>
      <c r="Y50" s="119">
        <f ca="1">+IF($E50=Y$47,SUM($M50:OFFSET($M50,0,IF(YEAR(Y$47)=VALUE(LEFT($K$47,4)),1,2))),
IF(YEAR($E50)&lt;VALUE(LEFT($K$47,4)),($M50+$N50)/12,0))</f>
        <v>0</v>
      </c>
      <c r="Z50" s="119">
        <f ca="1">+IF($E50=Z$47,SUM($M50:OFFSET($M50,0,IF(YEAR(Z$47)=VALUE(LEFT($K$47,4)),1,2))),
IF(YEAR($E50)&lt;VALUE(LEFT($K$47,4)),($M50+$N50)/12,0))</f>
        <v>0</v>
      </c>
      <c r="AA50" s="119">
        <f ca="1">+IF($E50=AA$47,SUM($M50:OFFSET($M50,0,IF(YEAR(AA$47)=VALUE(LEFT($K$47,4)),1,2))),
IF(YEAR($E50)&lt;VALUE(LEFT($K$47,4)),($M50+$N50)/12,0))</f>
        <v>0</v>
      </c>
      <c r="AB50" s="120">
        <f ca="1">+IF($E50=AB$47,SUM($M50:OFFSET($M50,0,IF(YEAR(AB$47)=VALUE(LEFT($K$47,4)),1,2))),
IF(YEAR($E50)&lt;VALUE(LEFT($K$47,4)),($M50+$N50)/12,0))</f>
        <v>9100</v>
      </c>
      <c r="AC50" s="122">
        <f ca="1">+IF($E50=AC$47,SUM($M50:OFFSET($M50,0,IF(YEAR(AC$47)=VALUE(LEFT($K$47,4)),1,2))),
IF(YEAR($E50)&lt;=2015,$O50/12,0))</f>
        <v>0</v>
      </c>
      <c r="AD50" s="119">
        <f ca="1">+IF($E50=AD$47,SUM($M50:OFFSET($M50,0,IF(YEAR(AD$47)=VALUE(LEFT($K$47,4)),1,2))),
IF(YEAR($E50)&lt;=2015,$O50/12,0))</f>
        <v>0</v>
      </c>
      <c r="AE50" s="119">
        <f ca="1">+IF($E50=AE$47,SUM($M50:OFFSET($M50,0,IF(YEAR(AE$47)=VALUE(LEFT($K$47,4)),1,2))),
IF(YEAR($E50)&lt;=2015,$O50/12,0))</f>
        <v>0</v>
      </c>
      <c r="AF50" s="119">
        <f ca="1">+IF($E50=AF$47,SUM($M50:OFFSET($M50,0,IF(YEAR(AF$47)=VALUE(LEFT($K$47,4)),1,2))),
IF(YEAR($E50)&lt;=2015,$O50/12,0))</f>
        <v>0</v>
      </c>
      <c r="AG50" s="119">
        <f ca="1">+IF($E50=AG$47,SUM($M50:OFFSET($M50,0,IF(YEAR(AG$47)=VALUE(LEFT($K$47,4)),1,2))),
IF(YEAR($E50)&lt;=2015,$O50/12,0))</f>
        <v>0</v>
      </c>
      <c r="AH50" s="119">
        <f ca="1">+IF($E50=AH$47,SUM($M50:OFFSET($M50,0,IF(YEAR(AH$47)=VALUE(LEFT($K$47,4)),1,2))),
IF(YEAR($E50)&lt;=2015,$O50/12,0))</f>
        <v>0</v>
      </c>
      <c r="AI50" s="119">
        <f ca="1">+IF($E50=AI$47,SUM($M50:OFFSET($M50,0,IF(YEAR(AI$47)=VALUE(LEFT($K$47,4)),1,2))),
IF(YEAR($E50)&lt;=2015,$O50/12,0))</f>
        <v>0</v>
      </c>
      <c r="AJ50" s="119">
        <f ca="1">+IF($E50=AJ$47,SUM($M50:OFFSET($M50,0,IF(YEAR(AJ$47)=VALUE(LEFT($K$47,4)),1,2))),
IF(YEAR($E50)&lt;=2015,$O50/12,0))</f>
        <v>0</v>
      </c>
      <c r="AK50" s="119">
        <f ca="1">+IF($E50=AK$47,SUM($M50:OFFSET($M50,0,IF(YEAR(AK$47)=VALUE(LEFT($K$47,4)),1,2))),
IF(YEAR($E50)&lt;=2015,$O50/12,0))</f>
        <v>0</v>
      </c>
      <c r="AL50" s="119">
        <f ca="1">+IF($E50=AL$47,SUM($M50:OFFSET($M50,0,IF(YEAR(AL$47)=VALUE(LEFT($K$47,4)),1,2))),
IF(YEAR($E50)&lt;=2015,$O50/12,0))</f>
        <v>0</v>
      </c>
      <c r="AM50" s="119">
        <f ca="1">+IF($E50=AM$47,SUM($M50:OFFSET($M50,0,IF(YEAR(AM$47)=VALUE(LEFT($K$47,4)),1,2))),
IF(YEAR($E50)&lt;=2015,$O50/12,0))</f>
        <v>0</v>
      </c>
      <c r="AN50" s="120">
        <f ca="1">+IF($E50=AN$47,SUM($M50:OFFSET($M50,0,IF(YEAR(AN$47)=VALUE(LEFT($K$47,4)),1,2))),
IF(YEAR($E50)&lt;=2015,$O50/12,0))</f>
        <v>0</v>
      </c>
      <c r="AO50" s="121"/>
    </row>
    <row r="51" spans="1:41" s="105" customFormat="1" ht="15" x14ac:dyDescent="0.25">
      <c r="A51" s="96" t="s">
        <v>97</v>
      </c>
      <c r="B51" s="97" t="s">
        <v>389</v>
      </c>
      <c r="C51" s="98">
        <v>3138</v>
      </c>
      <c r="D51" s="99" t="s">
        <v>70</v>
      </c>
      <c r="E51" s="100">
        <v>42430</v>
      </c>
      <c r="F51" s="97" t="s">
        <v>71</v>
      </c>
      <c r="G51" s="101">
        <v>0</v>
      </c>
      <c r="H51" s="102">
        <v>1</v>
      </c>
      <c r="I51" s="263"/>
      <c r="J51" s="140">
        <v>4789.4498000000003</v>
      </c>
      <c r="K51" s="139">
        <v>10000</v>
      </c>
      <c r="L51" s="119">
        <v>11049.861999999999</v>
      </c>
      <c r="M51" s="119">
        <f t="shared" si="13"/>
        <v>4789.4498000000003</v>
      </c>
      <c r="N51" s="121">
        <f t="shared" si="14"/>
        <v>10000</v>
      </c>
      <c r="O51" s="120">
        <f t="shared" si="15"/>
        <v>11049.861999999999</v>
      </c>
      <c r="P51" s="121"/>
      <c r="Q51" s="122">
        <f ca="1">+IF($E51=Q$47,SUM($M51:OFFSET($M51,0,IF(YEAR(Q$47)=VALUE(LEFT($K$47,4)),1,2))),
IF(YEAR($E51)&lt;VALUE(LEFT($K$47,4)),($M51+$N51)/12,0))</f>
        <v>0</v>
      </c>
      <c r="R51" s="119">
        <f ca="1">+IF($E51=R$47,SUM($M51:OFFSET($M51,0,IF(YEAR(R$47)=VALUE(LEFT($K$47,4)),1,2))),
IF(YEAR($E51)&lt;VALUE(LEFT($K$47,4)),($M51+$N51)/12,0))</f>
        <v>0</v>
      </c>
      <c r="S51" s="119">
        <f ca="1">+IF($E51=S$47,SUM($M51:OFFSET($M51,0,IF(YEAR(S$47)=VALUE(LEFT($K$47,4)),1,2))),
IF(YEAR($E51)&lt;VALUE(LEFT($K$47,4)),($M51+$N51)/12,0))</f>
        <v>0</v>
      </c>
      <c r="T51" s="119">
        <f ca="1">+IF($E51=T$47,SUM($M51:OFFSET($M51,0,IF(YEAR(T$47)=VALUE(LEFT($K$47,4)),1,2))),
IF(YEAR($E51)&lt;VALUE(LEFT($K$47,4)),($M51+$N51)/12,0))</f>
        <v>0</v>
      </c>
      <c r="U51" s="119">
        <f ca="1">+IF($E51=U$47,SUM($M51:OFFSET($M51,0,IF(YEAR(U$47)=VALUE(LEFT($K$47,4)),1,2))),
IF(YEAR($E51)&lt;VALUE(LEFT($K$47,4)),($M51+$N51)/12,0))</f>
        <v>0</v>
      </c>
      <c r="V51" s="119">
        <f ca="1">+IF($E51=V$47,SUM($M51:OFFSET($M51,0,IF(YEAR(V$47)=VALUE(LEFT($K$47,4)),1,2))),
IF(YEAR($E51)&lt;VALUE(LEFT($K$47,4)),($M51+$N51)/12,0))</f>
        <v>0</v>
      </c>
      <c r="W51" s="119">
        <f ca="1">+IF($E51=W$47,SUM($M51:OFFSET($M51,0,IF(YEAR(W$47)=VALUE(LEFT($K$47,4)),1,2))),
IF(YEAR($E51)&lt;VALUE(LEFT($K$47,4)),($M51+$N51)/12,0))</f>
        <v>0</v>
      </c>
      <c r="X51" s="119">
        <f ca="1">+IF($E51=X$47,SUM($M51:OFFSET($M51,0,IF(YEAR(X$47)=VALUE(LEFT($K$47,4)),1,2))),
IF(YEAR($E51)&lt;VALUE(LEFT($K$47,4)),($M51+$N51)/12,0))</f>
        <v>0</v>
      </c>
      <c r="Y51" s="119">
        <f ca="1">+IF($E51=Y$47,SUM($M51:OFFSET($M51,0,IF(YEAR(Y$47)=VALUE(LEFT($K$47,4)),1,2))),
IF(YEAR($E51)&lt;VALUE(LEFT($K$47,4)),($M51+$N51)/12,0))</f>
        <v>0</v>
      </c>
      <c r="Z51" s="119">
        <f ca="1">+IF($E51=Z$47,SUM($M51:OFFSET($M51,0,IF(YEAR(Z$47)=VALUE(LEFT($K$47,4)),1,2))),
IF(YEAR($E51)&lt;VALUE(LEFT($K$47,4)),($M51+$N51)/12,0))</f>
        <v>0</v>
      </c>
      <c r="AA51" s="119">
        <f ca="1">+IF($E51=AA$47,SUM($M51:OFFSET($M51,0,IF(YEAR(AA$47)=VALUE(LEFT($K$47,4)),1,2))),
IF(YEAR($E51)&lt;VALUE(LEFT($K$47,4)),($M51+$N51)/12,0))</f>
        <v>0</v>
      </c>
      <c r="AB51" s="120">
        <f ca="1">+IF($E51=AB$47,SUM($M51:OFFSET($M51,0,IF(YEAR(AB$47)=VALUE(LEFT($K$47,4)),1,2))),
IF(YEAR($E51)&lt;VALUE(LEFT($K$47,4)),($M51+$N51)/12,0))</f>
        <v>0</v>
      </c>
      <c r="AC51" s="122">
        <f ca="1">+IF($E51=AC$47,SUM($M51:OFFSET($M51,0,IF(YEAR(AC$47)=VALUE(LEFT($K$47,4)),1,2))),
IF(YEAR($E51)&lt;=2015,$O51/12,0))</f>
        <v>0</v>
      </c>
      <c r="AD51" s="119">
        <f ca="1">+IF($E51=AD$47,SUM($M51:OFFSET($M51,0,IF(YEAR(AD$47)=VALUE(LEFT($K$47,4)),1,2))),
IF(YEAR($E51)&lt;=2015,$O51/12,0))</f>
        <v>0</v>
      </c>
      <c r="AE51" s="119">
        <f ca="1">+IF($E51=AE$47,SUM($M51:OFFSET($M51,0,IF(YEAR(AE$47)=VALUE(LEFT($K$47,4)),1,2))),
IF(YEAR($E51)&lt;=2015,$O51/12,0))</f>
        <v>25839.311799999999</v>
      </c>
      <c r="AF51" s="119">
        <f ca="1">+IF($E51=AF$47,SUM($M51:OFFSET($M51,0,IF(YEAR(AF$47)=VALUE(LEFT($K$47,4)),1,2))),
IF(YEAR($E51)&lt;=2015,$O51/12,0))</f>
        <v>0</v>
      </c>
      <c r="AG51" s="119">
        <f ca="1">+IF($E51=AG$47,SUM($M51:OFFSET($M51,0,IF(YEAR(AG$47)=VALUE(LEFT($K$47,4)),1,2))),
IF(YEAR($E51)&lt;=2015,$O51/12,0))</f>
        <v>0</v>
      </c>
      <c r="AH51" s="119">
        <f ca="1">+IF($E51=AH$47,SUM($M51:OFFSET($M51,0,IF(YEAR(AH$47)=VALUE(LEFT($K$47,4)),1,2))),
IF(YEAR($E51)&lt;=2015,$O51/12,0))</f>
        <v>0</v>
      </c>
      <c r="AI51" s="119">
        <f ca="1">+IF($E51=AI$47,SUM($M51:OFFSET($M51,0,IF(YEAR(AI$47)=VALUE(LEFT($K$47,4)),1,2))),
IF(YEAR($E51)&lt;=2015,$O51/12,0))</f>
        <v>0</v>
      </c>
      <c r="AJ51" s="119">
        <f ca="1">+IF($E51=AJ$47,SUM($M51:OFFSET($M51,0,IF(YEAR(AJ$47)=VALUE(LEFT($K$47,4)),1,2))),
IF(YEAR($E51)&lt;=2015,$O51/12,0))</f>
        <v>0</v>
      </c>
      <c r="AK51" s="119">
        <f ca="1">+IF($E51=AK$47,SUM($M51:OFFSET($M51,0,IF(YEAR(AK$47)=VALUE(LEFT($K$47,4)),1,2))),
IF(YEAR($E51)&lt;=2015,$O51/12,0))</f>
        <v>0</v>
      </c>
      <c r="AL51" s="119">
        <f ca="1">+IF($E51=AL$47,SUM($M51:OFFSET($M51,0,IF(YEAR(AL$47)=VALUE(LEFT($K$47,4)),1,2))),
IF(YEAR($E51)&lt;=2015,$O51/12,0))</f>
        <v>0</v>
      </c>
      <c r="AM51" s="119">
        <f ca="1">+IF($E51=AM$47,SUM($M51:OFFSET($M51,0,IF(YEAR(AM$47)=VALUE(LEFT($K$47,4)),1,2))),
IF(YEAR($E51)&lt;=2015,$O51/12,0))</f>
        <v>0</v>
      </c>
      <c r="AN51" s="120">
        <f ca="1">+IF($E51=AN$47,SUM($M51:OFFSET($M51,0,IF(YEAR(AN$47)=VALUE(LEFT($K$47,4)),1,2))),
IF(YEAR($E51)&lt;=2015,$O51/12,0))</f>
        <v>0</v>
      </c>
      <c r="AO51" s="121"/>
    </row>
    <row r="52" spans="1:41" s="105" customFormat="1" ht="15" x14ac:dyDescent="0.25">
      <c r="A52" s="96" t="s">
        <v>107</v>
      </c>
      <c r="B52" s="97" t="s">
        <v>108</v>
      </c>
      <c r="C52" s="98">
        <v>7559</v>
      </c>
      <c r="D52" s="99" t="s">
        <v>70</v>
      </c>
      <c r="E52" s="100">
        <v>42125</v>
      </c>
      <c r="F52" s="97" t="s">
        <v>78</v>
      </c>
      <c r="G52" s="101">
        <v>0</v>
      </c>
      <c r="H52" s="102">
        <v>1</v>
      </c>
      <c r="I52" s="263"/>
      <c r="J52" s="140">
        <v>1216.4762300000009</v>
      </c>
      <c r="K52" s="139">
        <v>1000</v>
      </c>
      <c r="L52" s="119">
        <v>0</v>
      </c>
      <c r="M52" s="119">
        <f t="shared" si="13"/>
        <v>1216.4762300000009</v>
      </c>
      <c r="N52" s="121">
        <f t="shared" si="14"/>
        <v>1000</v>
      </c>
      <c r="O52" s="120">
        <f t="shared" si="15"/>
        <v>0</v>
      </c>
      <c r="P52" s="121"/>
      <c r="Q52" s="122">
        <f ca="1">+IF($E52=Q$47,SUM($M52:OFFSET($M52,0,IF(YEAR(Q$47)=VALUE(LEFT($K$47,4)),1,2))),
IF(YEAR($E52)&lt;VALUE(LEFT($K$47,4)),($M52+$N52)/12,0))</f>
        <v>0</v>
      </c>
      <c r="R52" s="119">
        <f ca="1">+IF($E52=R$47,SUM($M52:OFFSET($M52,0,IF(YEAR(R$47)=VALUE(LEFT($K$47,4)),1,2))),
IF(YEAR($E52)&lt;VALUE(LEFT($K$47,4)),($M52+$N52)/12,0))</f>
        <v>0</v>
      </c>
      <c r="S52" s="119">
        <f ca="1">+IF($E52=S$47,SUM($M52:OFFSET($M52,0,IF(YEAR(S$47)=VALUE(LEFT($K$47,4)),1,2))),
IF(YEAR($E52)&lt;VALUE(LEFT($K$47,4)),($M52+$N52)/12,0))</f>
        <v>0</v>
      </c>
      <c r="T52" s="119">
        <f ca="1">+IF($E52=T$47,SUM($M52:OFFSET($M52,0,IF(YEAR(T$47)=VALUE(LEFT($K$47,4)),1,2))),
IF(YEAR($E52)&lt;VALUE(LEFT($K$47,4)),($M52+$N52)/12,0))</f>
        <v>0</v>
      </c>
      <c r="U52" s="119">
        <f ca="1">+IF($E52=U$47,SUM($M52:OFFSET($M52,0,IF(YEAR(U$47)=VALUE(LEFT($K$47,4)),1,2))),
IF(YEAR($E52)&lt;VALUE(LEFT($K$47,4)),($M52+$N52)/12,0))</f>
        <v>2216.4762300000011</v>
      </c>
      <c r="V52" s="119">
        <f ca="1">+IF($E52=V$47,SUM($M52:OFFSET($M52,0,IF(YEAR(V$47)=VALUE(LEFT($K$47,4)),1,2))),
IF(YEAR($E52)&lt;VALUE(LEFT($K$47,4)),($M52+$N52)/12,0))</f>
        <v>0</v>
      </c>
      <c r="W52" s="119">
        <f ca="1">+IF($E52=W$47,SUM($M52:OFFSET($M52,0,IF(YEAR(W$47)=VALUE(LEFT($K$47,4)),1,2))),
IF(YEAR($E52)&lt;VALUE(LEFT($K$47,4)),($M52+$N52)/12,0))</f>
        <v>0</v>
      </c>
      <c r="X52" s="119">
        <f ca="1">+IF($E52=X$47,SUM($M52:OFFSET($M52,0,IF(YEAR(X$47)=VALUE(LEFT($K$47,4)),1,2))),
IF(YEAR($E52)&lt;VALUE(LEFT($K$47,4)),($M52+$N52)/12,0))</f>
        <v>0</v>
      </c>
      <c r="Y52" s="119">
        <f ca="1">+IF($E52=Y$47,SUM($M52:OFFSET($M52,0,IF(YEAR(Y$47)=VALUE(LEFT($K$47,4)),1,2))),
IF(YEAR($E52)&lt;VALUE(LEFT($K$47,4)),($M52+$N52)/12,0))</f>
        <v>0</v>
      </c>
      <c r="Z52" s="119">
        <f ca="1">+IF($E52=Z$47,SUM($M52:OFFSET($M52,0,IF(YEAR(Z$47)=VALUE(LEFT($K$47,4)),1,2))),
IF(YEAR($E52)&lt;VALUE(LEFT($K$47,4)),($M52+$N52)/12,0))</f>
        <v>0</v>
      </c>
      <c r="AA52" s="119">
        <f ca="1">+IF($E52=AA$47,SUM($M52:OFFSET($M52,0,IF(YEAR(AA$47)=VALUE(LEFT($K$47,4)),1,2))),
IF(YEAR($E52)&lt;VALUE(LEFT($K$47,4)),($M52+$N52)/12,0))</f>
        <v>0</v>
      </c>
      <c r="AB52" s="120">
        <f ca="1">+IF($E52=AB$47,SUM($M52:OFFSET($M52,0,IF(YEAR(AB$47)=VALUE(LEFT($K$47,4)),1,2))),
IF(YEAR($E52)&lt;VALUE(LEFT($K$47,4)),($M52+$N52)/12,0))</f>
        <v>0</v>
      </c>
      <c r="AC52" s="122">
        <f ca="1">+IF($E52=AC$47,SUM($M52:OFFSET($M52,0,IF(YEAR(AC$47)=VALUE(LEFT($K$47,4)),1,2))),
IF(YEAR($E52)&lt;=2015,$O52/12,0))</f>
        <v>0</v>
      </c>
      <c r="AD52" s="119">
        <f ca="1">+IF($E52=AD$47,SUM($M52:OFFSET($M52,0,IF(YEAR(AD$47)=VALUE(LEFT($K$47,4)),1,2))),
IF(YEAR($E52)&lt;=2015,$O52/12,0))</f>
        <v>0</v>
      </c>
      <c r="AE52" s="119">
        <f ca="1">+IF($E52=AE$47,SUM($M52:OFFSET($M52,0,IF(YEAR(AE$47)=VALUE(LEFT($K$47,4)),1,2))),
IF(YEAR($E52)&lt;=2015,$O52/12,0))</f>
        <v>0</v>
      </c>
      <c r="AF52" s="119">
        <f ca="1">+IF($E52=AF$47,SUM($M52:OFFSET($M52,0,IF(YEAR(AF$47)=VALUE(LEFT($K$47,4)),1,2))),
IF(YEAR($E52)&lt;=2015,$O52/12,0))</f>
        <v>0</v>
      </c>
      <c r="AG52" s="119">
        <f ca="1">+IF($E52=AG$47,SUM($M52:OFFSET($M52,0,IF(YEAR(AG$47)=VALUE(LEFT($K$47,4)),1,2))),
IF(YEAR($E52)&lt;=2015,$O52/12,0))</f>
        <v>0</v>
      </c>
      <c r="AH52" s="119">
        <f ca="1">+IF($E52=AH$47,SUM($M52:OFFSET($M52,0,IF(YEAR(AH$47)=VALUE(LEFT($K$47,4)),1,2))),
IF(YEAR($E52)&lt;=2015,$O52/12,0))</f>
        <v>0</v>
      </c>
      <c r="AI52" s="119">
        <f ca="1">+IF($E52=AI$47,SUM($M52:OFFSET($M52,0,IF(YEAR(AI$47)=VALUE(LEFT($K$47,4)),1,2))),
IF(YEAR($E52)&lt;=2015,$O52/12,0))</f>
        <v>0</v>
      </c>
      <c r="AJ52" s="119">
        <f ca="1">+IF($E52=AJ$47,SUM($M52:OFFSET($M52,0,IF(YEAR(AJ$47)=VALUE(LEFT($K$47,4)),1,2))),
IF(YEAR($E52)&lt;=2015,$O52/12,0))</f>
        <v>0</v>
      </c>
      <c r="AK52" s="119">
        <f ca="1">+IF($E52=AK$47,SUM($M52:OFFSET($M52,0,IF(YEAR(AK$47)=VALUE(LEFT($K$47,4)),1,2))),
IF(YEAR($E52)&lt;=2015,$O52/12,0))</f>
        <v>0</v>
      </c>
      <c r="AL52" s="119">
        <f ca="1">+IF($E52=AL$47,SUM($M52:OFFSET($M52,0,IF(YEAR(AL$47)=VALUE(LEFT($K$47,4)),1,2))),
IF(YEAR($E52)&lt;=2015,$O52/12,0))</f>
        <v>0</v>
      </c>
      <c r="AM52" s="119">
        <f ca="1">+IF($E52=AM$47,SUM($M52:OFFSET($M52,0,IF(YEAR(AM$47)=VALUE(LEFT($K$47,4)),1,2))),
IF(YEAR($E52)&lt;=2015,$O52/12,0))</f>
        <v>0</v>
      </c>
      <c r="AN52" s="120">
        <f ca="1">+IF($E52=AN$47,SUM($M52:OFFSET($M52,0,IF(YEAR(AN$47)=VALUE(LEFT($K$47,4)),1,2))),
IF(YEAR($E52)&lt;=2015,$O52/12,0))</f>
        <v>0</v>
      </c>
      <c r="AO52" s="121"/>
    </row>
    <row r="53" spans="1:41" s="105" customFormat="1" ht="15" x14ac:dyDescent="0.25">
      <c r="A53" s="96" t="s">
        <v>109</v>
      </c>
      <c r="B53" s="97" t="s">
        <v>110</v>
      </c>
      <c r="C53" s="98">
        <v>6694</v>
      </c>
      <c r="D53" s="99" t="s">
        <v>70</v>
      </c>
      <c r="E53" s="100">
        <v>41395</v>
      </c>
      <c r="F53" s="97" t="s">
        <v>78</v>
      </c>
      <c r="G53" s="101">
        <v>0</v>
      </c>
      <c r="H53" s="102">
        <v>1</v>
      </c>
      <c r="I53" s="263" t="s">
        <v>478</v>
      </c>
      <c r="J53" s="140">
        <v>12254.600100000003</v>
      </c>
      <c r="K53" s="139">
        <v>100</v>
      </c>
      <c r="L53" s="119">
        <v>0</v>
      </c>
      <c r="M53" s="119">
        <f t="shared" si="13"/>
        <v>12254.600100000003</v>
      </c>
      <c r="N53" s="121">
        <f t="shared" si="14"/>
        <v>100</v>
      </c>
      <c r="O53" s="120">
        <f t="shared" si="15"/>
        <v>0</v>
      </c>
      <c r="P53" s="121"/>
      <c r="Q53" s="122">
        <f ca="1">+IF($E53=Q$47,SUM($M53:OFFSET($M53,0,IF(YEAR(Q$47)=VALUE(LEFT($K$47,4)),1,2))),
IF(YEAR($E53)&lt;VALUE(LEFT($K$47,4)),($M53+$N53)/12,0))</f>
        <v>1029.5500083333336</v>
      </c>
      <c r="R53" s="119">
        <f ca="1">+IF($E53=R$47,SUM($M53:OFFSET($M53,0,IF(YEAR(R$47)=VALUE(LEFT($K$47,4)),1,2))),
IF(YEAR($E53)&lt;VALUE(LEFT($K$47,4)),($M53+$N53)/12,0))</f>
        <v>1029.5500083333336</v>
      </c>
      <c r="S53" s="119">
        <f ca="1">+IF($E53=S$47,SUM($M53:OFFSET($M53,0,IF(YEAR(S$47)=VALUE(LEFT($K$47,4)),1,2))),
IF(YEAR($E53)&lt;VALUE(LEFT($K$47,4)),($M53+$N53)/12,0))</f>
        <v>1029.5500083333336</v>
      </c>
      <c r="T53" s="119">
        <f ca="1">+IF($E53=T$47,SUM($M53:OFFSET($M53,0,IF(YEAR(T$47)=VALUE(LEFT($K$47,4)),1,2))),
IF(YEAR($E53)&lt;VALUE(LEFT($K$47,4)),($M53+$N53)/12,0))</f>
        <v>1029.5500083333336</v>
      </c>
      <c r="U53" s="119">
        <f ca="1">+IF($E53=U$47,SUM($M53:OFFSET($M53,0,IF(YEAR(U$47)=VALUE(LEFT($K$47,4)),1,2))),
IF(YEAR($E53)&lt;VALUE(LEFT($K$47,4)),($M53+$N53)/12,0))</f>
        <v>1029.5500083333336</v>
      </c>
      <c r="V53" s="119">
        <f ca="1">+IF($E53=V$47,SUM($M53:OFFSET($M53,0,IF(YEAR(V$47)=VALUE(LEFT($K$47,4)),1,2))),
IF(YEAR($E53)&lt;VALUE(LEFT($K$47,4)),($M53+$N53)/12,0))</f>
        <v>1029.5500083333336</v>
      </c>
      <c r="W53" s="119">
        <f ca="1">+IF($E53=W$47,SUM($M53:OFFSET($M53,0,IF(YEAR(W$47)=VALUE(LEFT($K$47,4)),1,2))),
IF(YEAR($E53)&lt;VALUE(LEFT($K$47,4)),($M53+$N53)/12,0))</f>
        <v>1029.5500083333336</v>
      </c>
      <c r="X53" s="119">
        <f ca="1">+IF($E53=X$47,SUM($M53:OFFSET($M53,0,IF(YEAR(X$47)=VALUE(LEFT($K$47,4)),1,2))),
IF(YEAR($E53)&lt;VALUE(LEFT($K$47,4)),($M53+$N53)/12,0))</f>
        <v>1029.5500083333336</v>
      </c>
      <c r="Y53" s="119">
        <f ca="1">+IF($E53=Y$47,SUM($M53:OFFSET($M53,0,IF(YEAR(Y$47)=VALUE(LEFT($K$47,4)),1,2))),
IF(YEAR($E53)&lt;VALUE(LEFT($K$47,4)),($M53+$N53)/12,0))</f>
        <v>1029.5500083333336</v>
      </c>
      <c r="Z53" s="119">
        <f ca="1">+IF($E53=Z$47,SUM($M53:OFFSET($M53,0,IF(YEAR(Z$47)=VALUE(LEFT($K$47,4)),1,2))),
IF(YEAR($E53)&lt;VALUE(LEFT($K$47,4)),($M53+$N53)/12,0))</f>
        <v>1029.5500083333336</v>
      </c>
      <c r="AA53" s="119">
        <f ca="1">+IF($E53=AA$47,SUM($M53:OFFSET($M53,0,IF(YEAR(AA$47)=VALUE(LEFT($K$47,4)),1,2))),
IF(YEAR($E53)&lt;VALUE(LEFT($K$47,4)),($M53+$N53)/12,0))</f>
        <v>1029.5500083333336</v>
      </c>
      <c r="AB53" s="120">
        <f ca="1">+IF($E53=AB$47,SUM($M53:OFFSET($M53,0,IF(YEAR(AB$47)=VALUE(LEFT($K$47,4)),1,2))),
IF(YEAR($E53)&lt;VALUE(LEFT($K$47,4)),($M53+$N53)/12,0))</f>
        <v>1029.5500083333336</v>
      </c>
      <c r="AC53" s="122">
        <f ca="1">+IF($E53=AC$47,SUM($M53:OFFSET($M53,0,IF(YEAR(AC$47)=VALUE(LEFT($K$47,4)),1,2))),
IF(YEAR($E53)&lt;=2015,$O53/12,0))</f>
        <v>0</v>
      </c>
      <c r="AD53" s="119">
        <f ca="1">+IF($E53=AD$47,SUM($M53:OFFSET($M53,0,IF(YEAR(AD$47)=VALUE(LEFT($K$47,4)),1,2))),
IF(YEAR($E53)&lt;=2015,$O53/12,0))</f>
        <v>0</v>
      </c>
      <c r="AE53" s="119">
        <f ca="1">+IF($E53=AE$47,SUM($M53:OFFSET($M53,0,IF(YEAR(AE$47)=VALUE(LEFT($K$47,4)),1,2))),
IF(YEAR($E53)&lt;=2015,$O53/12,0))</f>
        <v>0</v>
      </c>
      <c r="AF53" s="119">
        <f ca="1">+IF($E53=AF$47,SUM($M53:OFFSET($M53,0,IF(YEAR(AF$47)=VALUE(LEFT($K$47,4)),1,2))),
IF(YEAR($E53)&lt;=2015,$O53/12,0))</f>
        <v>0</v>
      </c>
      <c r="AG53" s="119">
        <f ca="1">+IF($E53=AG$47,SUM($M53:OFFSET($M53,0,IF(YEAR(AG$47)=VALUE(LEFT($K$47,4)),1,2))),
IF(YEAR($E53)&lt;=2015,$O53/12,0))</f>
        <v>0</v>
      </c>
      <c r="AH53" s="119">
        <f ca="1">+IF($E53=AH$47,SUM($M53:OFFSET($M53,0,IF(YEAR(AH$47)=VALUE(LEFT($K$47,4)),1,2))),
IF(YEAR($E53)&lt;=2015,$O53/12,0))</f>
        <v>0</v>
      </c>
      <c r="AI53" s="119">
        <f ca="1">+IF($E53=AI$47,SUM($M53:OFFSET($M53,0,IF(YEAR(AI$47)=VALUE(LEFT($K$47,4)),1,2))),
IF(YEAR($E53)&lt;=2015,$O53/12,0))</f>
        <v>0</v>
      </c>
      <c r="AJ53" s="119">
        <f ca="1">+IF($E53=AJ$47,SUM($M53:OFFSET($M53,0,IF(YEAR(AJ$47)=VALUE(LEFT($K$47,4)),1,2))),
IF(YEAR($E53)&lt;=2015,$O53/12,0))</f>
        <v>0</v>
      </c>
      <c r="AK53" s="119">
        <f ca="1">+IF($E53=AK$47,SUM($M53:OFFSET($M53,0,IF(YEAR(AK$47)=VALUE(LEFT($K$47,4)),1,2))),
IF(YEAR($E53)&lt;=2015,$O53/12,0))</f>
        <v>0</v>
      </c>
      <c r="AL53" s="119">
        <f ca="1">+IF($E53=AL$47,SUM($M53:OFFSET($M53,0,IF(YEAR(AL$47)=VALUE(LEFT($K$47,4)),1,2))),
IF(YEAR($E53)&lt;=2015,$O53/12,0))</f>
        <v>0</v>
      </c>
      <c r="AM53" s="119">
        <f ca="1">+IF($E53=AM$47,SUM($M53:OFFSET($M53,0,IF(YEAR(AM$47)=VALUE(LEFT($K$47,4)),1,2))),
IF(YEAR($E53)&lt;=2015,$O53/12,0))</f>
        <v>0</v>
      </c>
      <c r="AN53" s="120">
        <f ca="1">+IF($E53=AN$47,SUM($M53:OFFSET($M53,0,IF(YEAR(AN$47)=VALUE(LEFT($K$47,4)),1,2))),
IF(YEAR($E53)&lt;=2015,$O53/12,0))</f>
        <v>0</v>
      </c>
      <c r="AO53" s="121"/>
    </row>
    <row r="54" spans="1:41" s="105" customFormat="1" ht="15" x14ac:dyDescent="0.25">
      <c r="A54" s="96" t="s">
        <v>111</v>
      </c>
      <c r="B54" s="97" t="s">
        <v>112</v>
      </c>
      <c r="C54" s="98">
        <v>6694</v>
      </c>
      <c r="D54" s="99" t="s">
        <v>70</v>
      </c>
      <c r="E54" s="100">
        <v>41791</v>
      </c>
      <c r="F54" s="97" t="s">
        <v>78</v>
      </c>
      <c r="G54" s="101">
        <v>0</v>
      </c>
      <c r="H54" s="102">
        <v>1</v>
      </c>
      <c r="I54" s="263" t="s">
        <v>478</v>
      </c>
      <c r="J54" s="140">
        <v>851.63101999999969</v>
      </c>
      <c r="K54" s="139">
        <v>100</v>
      </c>
      <c r="L54" s="119">
        <v>0</v>
      </c>
      <c r="M54" s="119">
        <f t="shared" si="13"/>
        <v>851.63101999999969</v>
      </c>
      <c r="N54" s="121">
        <f t="shared" si="14"/>
        <v>100</v>
      </c>
      <c r="O54" s="120">
        <f t="shared" si="15"/>
        <v>0</v>
      </c>
      <c r="P54" s="121"/>
      <c r="Q54" s="122">
        <f ca="1">+IF($E54=Q$47,SUM($M54:OFFSET($M54,0,IF(YEAR(Q$47)=VALUE(LEFT($K$47,4)),1,2))),
IF(YEAR($E54)&lt;VALUE(LEFT($K$47,4)),($M54+$N54)/12,0))</f>
        <v>79.302584999999979</v>
      </c>
      <c r="R54" s="119">
        <f ca="1">+IF($E54=R$47,SUM($M54:OFFSET($M54,0,IF(YEAR(R$47)=VALUE(LEFT($K$47,4)),1,2))),
IF(YEAR($E54)&lt;VALUE(LEFT($K$47,4)),($M54+$N54)/12,0))</f>
        <v>79.302584999999979</v>
      </c>
      <c r="S54" s="119">
        <f ca="1">+IF($E54=S$47,SUM($M54:OFFSET($M54,0,IF(YEAR(S$47)=VALUE(LEFT($K$47,4)),1,2))),
IF(YEAR($E54)&lt;VALUE(LEFT($K$47,4)),($M54+$N54)/12,0))</f>
        <v>79.302584999999979</v>
      </c>
      <c r="T54" s="119">
        <f ca="1">+IF($E54=T$47,SUM($M54:OFFSET($M54,0,IF(YEAR(T$47)=VALUE(LEFT($K$47,4)),1,2))),
IF(YEAR($E54)&lt;VALUE(LEFT($K$47,4)),($M54+$N54)/12,0))</f>
        <v>79.302584999999979</v>
      </c>
      <c r="U54" s="119">
        <f ca="1">+IF($E54=U$47,SUM($M54:OFFSET($M54,0,IF(YEAR(U$47)=VALUE(LEFT($K$47,4)),1,2))),
IF(YEAR($E54)&lt;VALUE(LEFT($K$47,4)),($M54+$N54)/12,0))</f>
        <v>79.302584999999979</v>
      </c>
      <c r="V54" s="119">
        <f ca="1">+IF($E54=V$47,SUM($M54:OFFSET($M54,0,IF(YEAR(V$47)=VALUE(LEFT($K$47,4)),1,2))),
IF(YEAR($E54)&lt;VALUE(LEFT($K$47,4)),($M54+$N54)/12,0))</f>
        <v>79.302584999999979</v>
      </c>
      <c r="W54" s="119">
        <f ca="1">+IF($E54=W$47,SUM($M54:OFFSET($M54,0,IF(YEAR(W$47)=VALUE(LEFT($K$47,4)),1,2))),
IF(YEAR($E54)&lt;VALUE(LEFT($K$47,4)),($M54+$N54)/12,0))</f>
        <v>79.302584999999979</v>
      </c>
      <c r="X54" s="119">
        <f ca="1">+IF($E54=X$47,SUM($M54:OFFSET($M54,0,IF(YEAR(X$47)=VALUE(LEFT($K$47,4)),1,2))),
IF(YEAR($E54)&lt;VALUE(LEFT($K$47,4)),($M54+$N54)/12,0))</f>
        <v>79.302584999999979</v>
      </c>
      <c r="Y54" s="119">
        <f ca="1">+IF($E54=Y$47,SUM($M54:OFFSET($M54,0,IF(YEAR(Y$47)=VALUE(LEFT($K$47,4)),1,2))),
IF(YEAR($E54)&lt;VALUE(LEFT($K$47,4)),($M54+$N54)/12,0))</f>
        <v>79.302584999999979</v>
      </c>
      <c r="Z54" s="119">
        <f ca="1">+IF($E54=Z$47,SUM($M54:OFFSET($M54,0,IF(YEAR(Z$47)=VALUE(LEFT($K$47,4)),1,2))),
IF(YEAR($E54)&lt;VALUE(LEFT($K$47,4)),($M54+$N54)/12,0))</f>
        <v>79.302584999999979</v>
      </c>
      <c r="AA54" s="119">
        <f ca="1">+IF($E54=AA$47,SUM($M54:OFFSET($M54,0,IF(YEAR(AA$47)=VALUE(LEFT($K$47,4)),1,2))),
IF(YEAR($E54)&lt;VALUE(LEFT($K$47,4)),($M54+$N54)/12,0))</f>
        <v>79.302584999999979</v>
      </c>
      <c r="AB54" s="120">
        <f ca="1">+IF($E54=AB$47,SUM($M54:OFFSET($M54,0,IF(YEAR(AB$47)=VALUE(LEFT($K$47,4)),1,2))),
IF(YEAR($E54)&lt;VALUE(LEFT($K$47,4)),($M54+$N54)/12,0))</f>
        <v>79.302584999999979</v>
      </c>
      <c r="AC54" s="122">
        <f ca="1">+IF($E54=AC$47,SUM($M54:OFFSET($M54,0,IF(YEAR(AC$47)=VALUE(LEFT($K$47,4)),1,2))),
IF(YEAR($E54)&lt;=2015,$O54/12,0))</f>
        <v>0</v>
      </c>
      <c r="AD54" s="119">
        <f ca="1">+IF($E54=AD$47,SUM($M54:OFFSET($M54,0,IF(YEAR(AD$47)=VALUE(LEFT($K$47,4)),1,2))),
IF(YEAR($E54)&lt;=2015,$O54/12,0))</f>
        <v>0</v>
      </c>
      <c r="AE54" s="119">
        <f ca="1">+IF($E54=AE$47,SUM($M54:OFFSET($M54,0,IF(YEAR(AE$47)=VALUE(LEFT($K$47,4)),1,2))),
IF(YEAR($E54)&lt;=2015,$O54/12,0))</f>
        <v>0</v>
      </c>
      <c r="AF54" s="119">
        <f ca="1">+IF($E54=AF$47,SUM($M54:OFFSET($M54,0,IF(YEAR(AF$47)=VALUE(LEFT($K$47,4)),1,2))),
IF(YEAR($E54)&lt;=2015,$O54/12,0))</f>
        <v>0</v>
      </c>
      <c r="AG54" s="119">
        <f ca="1">+IF($E54=AG$47,SUM($M54:OFFSET($M54,0,IF(YEAR(AG$47)=VALUE(LEFT($K$47,4)),1,2))),
IF(YEAR($E54)&lt;=2015,$O54/12,0))</f>
        <v>0</v>
      </c>
      <c r="AH54" s="119">
        <f ca="1">+IF($E54=AH$47,SUM($M54:OFFSET($M54,0,IF(YEAR(AH$47)=VALUE(LEFT($K$47,4)),1,2))),
IF(YEAR($E54)&lt;=2015,$O54/12,0))</f>
        <v>0</v>
      </c>
      <c r="AI54" s="119">
        <f ca="1">+IF($E54=AI$47,SUM($M54:OFFSET($M54,0,IF(YEAR(AI$47)=VALUE(LEFT($K$47,4)),1,2))),
IF(YEAR($E54)&lt;=2015,$O54/12,0))</f>
        <v>0</v>
      </c>
      <c r="AJ54" s="119">
        <f ca="1">+IF($E54=AJ$47,SUM($M54:OFFSET($M54,0,IF(YEAR(AJ$47)=VALUE(LEFT($K$47,4)),1,2))),
IF(YEAR($E54)&lt;=2015,$O54/12,0))</f>
        <v>0</v>
      </c>
      <c r="AK54" s="119">
        <f ca="1">+IF($E54=AK$47,SUM($M54:OFFSET($M54,0,IF(YEAR(AK$47)=VALUE(LEFT($K$47,4)),1,2))),
IF(YEAR($E54)&lt;=2015,$O54/12,0))</f>
        <v>0</v>
      </c>
      <c r="AL54" s="119">
        <f ca="1">+IF($E54=AL$47,SUM($M54:OFFSET($M54,0,IF(YEAR(AL$47)=VALUE(LEFT($K$47,4)),1,2))),
IF(YEAR($E54)&lt;=2015,$O54/12,0))</f>
        <v>0</v>
      </c>
      <c r="AM54" s="119">
        <f ca="1">+IF($E54=AM$47,SUM($M54:OFFSET($M54,0,IF(YEAR(AM$47)=VALUE(LEFT($K$47,4)),1,2))),
IF(YEAR($E54)&lt;=2015,$O54/12,0))</f>
        <v>0</v>
      </c>
      <c r="AN54" s="120">
        <f ca="1">+IF($E54=AN$47,SUM($M54:OFFSET($M54,0,IF(YEAR(AN$47)=VALUE(LEFT($K$47,4)),1,2))),
IF(YEAR($E54)&lt;=2015,$O54/12,0))</f>
        <v>0</v>
      </c>
      <c r="AO54" s="121"/>
    </row>
    <row r="55" spans="1:41" s="105" customFormat="1" ht="15" x14ac:dyDescent="0.25">
      <c r="A55" s="96" t="s">
        <v>113</v>
      </c>
      <c r="B55" s="97" t="s">
        <v>114</v>
      </c>
      <c r="C55" s="98">
        <v>6694</v>
      </c>
      <c r="D55" s="99" t="s">
        <v>70</v>
      </c>
      <c r="E55" s="100">
        <v>41760</v>
      </c>
      <c r="F55" s="97" t="s">
        <v>78</v>
      </c>
      <c r="G55" s="101">
        <v>0</v>
      </c>
      <c r="H55" s="102">
        <v>1</v>
      </c>
      <c r="I55" s="263" t="s">
        <v>478</v>
      </c>
      <c r="J55" s="140">
        <v>341.01633000000015</v>
      </c>
      <c r="K55" s="139">
        <v>100</v>
      </c>
      <c r="L55" s="119">
        <v>0</v>
      </c>
      <c r="M55" s="119">
        <f t="shared" si="13"/>
        <v>341.01633000000015</v>
      </c>
      <c r="N55" s="121">
        <f t="shared" si="14"/>
        <v>100</v>
      </c>
      <c r="O55" s="120">
        <f t="shared" si="15"/>
        <v>0</v>
      </c>
      <c r="P55" s="121"/>
      <c r="Q55" s="122">
        <f ca="1">+IF($E55=Q$47,SUM($M55:OFFSET($M55,0,IF(YEAR(Q$47)=VALUE(LEFT($K$47,4)),1,2))),
IF(YEAR($E55)&lt;VALUE(LEFT($K$47,4)),($M55+$N55)/12,0))</f>
        <v>36.751360833333344</v>
      </c>
      <c r="R55" s="119">
        <f ca="1">+IF($E55=R$47,SUM($M55:OFFSET($M55,0,IF(YEAR(R$47)=VALUE(LEFT($K$47,4)),1,2))),
IF(YEAR($E55)&lt;VALUE(LEFT($K$47,4)),($M55+$N55)/12,0))</f>
        <v>36.751360833333344</v>
      </c>
      <c r="S55" s="119">
        <f ca="1">+IF($E55=S$47,SUM($M55:OFFSET($M55,0,IF(YEAR(S$47)=VALUE(LEFT($K$47,4)),1,2))),
IF(YEAR($E55)&lt;VALUE(LEFT($K$47,4)),($M55+$N55)/12,0))</f>
        <v>36.751360833333344</v>
      </c>
      <c r="T55" s="119">
        <f ca="1">+IF($E55=T$47,SUM($M55:OFFSET($M55,0,IF(YEAR(T$47)=VALUE(LEFT($K$47,4)),1,2))),
IF(YEAR($E55)&lt;VALUE(LEFT($K$47,4)),($M55+$N55)/12,0))</f>
        <v>36.751360833333344</v>
      </c>
      <c r="U55" s="119">
        <f ca="1">+IF($E55=U$47,SUM($M55:OFFSET($M55,0,IF(YEAR(U$47)=VALUE(LEFT($K$47,4)),1,2))),
IF(YEAR($E55)&lt;VALUE(LEFT($K$47,4)),($M55+$N55)/12,0))</f>
        <v>36.751360833333344</v>
      </c>
      <c r="V55" s="119">
        <f ca="1">+IF($E55=V$47,SUM($M55:OFFSET($M55,0,IF(YEAR(V$47)=VALUE(LEFT($K$47,4)),1,2))),
IF(YEAR($E55)&lt;VALUE(LEFT($K$47,4)),($M55+$N55)/12,0))</f>
        <v>36.751360833333344</v>
      </c>
      <c r="W55" s="119">
        <f ca="1">+IF($E55=W$47,SUM($M55:OFFSET($M55,0,IF(YEAR(W$47)=VALUE(LEFT($K$47,4)),1,2))),
IF(YEAR($E55)&lt;VALUE(LEFT($K$47,4)),($M55+$N55)/12,0))</f>
        <v>36.751360833333344</v>
      </c>
      <c r="X55" s="119">
        <f ca="1">+IF($E55=X$47,SUM($M55:OFFSET($M55,0,IF(YEAR(X$47)=VALUE(LEFT($K$47,4)),1,2))),
IF(YEAR($E55)&lt;VALUE(LEFT($K$47,4)),($M55+$N55)/12,0))</f>
        <v>36.751360833333344</v>
      </c>
      <c r="Y55" s="119">
        <f ca="1">+IF($E55=Y$47,SUM($M55:OFFSET($M55,0,IF(YEAR(Y$47)=VALUE(LEFT($K$47,4)),1,2))),
IF(YEAR($E55)&lt;VALUE(LEFT($K$47,4)),($M55+$N55)/12,0))</f>
        <v>36.751360833333344</v>
      </c>
      <c r="Z55" s="119">
        <f ca="1">+IF($E55=Z$47,SUM($M55:OFFSET($M55,0,IF(YEAR(Z$47)=VALUE(LEFT($K$47,4)),1,2))),
IF(YEAR($E55)&lt;VALUE(LEFT($K$47,4)),($M55+$N55)/12,0))</f>
        <v>36.751360833333344</v>
      </c>
      <c r="AA55" s="119">
        <f ca="1">+IF($E55=AA$47,SUM($M55:OFFSET($M55,0,IF(YEAR(AA$47)=VALUE(LEFT($K$47,4)),1,2))),
IF(YEAR($E55)&lt;VALUE(LEFT($K$47,4)),($M55+$N55)/12,0))</f>
        <v>36.751360833333344</v>
      </c>
      <c r="AB55" s="120">
        <f ca="1">+IF($E55=AB$47,SUM($M55:OFFSET($M55,0,IF(YEAR(AB$47)=VALUE(LEFT($K$47,4)),1,2))),
IF(YEAR($E55)&lt;VALUE(LEFT($K$47,4)),($M55+$N55)/12,0))</f>
        <v>36.751360833333344</v>
      </c>
      <c r="AC55" s="122">
        <f ca="1">+IF($E55=AC$47,SUM($M55:OFFSET($M55,0,IF(YEAR(AC$47)=VALUE(LEFT($K$47,4)),1,2))),
IF(YEAR($E55)&lt;=2015,$O55/12,0))</f>
        <v>0</v>
      </c>
      <c r="AD55" s="119">
        <f ca="1">+IF($E55=AD$47,SUM($M55:OFFSET($M55,0,IF(YEAR(AD$47)=VALUE(LEFT($K$47,4)),1,2))),
IF(YEAR($E55)&lt;=2015,$O55/12,0))</f>
        <v>0</v>
      </c>
      <c r="AE55" s="119">
        <f ca="1">+IF($E55=AE$47,SUM($M55:OFFSET($M55,0,IF(YEAR(AE$47)=VALUE(LEFT($K$47,4)),1,2))),
IF(YEAR($E55)&lt;=2015,$O55/12,0))</f>
        <v>0</v>
      </c>
      <c r="AF55" s="119">
        <f ca="1">+IF($E55=AF$47,SUM($M55:OFFSET($M55,0,IF(YEAR(AF$47)=VALUE(LEFT($K$47,4)),1,2))),
IF(YEAR($E55)&lt;=2015,$O55/12,0))</f>
        <v>0</v>
      </c>
      <c r="AG55" s="119">
        <f ca="1">+IF($E55=AG$47,SUM($M55:OFFSET($M55,0,IF(YEAR(AG$47)=VALUE(LEFT($K$47,4)),1,2))),
IF(YEAR($E55)&lt;=2015,$O55/12,0))</f>
        <v>0</v>
      </c>
      <c r="AH55" s="119">
        <f ca="1">+IF($E55=AH$47,SUM($M55:OFFSET($M55,0,IF(YEAR(AH$47)=VALUE(LEFT($K$47,4)),1,2))),
IF(YEAR($E55)&lt;=2015,$O55/12,0))</f>
        <v>0</v>
      </c>
      <c r="AI55" s="119">
        <f ca="1">+IF($E55=AI$47,SUM($M55:OFFSET($M55,0,IF(YEAR(AI$47)=VALUE(LEFT($K$47,4)),1,2))),
IF(YEAR($E55)&lt;=2015,$O55/12,0))</f>
        <v>0</v>
      </c>
      <c r="AJ55" s="119">
        <f ca="1">+IF($E55=AJ$47,SUM($M55:OFFSET($M55,0,IF(YEAR(AJ$47)=VALUE(LEFT($K$47,4)),1,2))),
IF(YEAR($E55)&lt;=2015,$O55/12,0))</f>
        <v>0</v>
      </c>
      <c r="AK55" s="119">
        <f ca="1">+IF($E55=AK$47,SUM($M55:OFFSET($M55,0,IF(YEAR(AK$47)=VALUE(LEFT($K$47,4)),1,2))),
IF(YEAR($E55)&lt;=2015,$O55/12,0))</f>
        <v>0</v>
      </c>
      <c r="AL55" s="119">
        <f ca="1">+IF($E55=AL$47,SUM($M55:OFFSET($M55,0,IF(YEAR(AL$47)=VALUE(LEFT($K$47,4)),1,2))),
IF(YEAR($E55)&lt;=2015,$O55/12,0))</f>
        <v>0</v>
      </c>
      <c r="AM55" s="119">
        <f ca="1">+IF($E55=AM$47,SUM($M55:OFFSET($M55,0,IF(YEAR(AM$47)=VALUE(LEFT($K$47,4)),1,2))),
IF(YEAR($E55)&lt;=2015,$O55/12,0))</f>
        <v>0</v>
      </c>
      <c r="AN55" s="120">
        <f ca="1">+IF($E55=AN$47,SUM($M55:OFFSET($M55,0,IF(YEAR(AN$47)=VALUE(LEFT($K$47,4)),1,2))),
IF(YEAR($E55)&lt;=2015,$O55/12,0))</f>
        <v>0</v>
      </c>
      <c r="AO55" s="121"/>
    </row>
    <row r="56" spans="1:41" s="105" customFormat="1" ht="15" x14ac:dyDescent="0.25">
      <c r="A56" s="96" t="s">
        <v>115</v>
      </c>
      <c r="B56" s="97" t="s">
        <v>116</v>
      </c>
      <c r="C56" s="98">
        <v>6694</v>
      </c>
      <c r="D56" s="99" t="s">
        <v>70</v>
      </c>
      <c r="E56" s="100">
        <v>41791</v>
      </c>
      <c r="F56" s="97" t="s">
        <v>78</v>
      </c>
      <c r="G56" s="101">
        <v>0</v>
      </c>
      <c r="H56" s="102">
        <v>1</v>
      </c>
      <c r="I56" s="263" t="s">
        <v>478</v>
      </c>
      <c r="J56" s="140">
        <v>639.54839000000015</v>
      </c>
      <c r="K56" s="139">
        <v>100</v>
      </c>
      <c r="L56" s="119">
        <v>0</v>
      </c>
      <c r="M56" s="119">
        <f t="shared" si="13"/>
        <v>639.54839000000015</v>
      </c>
      <c r="N56" s="121">
        <f t="shared" si="14"/>
        <v>100</v>
      </c>
      <c r="O56" s="120">
        <f t="shared" si="15"/>
        <v>0</v>
      </c>
      <c r="P56" s="121"/>
      <c r="Q56" s="122">
        <f ca="1">+IF($E56=Q$47,SUM($M56:OFFSET($M56,0,IF(YEAR(Q$47)=VALUE(LEFT($K$47,4)),1,2))),
IF(YEAR($E56)&lt;VALUE(LEFT($K$47,4)),($M56+$N56)/12,0))</f>
        <v>61.629032500000015</v>
      </c>
      <c r="R56" s="119">
        <f ca="1">+IF($E56=R$47,SUM($M56:OFFSET($M56,0,IF(YEAR(R$47)=VALUE(LEFT($K$47,4)),1,2))),
IF(YEAR($E56)&lt;VALUE(LEFT($K$47,4)),($M56+$N56)/12,0))</f>
        <v>61.629032500000015</v>
      </c>
      <c r="S56" s="119">
        <f ca="1">+IF($E56=S$47,SUM($M56:OFFSET($M56,0,IF(YEAR(S$47)=VALUE(LEFT($K$47,4)),1,2))),
IF(YEAR($E56)&lt;VALUE(LEFT($K$47,4)),($M56+$N56)/12,0))</f>
        <v>61.629032500000015</v>
      </c>
      <c r="T56" s="119">
        <f ca="1">+IF($E56=T$47,SUM($M56:OFFSET($M56,0,IF(YEAR(T$47)=VALUE(LEFT($K$47,4)),1,2))),
IF(YEAR($E56)&lt;VALUE(LEFT($K$47,4)),($M56+$N56)/12,0))</f>
        <v>61.629032500000015</v>
      </c>
      <c r="U56" s="119">
        <f ca="1">+IF($E56=U$47,SUM($M56:OFFSET($M56,0,IF(YEAR(U$47)=VALUE(LEFT($K$47,4)),1,2))),
IF(YEAR($E56)&lt;VALUE(LEFT($K$47,4)),($M56+$N56)/12,0))</f>
        <v>61.629032500000015</v>
      </c>
      <c r="V56" s="119">
        <f ca="1">+IF($E56=V$47,SUM($M56:OFFSET($M56,0,IF(YEAR(V$47)=VALUE(LEFT($K$47,4)),1,2))),
IF(YEAR($E56)&lt;VALUE(LEFT($K$47,4)),($M56+$N56)/12,0))</f>
        <v>61.629032500000015</v>
      </c>
      <c r="W56" s="119">
        <f ca="1">+IF($E56=W$47,SUM($M56:OFFSET($M56,0,IF(YEAR(W$47)=VALUE(LEFT($K$47,4)),1,2))),
IF(YEAR($E56)&lt;VALUE(LEFT($K$47,4)),($M56+$N56)/12,0))</f>
        <v>61.629032500000015</v>
      </c>
      <c r="X56" s="119">
        <f ca="1">+IF($E56=X$47,SUM($M56:OFFSET($M56,0,IF(YEAR(X$47)=VALUE(LEFT($K$47,4)),1,2))),
IF(YEAR($E56)&lt;VALUE(LEFT($K$47,4)),($M56+$N56)/12,0))</f>
        <v>61.629032500000015</v>
      </c>
      <c r="Y56" s="119">
        <f ca="1">+IF($E56=Y$47,SUM($M56:OFFSET($M56,0,IF(YEAR(Y$47)=VALUE(LEFT($K$47,4)),1,2))),
IF(YEAR($E56)&lt;VALUE(LEFT($K$47,4)),($M56+$N56)/12,0))</f>
        <v>61.629032500000015</v>
      </c>
      <c r="Z56" s="119">
        <f ca="1">+IF($E56=Z$47,SUM($M56:OFFSET($M56,0,IF(YEAR(Z$47)=VALUE(LEFT($K$47,4)),1,2))),
IF(YEAR($E56)&lt;VALUE(LEFT($K$47,4)),($M56+$N56)/12,0))</f>
        <v>61.629032500000015</v>
      </c>
      <c r="AA56" s="119">
        <f ca="1">+IF($E56=AA$47,SUM($M56:OFFSET($M56,0,IF(YEAR(AA$47)=VALUE(LEFT($K$47,4)),1,2))),
IF(YEAR($E56)&lt;VALUE(LEFT($K$47,4)),($M56+$N56)/12,0))</f>
        <v>61.629032500000015</v>
      </c>
      <c r="AB56" s="120">
        <f ca="1">+IF($E56=AB$47,SUM($M56:OFFSET($M56,0,IF(YEAR(AB$47)=VALUE(LEFT($K$47,4)),1,2))),
IF(YEAR($E56)&lt;VALUE(LEFT($K$47,4)),($M56+$N56)/12,0))</f>
        <v>61.629032500000015</v>
      </c>
      <c r="AC56" s="122">
        <f ca="1">+IF($E56=AC$47,SUM($M56:OFFSET($M56,0,IF(YEAR(AC$47)=VALUE(LEFT($K$47,4)),1,2))),
IF(YEAR($E56)&lt;=2015,$O56/12,0))</f>
        <v>0</v>
      </c>
      <c r="AD56" s="119">
        <f ca="1">+IF($E56=AD$47,SUM($M56:OFFSET($M56,0,IF(YEAR(AD$47)=VALUE(LEFT($K$47,4)),1,2))),
IF(YEAR($E56)&lt;=2015,$O56/12,0))</f>
        <v>0</v>
      </c>
      <c r="AE56" s="119">
        <f ca="1">+IF($E56=AE$47,SUM($M56:OFFSET($M56,0,IF(YEAR(AE$47)=VALUE(LEFT($K$47,4)),1,2))),
IF(YEAR($E56)&lt;=2015,$O56/12,0))</f>
        <v>0</v>
      </c>
      <c r="AF56" s="119">
        <f ca="1">+IF($E56=AF$47,SUM($M56:OFFSET($M56,0,IF(YEAR(AF$47)=VALUE(LEFT($K$47,4)),1,2))),
IF(YEAR($E56)&lt;=2015,$O56/12,0))</f>
        <v>0</v>
      </c>
      <c r="AG56" s="119">
        <f ca="1">+IF($E56=AG$47,SUM($M56:OFFSET($M56,0,IF(YEAR(AG$47)=VALUE(LEFT($K$47,4)),1,2))),
IF(YEAR($E56)&lt;=2015,$O56/12,0))</f>
        <v>0</v>
      </c>
      <c r="AH56" s="119">
        <f ca="1">+IF($E56=AH$47,SUM($M56:OFFSET($M56,0,IF(YEAR(AH$47)=VALUE(LEFT($K$47,4)),1,2))),
IF(YEAR($E56)&lt;=2015,$O56/12,0))</f>
        <v>0</v>
      </c>
      <c r="AI56" s="119">
        <f ca="1">+IF($E56=AI$47,SUM($M56:OFFSET($M56,0,IF(YEAR(AI$47)=VALUE(LEFT($K$47,4)),1,2))),
IF(YEAR($E56)&lt;=2015,$O56/12,0))</f>
        <v>0</v>
      </c>
      <c r="AJ56" s="119">
        <f ca="1">+IF($E56=AJ$47,SUM($M56:OFFSET($M56,0,IF(YEAR(AJ$47)=VALUE(LEFT($K$47,4)),1,2))),
IF(YEAR($E56)&lt;=2015,$O56/12,0))</f>
        <v>0</v>
      </c>
      <c r="AK56" s="119">
        <f ca="1">+IF($E56=AK$47,SUM($M56:OFFSET($M56,0,IF(YEAR(AK$47)=VALUE(LEFT($K$47,4)),1,2))),
IF(YEAR($E56)&lt;=2015,$O56/12,0))</f>
        <v>0</v>
      </c>
      <c r="AL56" s="119">
        <f ca="1">+IF($E56=AL$47,SUM($M56:OFFSET($M56,0,IF(YEAR(AL$47)=VALUE(LEFT($K$47,4)),1,2))),
IF(YEAR($E56)&lt;=2015,$O56/12,0))</f>
        <v>0</v>
      </c>
      <c r="AM56" s="119">
        <f ca="1">+IF($E56=AM$47,SUM($M56:OFFSET($M56,0,IF(YEAR(AM$47)=VALUE(LEFT($K$47,4)),1,2))),
IF(YEAR($E56)&lt;=2015,$O56/12,0))</f>
        <v>0</v>
      </c>
      <c r="AN56" s="120">
        <f ca="1">+IF($E56=AN$47,SUM($M56:OFFSET($M56,0,IF(YEAR(AN$47)=VALUE(LEFT($K$47,4)),1,2))),
IF(YEAR($E56)&lt;=2015,$O56/12,0))</f>
        <v>0</v>
      </c>
      <c r="AO56" s="121"/>
    </row>
    <row r="57" spans="1:41" s="105" customFormat="1" ht="15" x14ac:dyDescent="0.25">
      <c r="A57" s="96" t="s">
        <v>390</v>
      </c>
      <c r="B57" s="97" t="s">
        <v>391</v>
      </c>
      <c r="C57" s="98">
        <v>7050</v>
      </c>
      <c r="D57" s="99" t="s">
        <v>70</v>
      </c>
      <c r="E57" s="100">
        <v>42339</v>
      </c>
      <c r="F57" s="97" t="s">
        <v>78</v>
      </c>
      <c r="G57" s="101">
        <v>0</v>
      </c>
      <c r="H57" s="102">
        <v>1</v>
      </c>
      <c r="I57" s="263"/>
      <c r="J57" s="140">
        <v>1355.3646199999996</v>
      </c>
      <c r="K57" s="139">
        <v>250</v>
      </c>
      <c r="L57" s="119">
        <v>0</v>
      </c>
      <c r="M57" s="119">
        <f t="shared" si="13"/>
        <v>1355.3646199999996</v>
      </c>
      <c r="N57" s="121">
        <f t="shared" si="14"/>
        <v>250</v>
      </c>
      <c r="O57" s="120">
        <f t="shared" si="15"/>
        <v>0</v>
      </c>
      <c r="P57" s="121"/>
      <c r="Q57" s="122">
        <f ca="1">+IF($E57=Q$47,SUM($M57:OFFSET($M57,0,IF(YEAR(Q$47)=VALUE(LEFT($K$47,4)),1,2))),
IF(YEAR($E57)&lt;VALUE(LEFT($K$47,4)),($M57+$N57)/12,0))</f>
        <v>0</v>
      </c>
      <c r="R57" s="119">
        <f ca="1">+IF($E57=R$47,SUM($M57:OFFSET($M57,0,IF(YEAR(R$47)=VALUE(LEFT($K$47,4)),1,2))),
IF(YEAR($E57)&lt;VALUE(LEFT($K$47,4)),($M57+$N57)/12,0))</f>
        <v>0</v>
      </c>
      <c r="S57" s="119">
        <f ca="1">+IF($E57=S$47,SUM($M57:OFFSET($M57,0,IF(YEAR(S$47)=VALUE(LEFT($K$47,4)),1,2))),
IF(YEAR($E57)&lt;VALUE(LEFT($K$47,4)),($M57+$N57)/12,0))</f>
        <v>0</v>
      </c>
      <c r="T57" s="119">
        <f ca="1">+IF($E57=T$47,SUM($M57:OFFSET($M57,0,IF(YEAR(T$47)=VALUE(LEFT($K$47,4)),1,2))),
IF(YEAR($E57)&lt;VALUE(LEFT($K$47,4)),($M57+$N57)/12,0))</f>
        <v>0</v>
      </c>
      <c r="U57" s="119">
        <f ca="1">+IF($E57=U$47,SUM($M57:OFFSET($M57,0,IF(YEAR(U$47)=VALUE(LEFT($K$47,4)),1,2))),
IF(YEAR($E57)&lt;VALUE(LEFT($K$47,4)),($M57+$N57)/12,0))</f>
        <v>0</v>
      </c>
      <c r="V57" s="119">
        <f ca="1">+IF($E57=V$47,SUM($M57:OFFSET($M57,0,IF(YEAR(V$47)=VALUE(LEFT($K$47,4)),1,2))),
IF(YEAR($E57)&lt;VALUE(LEFT($K$47,4)),($M57+$N57)/12,0))</f>
        <v>0</v>
      </c>
      <c r="W57" s="119">
        <f ca="1">+IF($E57=W$47,SUM($M57:OFFSET($M57,0,IF(YEAR(W$47)=VALUE(LEFT($K$47,4)),1,2))),
IF(YEAR($E57)&lt;VALUE(LEFT($K$47,4)),($M57+$N57)/12,0))</f>
        <v>0</v>
      </c>
      <c r="X57" s="119">
        <f ca="1">+IF($E57=X$47,SUM($M57:OFFSET($M57,0,IF(YEAR(X$47)=VALUE(LEFT($K$47,4)),1,2))),
IF(YEAR($E57)&lt;VALUE(LEFT($K$47,4)),($M57+$N57)/12,0))</f>
        <v>0</v>
      </c>
      <c r="Y57" s="119">
        <f ca="1">+IF($E57=Y$47,SUM($M57:OFFSET($M57,0,IF(YEAR(Y$47)=VALUE(LEFT($K$47,4)),1,2))),
IF(YEAR($E57)&lt;VALUE(LEFT($K$47,4)),($M57+$N57)/12,0))</f>
        <v>0</v>
      </c>
      <c r="Z57" s="119">
        <f ca="1">+IF($E57=Z$47,SUM($M57:OFFSET($M57,0,IF(YEAR(Z$47)=VALUE(LEFT($K$47,4)),1,2))),
IF(YEAR($E57)&lt;VALUE(LEFT($K$47,4)),($M57+$N57)/12,0))</f>
        <v>0</v>
      </c>
      <c r="AA57" s="119">
        <f ca="1">+IF($E57=AA$47,SUM($M57:OFFSET($M57,0,IF(YEAR(AA$47)=VALUE(LEFT($K$47,4)),1,2))),
IF(YEAR($E57)&lt;VALUE(LEFT($K$47,4)),($M57+$N57)/12,0))</f>
        <v>0</v>
      </c>
      <c r="AB57" s="120">
        <f ca="1">+IF($E57=AB$47,SUM($M57:OFFSET($M57,0,IF(YEAR(AB$47)=VALUE(LEFT($K$47,4)),1,2))),
IF(YEAR($E57)&lt;VALUE(LEFT($K$47,4)),($M57+$N57)/12,0))</f>
        <v>1605.3646199999996</v>
      </c>
      <c r="AC57" s="122">
        <f ca="1">+IF($E57=AC$47,SUM($M57:OFFSET($M57,0,IF(YEAR(AC$47)=VALUE(LEFT($K$47,4)),1,2))),
IF(YEAR($E57)&lt;=2015,$O57/12,0))</f>
        <v>0</v>
      </c>
      <c r="AD57" s="119">
        <f ca="1">+IF($E57=AD$47,SUM($M57:OFFSET($M57,0,IF(YEAR(AD$47)=VALUE(LEFT($K$47,4)),1,2))),
IF(YEAR($E57)&lt;=2015,$O57/12,0))</f>
        <v>0</v>
      </c>
      <c r="AE57" s="119">
        <f ca="1">+IF($E57=AE$47,SUM($M57:OFFSET($M57,0,IF(YEAR(AE$47)=VALUE(LEFT($K$47,4)),1,2))),
IF(YEAR($E57)&lt;=2015,$O57/12,0))</f>
        <v>0</v>
      </c>
      <c r="AF57" s="119">
        <f ca="1">+IF($E57=AF$47,SUM($M57:OFFSET($M57,0,IF(YEAR(AF$47)=VALUE(LEFT($K$47,4)),1,2))),
IF(YEAR($E57)&lt;=2015,$O57/12,0))</f>
        <v>0</v>
      </c>
      <c r="AG57" s="119">
        <f ca="1">+IF($E57=AG$47,SUM($M57:OFFSET($M57,0,IF(YEAR(AG$47)=VALUE(LEFT($K$47,4)),1,2))),
IF(YEAR($E57)&lt;=2015,$O57/12,0))</f>
        <v>0</v>
      </c>
      <c r="AH57" s="119">
        <f ca="1">+IF($E57=AH$47,SUM($M57:OFFSET($M57,0,IF(YEAR(AH$47)=VALUE(LEFT($K$47,4)),1,2))),
IF(YEAR($E57)&lt;=2015,$O57/12,0))</f>
        <v>0</v>
      </c>
      <c r="AI57" s="119">
        <f ca="1">+IF($E57=AI$47,SUM($M57:OFFSET($M57,0,IF(YEAR(AI$47)=VALUE(LEFT($K$47,4)),1,2))),
IF(YEAR($E57)&lt;=2015,$O57/12,0))</f>
        <v>0</v>
      </c>
      <c r="AJ57" s="119">
        <f ca="1">+IF($E57=AJ$47,SUM($M57:OFFSET($M57,0,IF(YEAR(AJ$47)=VALUE(LEFT($K$47,4)),1,2))),
IF(YEAR($E57)&lt;=2015,$O57/12,0))</f>
        <v>0</v>
      </c>
      <c r="AK57" s="119">
        <f ca="1">+IF($E57=AK$47,SUM($M57:OFFSET($M57,0,IF(YEAR(AK$47)=VALUE(LEFT($K$47,4)),1,2))),
IF(YEAR($E57)&lt;=2015,$O57/12,0))</f>
        <v>0</v>
      </c>
      <c r="AL57" s="119">
        <f ca="1">+IF($E57=AL$47,SUM($M57:OFFSET($M57,0,IF(YEAR(AL$47)=VALUE(LEFT($K$47,4)),1,2))),
IF(YEAR($E57)&lt;=2015,$O57/12,0))</f>
        <v>0</v>
      </c>
      <c r="AM57" s="119">
        <f ca="1">+IF($E57=AM$47,SUM($M57:OFFSET($M57,0,IF(YEAR(AM$47)=VALUE(LEFT($K$47,4)),1,2))),
IF(YEAR($E57)&lt;=2015,$O57/12,0))</f>
        <v>0</v>
      </c>
      <c r="AN57" s="120">
        <f ca="1">+IF($E57=AN$47,SUM($M57:OFFSET($M57,0,IF(YEAR(AN$47)=VALUE(LEFT($K$47,4)),1,2))),
IF(YEAR($E57)&lt;=2015,$O57/12,0))</f>
        <v>0</v>
      </c>
      <c r="AO57" s="121"/>
    </row>
    <row r="58" spans="1:41" s="105" customFormat="1" ht="15" x14ac:dyDescent="0.25">
      <c r="A58" s="96" t="s">
        <v>392</v>
      </c>
      <c r="B58" s="97" t="s">
        <v>393</v>
      </c>
      <c r="C58" s="98">
        <v>7059</v>
      </c>
      <c r="D58" s="99" t="s">
        <v>70</v>
      </c>
      <c r="E58" s="100">
        <v>42522</v>
      </c>
      <c r="F58" s="97" t="s">
        <v>78</v>
      </c>
      <c r="G58" s="101">
        <v>0</v>
      </c>
      <c r="H58" s="102">
        <v>1</v>
      </c>
      <c r="I58" s="263"/>
      <c r="J58" s="140">
        <v>1196.8033200000004</v>
      </c>
      <c r="K58" s="139">
        <v>50</v>
      </c>
      <c r="L58" s="119">
        <v>200</v>
      </c>
      <c r="M58" s="119">
        <f t="shared" si="13"/>
        <v>1196.8033200000004</v>
      </c>
      <c r="N58" s="121">
        <f t="shared" si="14"/>
        <v>50</v>
      </c>
      <c r="O58" s="120">
        <f t="shared" si="15"/>
        <v>200</v>
      </c>
      <c r="P58" s="121"/>
      <c r="Q58" s="122">
        <f ca="1">+IF($E58=Q$47,SUM($M58:OFFSET($M58,0,IF(YEAR(Q$47)=VALUE(LEFT($K$47,4)),1,2))),
IF(YEAR($E58)&lt;VALUE(LEFT($K$47,4)),($M58+$N58)/12,0))</f>
        <v>0</v>
      </c>
      <c r="R58" s="119">
        <f ca="1">+IF($E58=R$47,SUM($M58:OFFSET($M58,0,IF(YEAR(R$47)=VALUE(LEFT($K$47,4)),1,2))),
IF(YEAR($E58)&lt;VALUE(LEFT($K$47,4)),($M58+$N58)/12,0))</f>
        <v>0</v>
      </c>
      <c r="S58" s="119">
        <f ca="1">+IF($E58=S$47,SUM($M58:OFFSET($M58,0,IF(YEAR(S$47)=VALUE(LEFT($K$47,4)),1,2))),
IF(YEAR($E58)&lt;VALUE(LEFT($K$47,4)),($M58+$N58)/12,0))</f>
        <v>0</v>
      </c>
      <c r="T58" s="119">
        <f ca="1">+IF($E58=T$47,SUM($M58:OFFSET($M58,0,IF(YEAR(T$47)=VALUE(LEFT($K$47,4)),1,2))),
IF(YEAR($E58)&lt;VALUE(LEFT($K$47,4)),($M58+$N58)/12,0))</f>
        <v>0</v>
      </c>
      <c r="U58" s="119">
        <f ca="1">+IF($E58=U$47,SUM($M58:OFFSET($M58,0,IF(YEAR(U$47)=VALUE(LEFT($K$47,4)),1,2))),
IF(YEAR($E58)&lt;VALUE(LEFT($K$47,4)),($M58+$N58)/12,0))</f>
        <v>0</v>
      </c>
      <c r="V58" s="119">
        <f ca="1">+IF($E58=V$47,SUM($M58:OFFSET($M58,0,IF(YEAR(V$47)=VALUE(LEFT($K$47,4)),1,2))),
IF(YEAR($E58)&lt;VALUE(LEFT($K$47,4)),($M58+$N58)/12,0))</f>
        <v>0</v>
      </c>
      <c r="W58" s="119">
        <f ca="1">+IF($E58=W$47,SUM($M58:OFFSET($M58,0,IF(YEAR(W$47)=VALUE(LEFT($K$47,4)),1,2))),
IF(YEAR($E58)&lt;VALUE(LEFT($K$47,4)),($M58+$N58)/12,0))</f>
        <v>0</v>
      </c>
      <c r="X58" s="119">
        <f ca="1">+IF($E58=X$47,SUM($M58:OFFSET($M58,0,IF(YEAR(X$47)=VALUE(LEFT($K$47,4)),1,2))),
IF(YEAR($E58)&lt;VALUE(LEFT($K$47,4)),($M58+$N58)/12,0))</f>
        <v>0</v>
      </c>
      <c r="Y58" s="119">
        <f ca="1">+IF($E58=Y$47,SUM($M58:OFFSET($M58,0,IF(YEAR(Y$47)=VALUE(LEFT($K$47,4)),1,2))),
IF(YEAR($E58)&lt;VALUE(LEFT($K$47,4)),($M58+$N58)/12,0))</f>
        <v>0</v>
      </c>
      <c r="Z58" s="119">
        <f ca="1">+IF($E58=Z$47,SUM($M58:OFFSET($M58,0,IF(YEAR(Z$47)=VALUE(LEFT($K$47,4)),1,2))),
IF(YEAR($E58)&lt;VALUE(LEFT($K$47,4)),($M58+$N58)/12,0))</f>
        <v>0</v>
      </c>
      <c r="AA58" s="119">
        <f ca="1">+IF($E58=AA$47,SUM($M58:OFFSET($M58,0,IF(YEAR(AA$47)=VALUE(LEFT($K$47,4)),1,2))),
IF(YEAR($E58)&lt;VALUE(LEFT($K$47,4)),($M58+$N58)/12,0))</f>
        <v>0</v>
      </c>
      <c r="AB58" s="120">
        <f ca="1">+IF($E58=AB$47,SUM($M58:OFFSET($M58,0,IF(YEAR(AB$47)=VALUE(LEFT($K$47,4)),1,2))),
IF(YEAR($E58)&lt;VALUE(LEFT($K$47,4)),($M58+$N58)/12,0))</f>
        <v>0</v>
      </c>
      <c r="AC58" s="122">
        <f ca="1">+IF($E58=AC$47,SUM($M58:OFFSET($M58,0,IF(YEAR(AC$47)=VALUE(LEFT($K$47,4)),1,2))),
IF(YEAR($E58)&lt;=2015,$O58/12,0))</f>
        <v>0</v>
      </c>
      <c r="AD58" s="119">
        <f ca="1">+IF($E58=AD$47,SUM($M58:OFFSET($M58,0,IF(YEAR(AD$47)=VALUE(LEFT($K$47,4)),1,2))),
IF(YEAR($E58)&lt;=2015,$O58/12,0))</f>
        <v>0</v>
      </c>
      <c r="AE58" s="119">
        <f ca="1">+IF($E58=AE$47,SUM($M58:OFFSET($M58,0,IF(YEAR(AE$47)=VALUE(LEFT($K$47,4)),1,2))),
IF(YEAR($E58)&lt;=2015,$O58/12,0))</f>
        <v>0</v>
      </c>
      <c r="AF58" s="119">
        <f ca="1">+IF($E58=AF$47,SUM($M58:OFFSET($M58,0,IF(YEAR(AF$47)=VALUE(LEFT($K$47,4)),1,2))),
IF(YEAR($E58)&lt;=2015,$O58/12,0))</f>
        <v>0</v>
      </c>
      <c r="AG58" s="119">
        <f ca="1">+IF($E58=AG$47,SUM($M58:OFFSET($M58,0,IF(YEAR(AG$47)=VALUE(LEFT($K$47,4)),1,2))),
IF(YEAR($E58)&lt;=2015,$O58/12,0))</f>
        <v>0</v>
      </c>
      <c r="AH58" s="119">
        <f ca="1">+IF($E58=AH$47,SUM($M58:OFFSET($M58,0,IF(YEAR(AH$47)=VALUE(LEFT($K$47,4)),1,2))),
IF(YEAR($E58)&lt;=2015,$O58/12,0))</f>
        <v>1446.8033200000004</v>
      </c>
      <c r="AI58" s="119">
        <f ca="1">+IF($E58=AI$47,SUM($M58:OFFSET($M58,0,IF(YEAR(AI$47)=VALUE(LEFT($K$47,4)),1,2))),
IF(YEAR($E58)&lt;=2015,$O58/12,0))</f>
        <v>0</v>
      </c>
      <c r="AJ58" s="119">
        <f ca="1">+IF($E58=AJ$47,SUM($M58:OFFSET($M58,0,IF(YEAR(AJ$47)=VALUE(LEFT($K$47,4)),1,2))),
IF(YEAR($E58)&lt;=2015,$O58/12,0))</f>
        <v>0</v>
      </c>
      <c r="AK58" s="119">
        <f ca="1">+IF($E58=AK$47,SUM($M58:OFFSET($M58,0,IF(YEAR(AK$47)=VALUE(LEFT($K$47,4)),1,2))),
IF(YEAR($E58)&lt;=2015,$O58/12,0))</f>
        <v>0</v>
      </c>
      <c r="AL58" s="119">
        <f ca="1">+IF($E58=AL$47,SUM($M58:OFFSET($M58,0,IF(YEAR(AL$47)=VALUE(LEFT($K$47,4)),1,2))),
IF(YEAR($E58)&lt;=2015,$O58/12,0))</f>
        <v>0</v>
      </c>
      <c r="AM58" s="119">
        <f ca="1">+IF($E58=AM$47,SUM($M58:OFFSET($M58,0,IF(YEAR(AM$47)=VALUE(LEFT($K$47,4)),1,2))),
IF(YEAR($E58)&lt;=2015,$O58/12,0))</f>
        <v>0</v>
      </c>
      <c r="AN58" s="120">
        <f ca="1">+IF($E58=AN$47,SUM($M58:OFFSET($M58,0,IF(YEAR(AN$47)=VALUE(LEFT($K$47,4)),1,2))),
IF(YEAR($E58)&lt;=2015,$O58/12,0))</f>
        <v>0</v>
      </c>
      <c r="AO58" s="121"/>
    </row>
    <row r="59" spans="1:41" s="105" customFormat="1" ht="15" x14ac:dyDescent="0.25">
      <c r="A59" s="96" t="s">
        <v>394</v>
      </c>
      <c r="B59" s="97" t="s">
        <v>395</v>
      </c>
      <c r="C59" s="98">
        <v>7556</v>
      </c>
      <c r="D59" s="99" t="s">
        <v>70</v>
      </c>
      <c r="E59" s="100">
        <v>42156</v>
      </c>
      <c r="F59" s="97" t="s">
        <v>78</v>
      </c>
      <c r="G59" s="101">
        <v>0</v>
      </c>
      <c r="H59" s="102">
        <v>1</v>
      </c>
      <c r="I59" s="263"/>
      <c r="J59" s="140">
        <v>14.025310000000001</v>
      </c>
      <c r="K59" s="139">
        <v>300</v>
      </c>
      <c r="L59" s="119">
        <v>400</v>
      </c>
      <c r="M59" s="119">
        <f t="shared" si="13"/>
        <v>14.025310000000001</v>
      </c>
      <c r="N59" s="121">
        <f t="shared" si="14"/>
        <v>300</v>
      </c>
      <c r="O59" s="120">
        <f t="shared" si="15"/>
        <v>400</v>
      </c>
      <c r="P59" s="121"/>
      <c r="Q59" s="122">
        <f ca="1">+IF($E59=Q$47,SUM($M59:OFFSET($M59,0,IF(YEAR(Q$47)=VALUE(LEFT($K$47,4)),1,2))),
IF(YEAR($E59)&lt;VALUE(LEFT($K$47,4)),($M59+$N59)/12,0))</f>
        <v>0</v>
      </c>
      <c r="R59" s="119">
        <f ca="1">+IF($E59=R$47,SUM($M59:OFFSET($M59,0,IF(YEAR(R$47)=VALUE(LEFT($K$47,4)),1,2))),
IF(YEAR($E59)&lt;VALUE(LEFT($K$47,4)),($M59+$N59)/12,0))</f>
        <v>0</v>
      </c>
      <c r="S59" s="119">
        <f ca="1">+IF($E59=S$47,SUM($M59:OFFSET($M59,0,IF(YEAR(S$47)=VALUE(LEFT($K$47,4)),1,2))),
IF(YEAR($E59)&lt;VALUE(LEFT($K$47,4)),($M59+$N59)/12,0))</f>
        <v>0</v>
      </c>
      <c r="T59" s="119">
        <f ca="1">+IF($E59=T$47,SUM($M59:OFFSET($M59,0,IF(YEAR(T$47)=VALUE(LEFT($K$47,4)),1,2))),
IF(YEAR($E59)&lt;VALUE(LEFT($K$47,4)),($M59+$N59)/12,0))</f>
        <v>0</v>
      </c>
      <c r="U59" s="119">
        <f ca="1">+IF($E59=U$47,SUM($M59:OFFSET($M59,0,IF(YEAR(U$47)=VALUE(LEFT($K$47,4)),1,2))),
IF(YEAR($E59)&lt;VALUE(LEFT($K$47,4)),($M59+$N59)/12,0))</f>
        <v>0</v>
      </c>
      <c r="V59" s="119">
        <f ca="1">+IF($E59=V$47,SUM($M59:OFFSET($M59,0,IF(YEAR(V$47)=VALUE(LEFT($K$47,4)),1,2))),
IF(YEAR($E59)&lt;VALUE(LEFT($K$47,4)),($M59+$N59)/12,0))</f>
        <v>314.02530999999999</v>
      </c>
      <c r="W59" s="119">
        <f ca="1">+IF($E59=W$47,SUM($M59:OFFSET($M59,0,IF(YEAR(W$47)=VALUE(LEFT($K$47,4)),1,2))),
IF(YEAR($E59)&lt;VALUE(LEFT($K$47,4)),($M59+$N59)/12,0))</f>
        <v>0</v>
      </c>
      <c r="X59" s="119">
        <f ca="1">+IF($E59=X$47,SUM($M59:OFFSET($M59,0,IF(YEAR(X$47)=VALUE(LEFT($K$47,4)),1,2))),
IF(YEAR($E59)&lt;VALUE(LEFT($K$47,4)),($M59+$N59)/12,0))</f>
        <v>0</v>
      </c>
      <c r="Y59" s="119">
        <f ca="1">+IF($E59=Y$47,SUM($M59:OFFSET($M59,0,IF(YEAR(Y$47)=VALUE(LEFT($K$47,4)),1,2))),
IF(YEAR($E59)&lt;VALUE(LEFT($K$47,4)),($M59+$N59)/12,0))</f>
        <v>0</v>
      </c>
      <c r="Z59" s="119">
        <f ca="1">+IF($E59=Z$47,SUM($M59:OFFSET($M59,0,IF(YEAR(Z$47)=VALUE(LEFT($K$47,4)),1,2))),
IF(YEAR($E59)&lt;VALUE(LEFT($K$47,4)),($M59+$N59)/12,0))</f>
        <v>0</v>
      </c>
      <c r="AA59" s="119">
        <f ca="1">+IF($E59=AA$47,SUM($M59:OFFSET($M59,0,IF(YEAR(AA$47)=VALUE(LEFT($K$47,4)),1,2))),
IF(YEAR($E59)&lt;VALUE(LEFT($K$47,4)),($M59+$N59)/12,0))</f>
        <v>0</v>
      </c>
      <c r="AB59" s="120">
        <f ca="1">+IF($E59=AB$47,SUM($M59:OFFSET($M59,0,IF(YEAR(AB$47)=VALUE(LEFT($K$47,4)),1,2))),
IF(YEAR($E59)&lt;VALUE(LEFT($K$47,4)),($M59+$N59)/12,0))</f>
        <v>0</v>
      </c>
      <c r="AC59" s="122">
        <f ca="1">+IF($E59=AC$47,SUM($M59:OFFSET($M59,0,IF(YEAR(AC$47)=VALUE(LEFT($K$47,4)),1,2))),
IF(YEAR($E59)&lt;=2015,$O59/12,0))</f>
        <v>33.333333333333336</v>
      </c>
      <c r="AD59" s="119">
        <f ca="1">+IF($E59=AD$47,SUM($M59:OFFSET($M59,0,IF(YEAR(AD$47)=VALUE(LEFT($K$47,4)),1,2))),
IF(YEAR($E59)&lt;=2015,$O59/12,0))</f>
        <v>33.333333333333336</v>
      </c>
      <c r="AE59" s="119">
        <f ca="1">+IF($E59=AE$47,SUM($M59:OFFSET($M59,0,IF(YEAR(AE$47)=VALUE(LEFT($K$47,4)),1,2))),
IF(YEAR($E59)&lt;=2015,$O59/12,0))</f>
        <v>33.333333333333336</v>
      </c>
      <c r="AF59" s="119">
        <f ca="1">+IF($E59=AF$47,SUM($M59:OFFSET($M59,0,IF(YEAR(AF$47)=VALUE(LEFT($K$47,4)),1,2))),
IF(YEAR($E59)&lt;=2015,$O59/12,0))</f>
        <v>33.333333333333336</v>
      </c>
      <c r="AG59" s="119">
        <f ca="1">+IF($E59=AG$47,SUM($M59:OFFSET($M59,0,IF(YEAR(AG$47)=VALUE(LEFT($K$47,4)),1,2))),
IF(YEAR($E59)&lt;=2015,$O59/12,0))</f>
        <v>33.333333333333336</v>
      </c>
      <c r="AH59" s="119">
        <f ca="1">+IF($E59=AH$47,SUM($M59:OFFSET($M59,0,IF(YEAR(AH$47)=VALUE(LEFT($K$47,4)),1,2))),
IF(YEAR($E59)&lt;=2015,$O59/12,0))</f>
        <v>33.333333333333336</v>
      </c>
      <c r="AI59" s="119">
        <f ca="1">+IF($E59=AI$47,SUM($M59:OFFSET($M59,0,IF(YEAR(AI$47)=VALUE(LEFT($K$47,4)),1,2))),
IF(YEAR($E59)&lt;=2015,$O59/12,0))</f>
        <v>33.333333333333336</v>
      </c>
      <c r="AJ59" s="119">
        <f ca="1">+IF($E59=AJ$47,SUM($M59:OFFSET($M59,0,IF(YEAR(AJ$47)=VALUE(LEFT($K$47,4)),1,2))),
IF(YEAR($E59)&lt;=2015,$O59/12,0))</f>
        <v>33.333333333333336</v>
      </c>
      <c r="AK59" s="119">
        <f ca="1">+IF($E59=AK$47,SUM($M59:OFFSET($M59,0,IF(YEAR(AK$47)=VALUE(LEFT($K$47,4)),1,2))),
IF(YEAR($E59)&lt;=2015,$O59/12,0))</f>
        <v>33.333333333333336</v>
      </c>
      <c r="AL59" s="119">
        <f ca="1">+IF($E59=AL$47,SUM($M59:OFFSET($M59,0,IF(YEAR(AL$47)=VALUE(LEFT($K$47,4)),1,2))),
IF(YEAR($E59)&lt;=2015,$O59/12,0))</f>
        <v>33.333333333333336</v>
      </c>
      <c r="AM59" s="119">
        <f ca="1">+IF($E59=AM$47,SUM($M59:OFFSET($M59,0,IF(YEAR(AM$47)=VALUE(LEFT($K$47,4)),1,2))),
IF(YEAR($E59)&lt;=2015,$O59/12,0))</f>
        <v>33.333333333333336</v>
      </c>
      <c r="AN59" s="120">
        <f ca="1">+IF($E59=AN$47,SUM($M59:OFFSET($M59,0,IF(YEAR(AN$47)=VALUE(LEFT($K$47,4)),1,2))),
IF(YEAR($E59)&lt;=2015,$O59/12,0))</f>
        <v>33.333333333333336</v>
      </c>
      <c r="AO59" s="121"/>
    </row>
    <row r="60" spans="1:41" s="105" customFormat="1" ht="15" x14ac:dyDescent="0.25">
      <c r="A60" s="96" t="s">
        <v>396</v>
      </c>
      <c r="B60" s="97" t="s">
        <v>397</v>
      </c>
      <c r="C60" s="98">
        <v>7580</v>
      </c>
      <c r="D60" s="99" t="s">
        <v>70</v>
      </c>
      <c r="E60" s="100">
        <v>42339</v>
      </c>
      <c r="F60" s="97" t="s">
        <v>78</v>
      </c>
      <c r="G60" s="101">
        <v>0</v>
      </c>
      <c r="H60" s="102">
        <v>1</v>
      </c>
      <c r="I60" s="263"/>
      <c r="J60" s="140">
        <v>13.842700000000001</v>
      </c>
      <c r="K60" s="139">
        <v>1700</v>
      </c>
      <c r="L60" s="119">
        <v>0</v>
      </c>
      <c r="M60" s="119">
        <f t="shared" si="13"/>
        <v>13.842700000000001</v>
      </c>
      <c r="N60" s="121">
        <f t="shared" si="14"/>
        <v>1700</v>
      </c>
      <c r="O60" s="120">
        <f t="shared" si="15"/>
        <v>0</v>
      </c>
      <c r="P60" s="121"/>
      <c r="Q60" s="122">
        <f ca="1">+IF($E60=Q$47,SUM($M60:OFFSET($M60,0,IF(YEAR(Q$47)=VALUE(LEFT($K$47,4)),1,2))),
IF(YEAR($E60)&lt;VALUE(LEFT($K$47,4)),($M60+$N60)/12,0))</f>
        <v>0</v>
      </c>
      <c r="R60" s="119">
        <f ca="1">+IF($E60=R$47,SUM($M60:OFFSET($M60,0,IF(YEAR(R$47)=VALUE(LEFT($K$47,4)),1,2))),
IF(YEAR($E60)&lt;VALUE(LEFT($K$47,4)),($M60+$N60)/12,0))</f>
        <v>0</v>
      </c>
      <c r="S60" s="119">
        <f ca="1">+IF($E60=S$47,SUM($M60:OFFSET($M60,0,IF(YEAR(S$47)=VALUE(LEFT($K$47,4)),1,2))),
IF(YEAR($E60)&lt;VALUE(LEFT($K$47,4)),($M60+$N60)/12,0))</f>
        <v>0</v>
      </c>
      <c r="T60" s="119">
        <f ca="1">+IF($E60=T$47,SUM($M60:OFFSET($M60,0,IF(YEAR(T$47)=VALUE(LEFT($K$47,4)),1,2))),
IF(YEAR($E60)&lt;VALUE(LEFT($K$47,4)),($M60+$N60)/12,0))</f>
        <v>0</v>
      </c>
      <c r="U60" s="119">
        <f ca="1">+IF($E60=U$47,SUM($M60:OFFSET($M60,0,IF(YEAR(U$47)=VALUE(LEFT($K$47,4)),1,2))),
IF(YEAR($E60)&lt;VALUE(LEFT($K$47,4)),($M60+$N60)/12,0))</f>
        <v>0</v>
      </c>
      <c r="V60" s="119">
        <f ca="1">+IF($E60=V$47,SUM($M60:OFFSET($M60,0,IF(YEAR(V$47)=VALUE(LEFT($K$47,4)),1,2))),
IF(YEAR($E60)&lt;VALUE(LEFT($K$47,4)),($M60+$N60)/12,0))</f>
        <v>0</v>
      </c>
      <c r="W60" s="119">
        <f ca="1">+IF($E60=W$47,SUM($M60:OFFSET($M60,0,IF(YEAR(W$47)=VALUE(LEFT($K$47,4)),1,2))),
IF(YEAR($E60)&lt;VALUE(LEFT($K$47,4)),($M60+$N60)/12,0))</f>
        <v>0</v>
      </c>
      <c r="X60" s="119">
        <f ca="1">+IF($E60=X$47,SUM($M60:OFFSET($M60,0,IF(YEAR(X$47)=VALUE(LEFT($K$47,4)),1,2))),
IF(YEAR($E60)&lt;VALUE(LEFT($K$47,4)),($M60+$N60)/12,0))</f>
        <v>0</v>
      </c>
      <c r="Y60" s="119">
        <f ca="1">+IF($E60=Y$47,SUM($M60:OFFSET($M60,0,IF(YEAR(Y$47)=VALUE(LEFT($K$47,4)),1,2))),
IF(YEAR($E60)&lt;VALUE(LEFT($K$47,4)),($M60+$N60)/12,0))</f>
        <v>0</v>
      </c>
      <c r="Z60" s="119">
        <f ca="1">+IF($E60=Z$47,SUM($M60:OFFSET($M60,0,IF(YEAR(Z$47)=VALUE(LEFT($K$47,4)),1,2))),
IF(YEAR($E60)&lt;VALUE(LEFT($K$47,4)),($M60+$N60)/12,0))</f>
        <v>0</v>
      </c>
      <c r="AA60" s="119">
        <f ca="1">+IF($E60=AA$47,SUM($M60:OFFSET($M60,0,IF(YEAR(AA$47)=VALUE(LEFT($K$47,4)),1,2))),
IF(YEAR($E60)&lt;VALUE(LEFT($K$47,4)),($M60+$N60)/12,0))</f>
        <v>0</v>
      </c>
      <c r="AB60" s="120">
        <f ca="1">+IF($E60=AB$47,SUM($M60:OFFSET($M60,0,IF(YEAR(AB$47)=VALUE(LEFT($K$47,4)),1,2))),
IF(YEAR($E60)&lt;VALUE(LEFT($K$47,4)),($M60+$N60)/12,0))</f>
        <v>1713.8426999999999</v>
      </c>
      <c r="AC60" s="122">
        <f ca="1">+IF($E60=AC$47,SUM($M60:OFFSET($M60,0,IF(YEAR(AC$47)=VALUE(LEFT($K$47,4)),1,2))),
IF(YEAR($E60)&lt;=2015,$O60/12,0))</f>
        <v>0</v>
      </c>
      <c r="AD60" s="119">
        <f ca="1">+IF($E60=AD$47,SUM($M60:OFFSET($M60,0,IF(YEAR(AD$47)=VALUE(LEFT($K$47,4)),1,2))),
IF(YEAR($E60)&lt;=2015,$O60/12,0))</f>
        <v>0</v>
      </c>
      <c r="AE60" s="119">
        <f ca="1">+IF($E60=AE$47,SUM($M60:OFFSET($M60,0,IF(YEAR(AE$47)=VALUE(LEFT($K$47,4)),1,2))),
IF(YEAR($E60)&lt;=2015,$O60/12,0))</f>
        <v>0</v>
      </c>
      <c r="AF60" s="119">
        <f ca="1">+IF($E60=AF$47,SUM($M60:OFFSET($M60,0,IF(YEAR(AF$47)=VALUE(LEFT($K$47,4)),1,2))),
IF(YEAR($E60)&lt;=2015,$O60/12,0))</f>
        <v>0</v>
      </c>
      <c r="AG60" s="119">
        <f ca="1">+IF($E60=AG$47,SUM($M60:OFFSET($M60,0,IF(YEAR(AG$47)=VALUE(LEFT($K$47,4)),1,2))),
IF(YEAR($E60)&lt;=2015,$O60/12,0))</f>
        <v>0</v>
      </c>
      <c r="AH60" s="119">
        <f ca="1">+IF($E60=AH$47,SUM($M60:OFFSET($M60,0,IF(YEAR(AH$47)=VALUE(LEFT($K$47,4)),1,2))),
IF(YEAR($E60)&lt;=2015,$O60/12,0))</f>
        <v>0</v>
      </c>
      <c r="AI60" s="119">
        <f ca="1">+IF($E60=AI$47,SUM($M60:OFFSET($M60,0,IF(YEAR(AI$47)=VALUE(LEFT($K$47,4)),1,2))),
IF(YEAR($E60)&lt;=2015,$O60/12,0))</f>
        <v>0</v>
      </c>
      <c r="AJ60" s="119">
        <f ca="1">+IF($E60=AJ$47,SUM($M60:OFFSET($M60,0,IF(YEAR(AJ$47)=VALUE(LEFT($K$47,4)),1,2))),
IF(YEAR($E60)&lt;=2015,$O60/12,0))</f>
        <v>0</v>
      </c>
      <c r="AK60" s="119">
        <f ca="1">+IF($E60=AK$47,SUM($M60:OFFSET($M60,0,IF(YEAR(AK$47)=VALUE(LEFT($K$47,4)),1,2))),
IF(YEAR($E60)&lt;=2015,$O60/12,0))</f>
        <v>0</v>
      </c>
      <c r="AL60" s="119">
        <f ca="1">+IF($E60=AL$47,SUM($M60:OFFSET($M60,0,IF(YEAR(AL$47)=VALUE(LEFT($K$47,4)),1,2))),
IF(YEAR($E60)&lt;=2015,$O60/12,0))</f>
        <v>0</v>
      </c>
      <c r="AM60" s="119">
        <f ca="1">+IF($E60=AM$47,SUM($M60:OFFSET($M60,0,IF(YEAR(AM$47)=VALUE(LEFT($K$47,4)),1,2))),
IF(YEAR($E60)&lt;=2015,$O60/12,0))</f>
        <v>0</v>
      </c>
      <c r="AN60" s="120">
        <f ca="1">+IF($E60=AN$47,SUM($M60:OFFSET($M60,0,IF(YEAR(AN$47)=VALUE(LEFT($K$47,4)),1,2))),
IF(YEAR($E60)&lt;=2015,$O60/12,0))</f>
        <v>0</v>
      </c>
      <c r="AO60" s="121"/>
    </row>
    <row r="61" spans="1:41" s="105" customFormat="1" ht="15" x14ac:dyDescent="0.25">
      <c r="A61" s="96" t="s">
        <v>398</v>
      </c>
      <c r="B61" s="97" t="s">
        <v>399</v>
      </c>
      <c r="C61" s="98">
        <v>7691</v>
      </c>
      <c r="D61" s="99" t="s">
        <v>70</v>
      </c>
      <c r="E61" s="100">
        <v>42644</v>
      </c>
      <c r="F61" s="97" t="s">
        <v>78</v>
      </c>
      <c r="G61" s="101">
        <v>0</v>
      </c>
      <c r="H61" s="102">
        <v>1</v>
      </c>
      <c r="I61" s="263"/>
      <c r="J61" s="140">
        <v>5.7989000000000006</v>
      </c>
      <c r="K61" s="139">
        <v>700</v>
      </c>
      <c r="L61" s="119">
        <v>1500</v>
      </c>
      <c r="M61" s="119">
        <f t="shared" si="13"/>
        <v>5.7989000000000006</v>
      </c>
      <c r="N61" s="121">
        <f t="shared" si="14"/>
        <v>700</v>
      </c>
      <c r="O61" s="120">
        <f t="shared" si="15"/>
        <v>1500</v>
      </c>
      <c r="P61" s="121"/>
      <c r="Q61" s="122">
        <f ca="1">+IF($E61=Q$47,SUM($M61:OFFSET($M61,0,IF(YEAR(Q$47)=VALUE(LEFT($K$47,4)),1,2))),
IF(YEAR($E61)&lt;VALUE(LEFT($K$47,4)),($M61+$N61)/12,0))</f>
        <v>0</v>
      </c>
      <c r="R61" s="119">
        <f ca="1">+IF($E61=R$47,SUM($M61:OFFSET($M61,0,IF(YEAR(R$47)=VALUE(LEFT($K$47,4)),1,2))),
IF(YEAR($E61)&lt;VALUE(LEFT($K$47,4)),($M61+$N61)/12,0))</f>
        <v>0</v>
      </c>
      <c r="S61" s="119">
        <f ca="1">+IF($E61=S$47,SUM($M61:OFFSET($M61,0,IF(YEAR(S$47)=VALUE(LEFT($K$47,4)),1,2))),
IF(YEAR($E61)&lt;VALUE(LEFT($K$47,4)),($M61+$N61)/12,0))</f>
        <v>0</v>
      </c>
      <c r="T61" s="119">
        <f ca="1">+IF($E61=T$47,SUM($M61:OFFSET($M61,0,IF(YEAR(T$47)=VALUE(LEFT($K$47,4)),1,2))),
IF(YEAR($E61)&lt;VALUE(LEFT($K$47,4)),($M61+$N61)/12,0))</f>
        <v>0</v>
      </c>
      <c r="U61" s="119">
        <f ca="1">+IF($E61=U$47,SUM($M61:OFFSET($M61,0,IF(YEAR(U$47)=VALUE(LEFT($K$47,4)),1,2))),
IF(YEAR($E61)&lt;VALUE(LEFT($K$47,4)),($M61+$N61)/12,0))</f>
        <v>0</v>
      </c>
      <c r="V61" s="119">
        <f ca="1">+IF($E61=V$47,SUM($M61:OFFSET($M61,0,IF(YEAR(V$47)=VALUE(LEFT($K$47,4)),1,2))),
IF(YEAR($E61)&lt;VALUE(LEFT($K$47,4)),($M61+$N61)/12,0))</f>
        <v>0</v>
      </c>
      <c r="W61" s="119">
        <f ca="1">+IF($E61=W$47,SUM($M61:OFFSET($M61,0,IF(YEAR(W$47)=VALUE(LEFT($K$47,4)),1,2))),
IF(YEAR($E61)&lt;VALUE(LEFT($K$47,4)),($M61+$N61)/12,0))</f>
        <v>0</v>
      </c>
      <c r="X61" s="119">
        <f ca="1">+IF($E61=X$47,SUM($M61:OFFSET($M61,0,IF(YEAR(X$47)=VALUE(LEFT($K$47,4)),1,2))),
IF(YEAR($E61)&lt;VALUE(LEFT($K$47,4)),($M61+$N61)/12,0))</f>
        <v>0</v>
      </c>
      <c r="Y61" s="119">
        <f ca="1">+IF($E61=Y$47,SUM($M61:OFFSET($M61,0,IF(YEAR(Y$47)=VALUE(LEFT($K$47,4)),1,2))),
IF(YEAR($E61)&lt;VALUE(LEFT($K$47,4)),($M61+$N61)/12,0))</f>
        <v>0</v>
      </c>
      <c r="Z61" s="119">
        <f ca="1">+IF($E61=Z$47,SUM($M61:OFFSET($M61,0,IF(YEAR(Z$47)=VALUE(LEFT($K$47,4)),1,2))),
IF(YEAR($E61)&lt;VALUE(LEFT($K$47,4)),($M61+$N61)/12,0))</f>
        <v>0</v>
      </c>
      <c r="AA61" s="119">
        <f ca="1">+IF($E61=AA$47,SUM($M61:OFFSET($M61,0,IF(YEAR(AA$47)=VALUE(LEFT($K$47,4)),1,2))),
IF(YEAR($E61)&lt;VALUE(LEFT($K$47,4)),($M61+$N61)/12,0))</f>
        <v>0</v>
      </c>
      <c r="AB61" s="120">
        <f ca="1">+IF($E61=AB$47,SUM($M61:OFFSET($M61,0,IF(YEAR(AB$47)=VALUE(LEFT($K$47,4)),1,2))),
IF(YEAR($E61)&lt;VALUE(LEFT($K$47,4)),($M61+$N61)/12,0))</f>
        <v>0</v>
      </c>
      <c r="AC61" s="122">
        <f ca="1">+IF($E61=AC$47,SUM($M61:OFFSET($M61,0,IF(YEAR(AC$47)=VALUE(LEFT($K$47,4)),1,2))),
IF(YEAR($E61)&lt;=2015,$O61/12,0))</f>
        <v>0</v>
      </c>
      <c r="AD61" s="119">
        <f ca="1">+IF($E61=AD$47,SUM($M61:OFFSET($M61,0,IF(YEAR(AD$47)=VALUE(LEFT($K$47,4)),1,2))),
IF(YEAR($E61)&lt;=2015,$O61/12,0))</f>
        <v>0</v>
      </c>
      <c r="AE61" s="119">
        <f ca="1">+IF($E61=AE$47,SUM($M61:OFFSET($M61,0,IF(YEAR(AE$47)=VALUE(LEFT($K$47,4)),1,2))),
IF(YEAR($E61)&lt;=2015,$O61/12,0))</f>
        <v>0</v>
      </c>
      <c r="AF61" s="119">
        <f ca="1">+IF($E61=AF$47,SUM($M61:OFFSET($M61,0,IF(YEAR(AF$47)=VALUE(LEFT($K$47,4)),1,2))),
IF(YEAR($E61)&lt;=2015,$O61/12,0))</f>
        <v>0</v>
      </c>
      <c r="AG61" s="119">
        <f ca="1">+IF($E61=AG$47,SUM($M61:OFFSET($M61,0,IF(YEAR(AG$47)=VALUE(LEFT($K$47,4)),1,2))),
IF(YEAR($E61)&lt;=2015,$O61/12,0))</f>
        <v>0</v>
      </c>
      <c r="AH61" s="119">
        <f ca="1">+IF($E61=AH$47,SUM($M61:OFFSET($M61,0,IF(YEAR(AH$47)=VALUE(LEFT($K$47,4)),1,2))),
IF(YEAR($E61)&lt;=2015,$O61/12,0))</f>
        <v>0</v>
      </c>
      <c r="AI61" s="119">
        <f ca="1">+IF($E61=AI$47,SUM($M61:OFFSET($M61,0,IF(YEAR(AI$47)=VALUE(LEFT($K$47,4)),1,2))),
IF(YEAR($E61)&lt;=2015,$O61/12,0))</f>
        <v>0</v>
      </c>
      <c r="AJ61" s="119">
        <f ca="1">+IF($E61=AJ$47,SUM($M61:OFFSET($M61,0,IF(YEAR(AJ$47)=VALUE(LEFT($K$47,4)),1,2))),
IF(YEAR($E61)&lt;=2015,$O61/12,0))</f>
        <v>0</v>
      </c>
      <c r="AK61" s="119">
        <f ca="1">+IF($E61=AK$47,SUM($M61:OFFSET($M61,0,IF(YEAR(AK$47)=VALUE(LEFT($K$47,4)),1,2))),
IF(YEAR($E61)&lt;=2015,$O61/12,0))</f>
        <v>0</v>
      </c>
      <c r="AL61" s="119">
        <f ca="1">+IF($E61=AL$47,SUM($M61:OFFSET($M61,0,IF(YEAR(AL$47)=VALUE(LEFT($K$47,4)),1,2))),
IF(YEAR($E61)&lt;=2015,$O61/12,0))</f>
        <v>2205.7988999999998</v>
      </c>
      <c r="AM61" s="119">
        <f ca="1">+IF($E61=AM$47,SUM($M61:OFFSET($M61,0,IF(YEAR(AM$47)=VALUE(LEFT($K$47,4)),1,2))),
IF(YEAR($E61)&lt;=2015,$O61/12,0))</f>
        <v>0</v>
      </c>
      <c r="AN61" s="120">
        <f ca="1">+IF($E61=AN$47,SUM($M61:OFFSET($M61,0,IF(YEAR(AN$47)=VALUE(LEFT($K$47,4)),1,2))),
IF(YEAR($E61)&lt;=2015,$O61/12,0))</f>
        <v>0</v>
      </c>
      <c r="AO61" s="121"/>
    </row>
    <row r="62" spans="1:41" s="105" customFormat="1" ht="15" x14ac:dyDescent="0.25">
      <c r="A62" s="96" t="s">
        <v>400</v>
      </c>
      <c r="B62" s="97" t="s">
        <v>401</v>
      </c>
      <c r="C62" s="98">
        <v>7733</v>
      </c>
      <c r="D62" s="99" t="s">
        <v>70</v>
      </c>
      <c r="E62" s="100">
        <v>42675</v>
      </c>
      <c r="F62" s="97" t="s">
        <v>78</v>
      </c>
      <c r="G62" s="101">
        <v>0</v>
      </c>
      <c r="H62" s="102">
        <v>1</v>
      </c>
      <c r="I62" s="263"/>
      <c r="J62" s="140">
        <v>0</v>
      </c>
      <c r="K62" s="139">
        <v>600</v>
      </c>
      <c r="L62" s="119">
        <v>1600</v>
      </c>
      <c r="M62" s="119">
        <f t="shared" si="13"/>
        <v>0</v>
      </c>
      <c r="N62" s="121">
        <f t="shared" si="14"/>
        <v>600</v>
      </c>
      <c r="O62" s="120">
        <f t="shared" si="15"/>
        <v>1600</v>
      </c>
      <c r="P62" s="121"/>
      <c r="Q62" s="122">
        <f ca="1">+IF($E62=Q$47,SUM($M62:OFFSET($M62,0,IF(YEAR(Q$47)=VALUE(LEFT($K$47,4)),1,2))),
IF(YEAR($E62)&lt;VALUE(LEFT($K$47,4)),($M62+$N62)/12,0))</f>
        <v>0</v>
      </c>
      <c r="R62" s="119">
        <f ca="1">+IF($E62=R$47,SUM($M62:OFFSET($M62,0,IF(YEAR(R$47)=VALUE(LEFT($K$47,4)),1,2))),
IF(YEAR($E62)&lt;VALUE(LEFT($K$47,4)),($M62+$N62)/12,0))</f>
        <v>0</v>
      </c>
      <c r="S62" s="119">
        <f ca="1">+IF($E62=S$47,SUM($M62:OFFSET($M62,0,IF(YEAR(S$47)=VALUE(LEFT($K$47,4)),1,2))),
IF(YEAR($E62)&lt;VALUE(LEFT($K$47,4)),($M62+$N62)/12,0))</f>
        <v>0</v>
      </c>
      <c r="T62" s="119">
        <f ca="1">+IF($E62=T$47,SUM($M62:OFFSET($M62,0,IF(YEAR(T$47)=VALUE(LEFT($K$47,4)),1,2))),
IF(YEAR($E62)&lt;VALUE(LEFT($K$47,4)),($M62+$N62)/12,0))</f>
        <v>0</v>
      </c>
      <c r="U62" s="119">
        <f ca="1">+IF($E62=U$47,SUM($M62:OFFSET($M62,0,IF(YEAR(U$47)=VALUE(LEFT($K$47,4)),1,2))),
IF(YEAR($E62)&lt;VALUE(LEFT($K$47,4)),($M62+$N62)/12,0))</f>
        <v>0</v>
      </c>
      <c r="V62" s="119">
        <f ca="1">+IF($E62=V$47,SUM($M62:OFFSET($M62,0,IF(YEAR(V$47)=VALUE(LEFT($K$47,4)),1,2))),
IF(YEAR($E62)&lt;VALUE(LEFT($K$47,4)),($M62+$N62)/12,0))</f>
        <v>0</v>
      </c>
      <c r="W62" s="119">
        <f ca="1">+IF($E62=W$47,SUM($M62:OFFSET($M62,0,IF(YEAR(W$47)=VALUE(LEFT($K$47,4)),1,2))),
IF(YEAR($E62)&lt;VALUE(LEFT($K$47,4)),($M62+$N62)/12,0))</f>
        <v>0</v>
      </c>
      <c r="X62" s="119">
        <f ca="1">+IF($E62=X$47,SUM($M62:OFFSET($M62,0,IF(YEAR(X$47)=VALUE(LEFT($K$47,4)),1,2))),
IF(YEAR($E62)&lt;VALUE(LEFT($K$47,4)),($M62+$N62)/12,0))</f>
        <v>0</v>
      </c>
      <c r="Y62" s="119">
        <f ca="1">+IF($E62=Y$47,SUM($M62:OFFSET($M62,0,IF(YEAR(Y$47)=VALUE(LEFT($K$47,4)),1,2))),
IF(YEAR($E62)&lt;VALUE(LEFT($K$47,4)),($M62+$N62)/12,0))</f>
        <v>0</v>
      </c>
      <c r="Z62" s="119">
        <f ca="1">+IF($E62=Z$47,SUM($M62:OFFSET($M62,0,IF(YEAR(Z$47)=VALUE(LEFT($K$47,4)),1,2))),
IF(YEAR($E62)&lt;VALUE(LEFT($K$47,4)),($M62+$N62)/12,0))</f>
        <v>0</v>
      </c>
      <c r="AA62" s="119">
        <f ca="1">+IF($E62=AA$47,SUM($M62:OFFSET($M62,0,IF(YEAR(AA$47)=VALUE(LEFT($K$47,4)),1,2))),
IF(YEAR($E62)&lt;VALUE(LEFT($K$47,4)),($M62+$N62)/12,0))</f>
        <v>0</v>
      </c>
      <c r="AB62" s="120">
        <f ca="1">+IF($E62=AB$47,SUM($M62:OFFSET($M62,0,IF(YEAR(AB$47)=VALUE(LEFT($K$47,4)),1,2))),
IF(YEAR($E62)&lt;VALUE(LEFT($K$47,4)),($M62+$N62)/12,0))</f>
        <v>0</v>
      </c>
      <c r="AC62" s="122">
        <f ca="1">+IF($E62=AC$47,SUM($M62:OFFSET($M62,0,IF(YEAR(AC$47)=VALUE(LEFT($K$47,4)),1,2))),
IF(YEAR($E62)&lt;=2015,$O62/12,0))</f>
        <v>0</v>
      </c>
      <c r="AD62" s="119">
        <f ca="1">+IF($E62=AD$47,SUM($M62:OFFSET($M62,0,IF(YEAR(AD$47)=VALUE(LEFT($K$47,4)),1,2))),
IF(YEAR($E62)&lt;=2015,$O62/12,0))</f>
        <v>0</v>
      </c>
      <c r="AE62" s="119">
        <f ca="1">+IF($E62=AE$47,SUM($M62:OFFSET($M62,0,IF(YEAR(AE$47)=VALUE(LEFT($K$47,4)),1,2))),
IF(YEAR($E62)&lt;=2015,$O62/12,0))</f>
        <v>0</v>
      </c>
      <c r="AF62" s="119">
        <f ca="1">+IF($E62=AF$47,SUM($M62:OFFSET($M62,0,IF(YEAR(AF$47)=VALUE(LEFT($K$47,4)),1,2))),
IF(YEAR($E62)&lt;=2015,$O62/12,0))</f>
        <v>0</v>
      </c>
      <c r="AG62" s="119">
        <f ca="1">+IF($E62=AG$47,SUM($M62:OFFSET($M62,0,IF(YEAR(AG$47)=VALUE(LEFT($K$47,4)),1,2))),
IF(YEAR($E62)&lt;=2015,$O62/12,0))</f>
        <v>0</v>
      </c>
      <c r="AH62" s="119">
        <f ca="1">+IF($E62=AH$47,SUM($M62:OFFSET($M62,0,IF(YEAR(AH$47)=VALUE(LEFT($K$47,4)),1,2))),
IF(YEAR($E62)&lt;=2015,$O62/12,0))</f>
        <v>0</v>
      </c>
      <c r="AI62" s="119">
        <f ca="1">+IF($E62=AI$47,SUM($M62:OFFSET($M62,0,IF(YEAR(AI$47)=VALUE(LEFT($K$47,4)),1,2))),
IF(YEAR($E62)&lt;=2015,$O62/12,0))</f>
        <v>0</v>
      </c>
      <c r="AJ62" s="119">
        <f ca="1">+IF($E62=AJ$47,SUM($M62:OFFSET($M62,0,IF(YEAR(AJ$47)=VALUE(LEFT($K$47,4)),1,2))),
IF(YEAR($E62)&lt;=2015,$O62/12,0))</f>
        <v>0</v>
      </c>
      <c r="AK62" s="119">
        <f ca="1">+IF($E62=AK$47,SUM($M62:OFFSET($M62,0,IF(YEAR(AK$47)=VALUE(LEFT($K$47,4)),1,2))),
IF(YEAR($E62)&lt;=2015,$O62/12,0))</f>
        <v>0</v>
      </c>
      <c r="AL62" s="119">
        <f ca="1">+IF($E62=AL$47,SUM($M62:OFFSET($M62,0,IF(YEAR(AL$47)=VALUE(LEFT($K$47,4)),1,2))),
IF(YEAR($E62)&lt;=2015,$O62/12,0))</f>
        <v>0</v>
      </c>
      <c r="AM62" s="119">
        <f ca="1">+IF($E62=AM$47,SUM($M62:OFFSET($M62,0,IF(YEAR(AM$47)=VALUE(LEFT($K$47,4)),1,2))),
IF(YEAR($E62)&lt;=2015,$O62/12,0))</f>
        <v>2200</v>
      </c>
      <c r="AN62" s="120">
        <f ca="1">+IF($E62=AN$47,SUM($M62:OFFSET($M62,0,IF(YEAR(AN$47)=VALUE(LEFT($K$47,4)),1,2))),
IF(YEAR($E62)&lt;=2015,$O62/12,0))</f>
        <v>0</v>
      </c>
      <c r="AO62" s="121"/>
    </row>
    <row r="63" spans="1:41" s="105" customFormat="1" ht="15" x14ac:dyDescent="0.25">
      <c r="A63" s="96" t="s">
        <v>402</v>
      </c>
      <c r="B63" s="97" t="s">
        <v>403</v>
      </c>
      <c r="C63" s="98">
        <v>7756</v>
      </c>
      <c r="D63" s="99" t="s">
        <v>70</v>
      </c>
      <c r="E63" s="141">
        <v>42675</v>
      </c>
      <c r="F63" s="97" t="s">
        <v>78</v>
      </c>
      <c r="G63" s="101">
        <v>0</v>
      </c>
      <c r="H63" s="102">
        <v>1</v>
      </c>
      <c r="I63" s="263"/>
      <c r="J63" s="140">
        <v>0</v>
      </c>
      <c r="K63" s="139">
        <v>550</v>
      </c>
      <c r="L63" s="119">
        <v>1650</v>
      </c>
      <c r="M63" s="119">
        <f t="shared" si="13"/>
        <v>0</v>
      </c>
      <c r="N63" s="121">
        <f t="shared" si="14"/>
        <v>550</v>
      </c>
      <c r="O63" s="120">
        <f t="shared" si="15"/>
        <v>1650</v>
      </c>
      <c r="P63" s="121"/>
      <c r="Q63" s="122">
        <f ca="1">+IF($E63=Q$47,SUM($M63:OFFSET($M63,0,IF(YEAR(Q$47)=VALUE(LEFT($K$47,4)),1,2))),
IF(YEAR($E63)&lt;VALUE(LEFT($K$47,4)),($M63+$N63)/12,0))</f>
        <v>0</v>
      </c>
      <c r="R63" s="119">
        <f ca="1">+IF($E63=R$47,SUM($M63:OFFSET($M63,0,IF(YEAR(R$47)=VALUE(LEFT($K$47,4)),1,2))),
IF(YEAR($E63)&lt;VALUE(LEFT($K$47,4)),($M63+$N63)/12,0))</f>
        <v>0</v>
      </c>
      <c r="S63" s="119">
        <f ca="1">+IF($E63=S$47,SUM($M63:OFFSET($M63,0,IF(YEAR(S$47)=VALUE(LEFT($K$47,4)),1,2))),
IF(YEAR($E63)&lt;VALUE(LEFT($K$47,4)),($M63+$N63)/12,0))</f>
        <v>0</v>
      </c>
      <c r="T63" s="119">
        <f ca="1">+IF($E63=T$47,SUM($M63:OFFSET($M63,0,IF(YEAR(T$47)=VALUE(LEFT($K$47,4)),1,2))),
IF(YEAR($E63)&lt;VALUE(LEFT($K$47,4)),($M63+$N63)/12,0))</f>
        <v>0</v>
      </c>
      <c r="U63" s="119">
        <f ca="1">+IF($E63=U$47,SUM($M63:OFFSET($M63,0,IF(YEAR(U$47)=VALUE(LEFT($K$47,4)),1,2))),
IF(YEAR($E63)&lt;VALUE(LEFT($K$47,4)),($M63+$N63)/12,0))</f>
        <v>0</v>
      </c>
      <c r="V63" s="119">
        <f ca="1">+IF($E63=V$47,SUM($M63:OFFSET($M63,0,IF(YEAR(V$47)=VALUE(LEFT($K$47,4)),1,2))),
IF(YEAR($E63)&lt;VALUE(LEFT($K$47,4)),($M63+$N63)/12,0))</f>
        <v>0</v>
      </c>
      <c r="W63" s="119">
        <f ca="1">+IF($E63=W$47,SUM($M63:OFFSET($M63,0,IF(YEAR(W$47)=VALUE(LEFT($K$47,4)),1,2))),
IF(YEAR($E63)&lt;VALUE(LEFT($K$47,4)),($M63+$N63)/12,0))</f>
        <v>0</v>
      </c>
      <c r="X63" s="119">
        <f ca="1">+IF($E63=X$47,SUM($M63:OFFSET($M63,0,IF(YEAR(X$47)=VALUE(LEFT($K$47,4)),1,2))),
IF(YEAR($E63)&lt;VALUE(LEFT($K$47,4)),($M63+$N63)/12,0))</f>
        <v>0</v>
      </c>
      <c r="Y63" s="119">
        <f ca="1">+IF($E63=Y$47,SUM($M63:OFFSET($M63,0,IF(YEAR(Y$47)=VALUE(LEFT($K$47,4)),1,2))),
IF(YEAR($E63)&lt;VALUE(LEFT($K$47,4)),($M63+$N63)/12,0))</f>
        <v>0</v>
      </c>
      <c r="Z63" s="119">
        <f ca="1">+IF($E63=Z$47,SUM($M63:OFFSET($M63,0,IF(YEAR(Z$47)=VALUE(LEFT($K$47,4)),1,2))),
IF(YEAR($E63)&lt;VALUE(LEFT($K$47,4)),($M63+$N63)/12,0))</f>
        <v>0</v>
      </c>
      <c r="AA63" s="119">
        <f ca="1">+IF($E63=AA$47,SUM($M63:OFFSET($M63,0,IF(YEAR(AA$47)=VALUE(LEFT($K$47,4)),1,2))),
IF(YEAR($E63)&lt;VALUE(LEFT($K$47,4)),($M63+$N63)/12,0))</f>
        <v>0</v>
      </c>
      <c r="AB63" s="120">
        <f ca="1">+IF($E63=AB$47,SUM($M63:OFFSET($M63,0,IF(YEAR(AB$47)=VALUE(LEFT($K$47,4)),1,2))),
IF(YEAR($E63)&lt;VALUE(LEFT($K$47,4)),($M63+$N63)/12,0))</f>
        <v>0</v>
      </c>
      <c r="AC63" s="122">
        <f ca="1">+IF($E63=AC$47,SUM($M63:OFFSET($M63,0,IF(YEAR(AC$47)=VALUE(LEFT($K$47,4)),1,2))),
IF(YEAR($E63)&lt;=2015,$O63/12,0))</f>
        <v>0</v>
      </c>
      <c r="AD63" s="119">
        <f ca="1">+IF($E63=AD$47,SUM($M63:OFFSET($M63,0,IF(YEAR(AD$47)=VALUE(LEFT($K$47,4)),1,2))),
IF(YEAR($E63)&lt;=2015,$O63/12,0))</f>
        <v>0</v>
      </c>
      <c r="AE63" s="119">
        <f ca="1">+IF($E63=AE$47,SUM($M63:OFFSET($M63,0,IF(YEAR(AE$47)=VALUE(LEFT($K$47,4)),1,2))),
IF(YEAR($E63)&lt;=2015,$O63/12,0))</f>
        <v>0</v>
      </c>
      <c r="AF63" s="119">
        <f ca="1">+IF($E63=AF$47,SUM($M63:OFFSET($M63,0,IF(YEAR(AF$47)=VALUE(LEFT($K$47,4)),1,2))),
IF(YEAR($E63)&lt;=2015,$O63/12,0))</f>
        <v>0</v>
      </c>
      <c r="AG63" s="119">
        <f ca="1">+IF($E63=AG$47,SUM($M63:OFFSET($M63,0,IF(YEAR(AG$47)=VALUE(LEFT($K$47,4)),1,2))),
IF(YEAR($E63)&lt;=2015,$O63/12,0))</f>
        <v>0</v>
      </c>
      <c r="AH63" s="119">
        <f ca="1">+IF($E63=AH$47,SUM($M63:OFFSET($M63,0,IF(YEAR(AH$47)=VALUE(LEFT($K$47,4)),1,2))),
IF(YEAR($E63)&lt;=2015,$O63/12,0))</f>
        <v>0</v>
      </c>
      <c r="AI63" s="119">
        <f ca="1">+IF($E63=AI$47,SUM($M63:OFFSET($M63,0,IF(YEAR(AI$47)=VALUE(LEFT($K$47,4)),1,2))),
IF(YEAR($E63)&lt;=2015,$O63/12,0))</f>
        <v>0</v>
      </c>
      <c r="AJ63" s="119">
        <f ca="1">+IF($E63=AJ$47,SUM($M63:OFFSET($M63,0,IF(YEAR(AJ$47)=VALUE(LEFT($K$47,4)),1,2))),
IF(YEAR($E63)&lt;=2015,$O63/12,0))</f>
        <v>0</v>
      </c>
      <c r="AK63" s="119">
        <f ca="1">+IF($E63=AK$47,SUM($M63:OFFSET($M63,0,IF(YEAR(AK$47)=VALUE(LEFT($K$47,4)),1,2))),
IF(YEAR($E63)&lt;=2015,$O63/12,0))</f>
        <v>0</v>
      </c>
      <c r="AL63" s="119">
        <f ca="1">+IF($E63=AL$47,SUM($M63:OFFSET($M63,0,IF(YEAR(AL$47)=VALUE(LEFT($K$47,4)),1,2))),
IF(YEAR($E63)&lt;=2015,$O63/12,0))</f>
        <v>0</v>
      </c>
      <c r="AM63" s="119">
        <f ca="1">+IF($E63=AM$47,SUM($M63:OFFSET($M63,0,IF(YEAR(AM$47)=VALUE(LEFT($K$47,4)),1,2))),
IF(YEAR($E63)&lt;=2015,$O63/12,0))</f>
        <v>2200</v>
      </c>
      <c r="AN63" s="120">
        <f ca="1">+IF($E63=AN$47,SUM($M63:OFFSET($M63,0,IF(YEAR(AN$47)=VALUE(LEFT($K$47,4)),1,2))),
IF(YEAR($E63)&lt;=2015,$O63/12,0))</f>
        <v>0</v>
      </c>
      <c r="AO63" s="121"/>
    </row>
    <row r="64" spans="1:41" s="105" customFormat="1" ht="15" x14ac:dyDescent="0.25">
      <c r="A64" s="96" t="s">
        <v>117</v>
      </c>
      <c r="B64" s="97" t="s">
        <v>118</v>
      </c>
      <c r="C64" s="98">
        <v>6107</v>
      </c>
      <c r="D64" s="99" t="s">
        <v>70</v>
      </c>
      <c r="E64" s="141">
        <v>42339</v>
      </c>
      <c r="F64" s="97" t="s">
        <v>78</v>
      </c>
      <c r="G64" s="101">
        <v>0</v>
      </c>
      <c r="H64" s="102">
        <v>1</v>
      </c>
      <c r="I64" s="263"/>
      <c r="J64" s="140">
        <v>3009.845710000001</v>
      </c>
      <c r="K64" s="139">
        <v>618.31399999999996</v>
      </c>
      <c r="L64" s="119">
        <v>0</v>
      </c>
      <c r="M64" s="119">
        <f t="shared" si="13"/>
        <v>3009.845710000001</v>
      </c>
      <c r="N64" s="121">
        <f t="shared" si="14"/>
        <v>618.31399999999996</v>
      </c>
      <c r="O64" s="120">
        <f t="shared" si="15"/>
        <v>0</v>
      </c>
      <c r="P64" s="121"/>
      <c r="Q64" s="122">
        <f ca="1">+IF($E64=Q$47,SUM($M64:OFFSET($M64,0,IF(YEAR(Q$47)=VALUE(LEFT($K$47,4)),1,2))),
IF(YEAR($E64)&lt;VALUE(LEFT($K$47,4)),($M64+$N64)/12,0))</f>
        <v>0</v>
      </c>
      <c r="R64" s="119">
        <f ca="1">+IF($E64=R$47,SUM($M64:OFFSET($M64,0,IF(YEAR(R$47)=VALUE(LEFT($K$47,4)),1,2))),
IF(YEAR($E64)&lt;VALUE(LEFT($K$47,4)),($M64+$N64)/12,0))</f>
        <v>0</v>
      </c>
      <c r="S64" s="119">
        <f ca="1">+IF($E64=S$47,SUM($M64:OFFSET($M64,0,IF(YEAR(S$47)=VALUE(LEFT($K$47,4)),1,2))),
IF(YEAR($E64)&lt;VALUE(LEFT($K$47,4)),($M64+$N64)/12,0))</f>
        <v>0</v>
      </c>
      <c r="T64" s="119">
        <f ca="1">+IF($E64=T$47,SUM($M64:OFFSET($M64,0,IF(YEAR(T$47)=VALUE(LEFT($K$47,4)),1,2))),
IF(YEAR($E64)&lt;VALUE(LEFT($K$47,4)),($M64+$N64)/12,0))</f>
        <v>0</v>
      </c>
      <c r="U64" s="119">
        <f ca="1">+IF($E64=U$47,SUM($M64:OFFSET($M64,0,IF(YEAR(U$47)=VALUE(LEFT($K$47,4)),1,2))),
IF(YEAR($E64)&lt;VALUE(LEFT($K$47,4)),($M64+$N64)/12,0))</f>
        <v>0</v>
      </c>
      <c r="V64" s="119">
        <f ca="1">+IF($E64=V$47,SUM($M64:OFFSET($M64,0,IF(YEAR(V$47)=VALUE(LEFT($K$47,4)),1,2))),
IF(YEAR($E64)&lt;VALUE(LEFT($K$47,4)),($M64+$N64)/12,0))</f>
        <v>0</v>
      </c>
      <c r="W64" s="119">
        <f ca="1">+IF($E64=W$47,SUM($M64:OFFSET($M64,0,IF(YEAR(W$47)=VALUE(LEFT($K$47,4)),1,2))),
IF(YEAR($E64)&lt;VALUE(LEFT($K$47,4)),($M64+$N64)/12,0))</f>
        <v>0</v>
      </c>
      <c r="X64" s="119">
        <f ca="1">+IF($E64=X$47,SUM($M64:OFFSET($M64,0,IF(YEAR(X$47)=VALUE(LEFT($K$47,4)),1,2))),
IF(YEAR($E64)&lt;VALUE(LEFT($K$47,4)),($M64+$N64)/12,0))</f>
        <v>0</v>
      </c>
      <c r="Y64" s="119">
        <f ca="1">+IF($E64=Y$47,SUM($M64:OFFSET($M64,0,IF(YEAR(Y$47)=VALUE(LEFT($K$47,4)),1,2))),
IF(YEAR($E64)&lt;VALUE(LEFT($K$47,4)),($M64+$N64)/12,0))</f>
        <v>0</v>
      </c>
      <c r="Z64" s="119">
        <f ca="1">+IF($E64=Z$47,SUM($M64:OFFSET($M64,0,IF(YEAR(Z$47)=VALUE(LEFT($K$47,4)),1,2))),
IF(YEAR($E64)&lt;VALUE(LEFT($K$47,4)),($M64+$N64)/12,0))</f>
        <v>0</v>
      </c>
      <c r="AA64" s="119">
        <f ca="1">+IF($E64=AA$47,SUM($M64:OFFSET($M64,0,IF(YEAR(AA$47)=VALUE(LEFT($K$47,4)),1,2))),
IF(YEAR($E64)&lt;VALUE(LEFT($K$47,4)),($M64+$N64)/12,0))</f>
        <v>0</v>
      </c>
      <c r="AB64" s="120">
        <f ca="1">+IF($E64=AB$47,SUM($M64:OFFSET($M64,0,IF(YEAR(AB$47)=VALUE(LEFT($K$47,4)),1,2))),
IF(YEAR($E64)&lt;VALUE(LEFT($K$47,4)),($M64+$N64)/12,0))</f>
        <v>3628.1597100000008</v>
      </c>
      <c r="AC64" s="122">
        <f ca="1">+IF($E64=AC$47,SUM($M64:OFFSET($M64,0,IF(YEAR(AC$47)=VALUE(LEFT($K$47,4)),1,2))),
IF(YEAR($E64)&lt;=2015,$O64/12,0))</f>
        <v>0</v>
      </c>
      <c r="AD64" s="119">
        <f ca="1">+IF($E64=AD$47,SUM($M64:OFFSET($M64,0,IF(YEAR(AD$47)=VALUE(LEFT($K$47,4)),1,2))),
IF(YEAR($E64)&lt;=2015,$O64/12,0))</f>
        <v>0</v>
      </c>
      <c r="AE64" s="119">
        <f ca="1">+IF($E64=AE$47,SUM($M64:OFFSET($M64,0,IF(YEAR(AE$47)=VALUE(LEFT($K$47,4)),1,2))),
IF(YEAR($E64)&lt;=2015,$O64/12,0))</f>
        <v>0</v>
      </c>
      <c r="AF64" s="119">
        <f ca="1">+IF($E64=AF$47,SUM($M64:OFFSET($M64,0,IF(YEAR(AF$47)=VALUE(LEFT($K$47,4)),1,2))),
IF(YEAR($E64)&lt;=2015,$O64/12,0))</f>
        <v>0</v>
      </c>
      <c r="AG64" s="119">
        <f ca="1">+IF($E64=AG$47,SUM($M64:OFFSET($M64,0,IF(YEAR(AG$47)=VALUE(LEFT($K$47,4)),1,2))),
IF(YEAR($E64)&lt;=2015,$O64/12,0))</f>
        <v>0</v>
      </c>
      <c r="AH64" s="119">
        <f ca="1">+IF($E64=AH$47,SUM($M64:OFFSET($M64,0,IF(YEAR(AH$47)=VALUE(LEFT($K$47,4)),1,2))),
IF(YEAR($E64)&lt;=2015,$O64/12,0))</f>
        <v>0</v>
      </c>
      <c r="AI64" s="119">
        <f ca="1">+IF($E64=AI$47,SUM($M64:OFFSET($M64,0,IF(YEAR(AI$47)=VALUE(LEFT($K$47,4)),1,2))),
IF(YEAR($E64)&lt;=2015,$O64/12,0))</f>
        <v>0</v>
      </c>
      <c r="AJ64" s="119">
        <f ca="1">+IF($E64=AJ$47,SUM($M64:OFFSET($M64,0,IF(YEAR(AJ$47)=VALUE(LEFT($K$47,4)),1,2))),
IF(YEAR($E64)&lt;=2015,$O64/12,0))</f>
        <v>0</v>
      </c>
      <c r="AK64" s="119">
        <f ca="1">+IF($E64=AK$47,SUM($M64:OFFSET($M64,0,IF(YEAR(AK$47)=VALUE(LEFT($K$47,4)),1,2))),
IF(YEAR($E64)&lt;=2015,$O64/12,0))</f>
        <v>0</v>
      </c>
      <c r="AL64" s="119">
        <f ca="1">+IF($E64=AL$47,SUM($M64:OFFSET($M64,0,IF(YEAR(AL$47)=VALUE(LEFT($K$47,4)),1,2))),
IF(YEAR($E64)&lt;=2015,$O64/12,0))</f>
        <v>0</v>
      </c>
      <c r="AM64" s="119">
        <f ca="1">+IF($E64=AM$47,SUM($M64:OFFSET($M64,0,IF(YEAR(AM$47)=VALUE(LEFT($K$47,4)),1,2))),
IF(YEAR($E64)&lt;=2015,$O64/12,0))</f>
        <v>0</v>
      </c>
      <c r="AN64" s="120">
        <f ca="1">+IF($E64=AN$47,SUM($M64:OFFSET($M64,0,IF(YEAR(AN$47)=VALUE(LEFT($K$47,4)),1,2))),
IF(YEAR($E64)&lt;=2015,$O64/12,0))</f>
        <v>0</v>
      </c>
      <c r="AO64" s="121"/>
    </row>
    <row r="65" spans="1:41" s="105" customFormat="1" ht="15" x14ac:dyDescent="0.25">
      <c r="A65" s="96" t="s">
        <v>153</v>
      </c>
      <c r="B65" s="97" t="s">
        <v>404</v>
      </c>
      <c r="C65" s="98">
        <v>6434</v>
      </c>
      <c r="D65" s="99" t="s">
        <v>70</v>
      </c>
      <c r="E65" s="141">
        <v>41821</v>
      </c>
      <c r="F65" s="97" t="s">
        <v>78</v>
      </c>
      <c r="G65" s="101">
        <v>0</v>
      </c>
      <c r="H65" s="102">
        <v>1</v>
      </c>
      <c r="I65" s="263" t="s">
        <v>478</v>
      </c>
      <c r="J65" s="140">
        <v>736.91063999999983</v>
      </c>
      <c r="K65" s="139">
        <v>100</v>
      </c>
      <c r="L65" s="119">
        <v>0</v>
      </c>
      <c r="M65" s="119">
        <f t="shared" si="13"/>
        <v>736.91063999999983</v>
      </c>
      <c r="N65" s="121">
        <f t="shared" si="14"/>
        <v>100</v>
      </c>
      <c r="O65" s="120">
        <f t="shared" si="15"/>
        <v>0</v>
      </c>
      <c r="P65" s="121"/>
      <c r="Q65" s="122">
        <f ca="1">+IF($E65=Q$47,SUM($M65:OFFSET($M65,0,IF(YEAR(Q$47)=VALUE(LEFT($K$47,4)),1,2))),
IF(YEAR($E65)&lt;VALUE(LEFT($K$47,4)),($M65+$N65)/12,0))</f>
        <v>69.742553333333319</v>
      </c>
      <c r="R65" s="119">
        <f ca="1">+IF($E65=R$47,SUM($M65:OFFSET($M65,0,IF(YEAR(R$47)=VALUE(LEFT($K$47,4)),1,2))),
IF(YEAR($E65)&lt;VALUE(LEFT($K$47,4)),($M65+$N65)/12,0))</f>
        <v>69.742553333333319</v>
      </c>
      <c r="S65" s="119">
        <f ca="1">+IF($E65=S$47,SUM($M65:OFFSET($M65,0,IF(YEAR(S$47)=VALUE(LEFT($K$47,4)),1,2))),
IF(YEAR($E65)&lt;VALUE(LEFT($K$47,4)),($M65+$N65)/12,0))</f>
        <v>69.742553333333319</v>
      </c>
      <c r="T65" s="119">
        <f ca="1">+IF($E65=T$47,SUM($M65:OFFSET($M65,0,IF(YEAR(T$47)=VALUE(LEFT($K$47,4)),1,2))),
IF(YEAR($E65)&lt;VALUE(LEFT($K$47,4)),($M65+$N65)/12,0))</f>
        <v>69.742553333333319</v>
      </c>
      <c r="U65" s="119">
        <f ca="1">+IF($E65=U$47,SUM($M65:OFFSET($M65,0,IF(YEAR(U$47)=VALUE(LEFT($K$47,4)),1,2))),
IF(YEAR($E65)&lt;VALUE(LEFT($K$47,4)),($M65+$N65)/12,0))</f>
        <v>69.742553333333319</v>
      </c>
      <c r="V65" s="119">
        <f ca="1">+IF($E65=V$47,SUM($M65:OFFSET($M65,0,IF(YEAR(V$47)=VALUE(LEFT($K$47,4)),1,2))),
IF(YEAR($E65)&lt;VALUE(LEFT($K$47,4)),($M65+$N65)/12,0))</f>
        <v>69.742553333333319</v>
      </c>
      <c r="W65" s="119">
        <f ca="1">+IF($E65=W$47,SUM($M65:OFFSET($M65,0,IF(YEAR(W$47)=VALUE(LEFT($K$47,4)),1,2))),
IF(YEAR($E65)&lt;VALUE(LEFT($K$47,4)),($M65+$N65)/12,0))</f>
        <v>69.742553333333319</v>
      </c>
      <c r="X65" s="119">
        <f ca="1">+IF($E65=X$47,SUM($M65:OFFSET($M65,0,IF(YEAR(X$47)=VALUE(LEFT($K$47,4)),1,2))),
IF(YEAR($E65)&lt;VALUE(LEFT($K$47,4)),($M65+$N65)/12,0))</f>
        <v>69.742553333333319</v>
      </c>
      <c r="Y65" s="119">
        <f ca="1">+IF($E65=Y$47,SUM($M65:OFFSET($M65,0,IF(YEAR(Y$47)=VALUE(LEFT($K$47,4)),1,2))),
IF(YEAR($E65)&lt;VALUE(LEFT($K$47,4)),($M65+$N65)/12,0))</f>
        <v>69.742553333333319</v>
      </c>
      <c r="Z65" s="119">
        <f ca="1">+IF($E65=Z$47,SUM($M65:OFFSET($M65,0,IF(YEAR(Z$47)=VALUE(LEFT($K$47,4)),1,2))),
IF(YEAR($E65)&lt;VALUE(LEFT($K$47,4)),($M65+$N65)/12,0))</f>
        <v>69.742553333333319</v>
      </c>
      <c r="AA65" s="119">
        <f ca="1">+IF($E65=AA$47,SUM($M65:OFFSET($M65,0,IF(YEAR(AA$47)=VALUE(LEFT($K$47,4)),1,2))),
IF(YEAR($E65)&lt;VALUE(LEFT($K$47,4)),($M65+$N65)/12,0))</f>
        <v>69.742553333333319</v>
      </c>
      <c r="AB65" s="120">
        <f ca="1">+IF($E65=AB$47,SUM($M65:OFFSET($M65,0,IF(YEAR(AB$47)=VALUE(LEFT($K$47,4)),1,2))),
IF(YEAR($E65)&lt;VALUE(LEFT($K$47,4)),($M65+$N65)/12,0))</f>
        <v>69.742553333333319</v>
      </c>
      <c r="AC65" s="122">
        <f ca="1">+IF($E65=AC$47,SUM($M65:OFFSET($M65,0,IF(YEAR(AC$47)=VALUE(LEFT($K$47,4)),1,2))),
IF(YEAR($E65)&lt;=2015,$O65/12,0))</f>
        <v>0</v>
      </c>
      <c r="AD65" s="119">
        <f ca="1">+IF($E65=AD$47,SUM($M65:OFFSET($M65,0,IF(YEAR(AD$47)=VALUE(LEFT($K$47,4)),1,2))),
IF(YEAR($E65)&lt;=2015,$O65/12,0))</f>
        <v>0</v>
      </c>
      <c r="AE65" s="119">
        <f ca="1">+IF($E65=AE$47,SUM($M65:OFFSET($M65,0,IF(YEAR(AE$47)=VALUE(LEFT($K$47,4)),1,2))),
IF(YEAR($E65)&lt;=2015,$O65/12,0))</f>
        <v>0</v>
      </c>
      <c r="AF65" s="119">
        <f ca="1">+IF($E65=AF$47,SUM($M65:OFFSET($M65,0,IF(YEAR(AF$47)=VALUE(LEFT($K$47,4)),1,2))),
IF(YEAR($E65)&lt;=2015,$O65/12,0))</f>
        <v>0</v>
      </c>
      <c r="AG65" s="119">
        <f ca="1">+IF($E65=AG$47,SUM($M65:OFFSET($M65,0,IF(YEAR(AG$47)=VALUE(LEFT($K$47,4)),1,2))),
IF(YEAR($E65)&lt;=2015,$O65/12,0))</f>
        <v>0</v>
      </c>
      <c r="AH65" s="119">
        <f ca="1">+IF($E65=AH$47,SUM($M65:OFFSET($M65,0,IF(YEAR(AH$47)=VALUE(LEFT($K$47,4)),1,2))),
IF(YEAR($E65)&lt;=2015,$O65/12,0))</f>
        <v>0</v>
      </c>
      <c r="AI65" s="119">
        <f ca="1">+IF($E65=AI$47,SUM($M65:OFFSET($M65,0,IF(YEAR(AI$47)=VALUE(LEFT($K$47,4)),1,2))),
IF(YEAR($E65)&lt;=2015,$O65/12,0))</f>
        <v>0</v>
      </c>
      <c r="AJ65" s="119">
        <f ca="1">+IF($E65=AJ$47,SUM($M65:OFFSET($M65,0,IF(YEAR(AJ$47)=VALUE(LEFT($K$47,4)),1,2))),
IF(YEAR($E65)&lt;=2015,$O65/12,0))</f>
        <v>0</v>
      </c>
      <c r="AK65" s="119">
        <f ca="1">+IF($E65=AK$47,SUM($M65:OFFSET($M65,0,IF(YEAR(AK$47)=VALUE(LEFT($K$47,4)),1,2))),
IF(YEAR($E65)&lt;=2015,$O65/12,0))</f>
        <v>0</v>
      </c>
      <c r="AL65" s="119">
        <f ca="1">+IF($E65=AL$47,SUM($M65:OFFSET($M65,0,IF(YEAR(AL$47)=VALUE(LEFT($K$47,4)),1,2))),
IF(YEAR($E65)&lt;=2015,$O65/12,0))</f>
        <v>0</v>
      </c>
      <c r="AM65" s="119">
        <f ca="1">+IF($E65=AM$47,SUM($M65:OFFSET($M65,0,IF(YEAR(AM$47)=VALUE(LEFT($K$47,4)),1,2))),
IF(YEAR($E65)&lt;=2015,$O65/12,0))</f>
        <v>0</v>
      </c>
      <c r="AN65" s="120">
        <f ca="1">+IF($E65=AN$47,SUM($M65:OFFSET($M65,0,IF(YEAR(AN$47)=VALUE(LEFT($K$47,4)),1,2))),
IF(YEAR($E65)&lt;=2015,$O65/12,0))</f>
        <v>0</v>
      </c>
      <c r="AO65" s="121"/>
    </row>
    <row r="66" spans="1:41" s="105" customFormat="1" ht="15" x14ac:dyDescent="0.25">
      <c r="A66" s="96" t="s">
        <v>119</v>
      </c>
      <c r="B66" s="97" t="s">
        <v>120</v>
      </c>
      <c r="C66" s="98">
        <v>4956</v>
      </c>
      <c r="D66" s="99" t="s">
        <v>70</v>
      </c>
      <c r="E66" s="100">
        <v>41944</v>
      </c>
      <c r="F66" s="97" t="s">
        <v>71</v>
      </c>
      <c r="G66" s="101">
        <v>0</v>
      </c>
      <c r="H66" s="102">
        <v>1</v>
      </c>
      <c r="I66" s="263" t="s">
        <v>478</v>
      </c>
      <c r="J66" s="140">
        <v>0</v>
      </c>
      <c r="K66" s="139">
        <v>6850</v>
      </c>
      <c r="L66" s="119">
        <v>1000</v>
      </c>
      <c r="M66" s="119">
        <f t="shared" si="13"/>
        <v>0</v>
      </c>
      <c r="N66" s="121">
        <f t="shared" si="14"/>
        <v>6850</v>
      </c>
      <c r="O66" s="120">
        <f t="shared" si="15"/>
        <v>1000</v>
      </c>
      <c r="P66" s="121"/>
      <c r="Q66" s="122">
        <f ca="1">+IF($E66=Q$47,SUM($M66:OFFSET($M66,0,IF(YEAR(Q$47)=VALUE(LEFT($K$47,4)),1,2))),
IF(YEAR($E66)&lt;VALUE(LEFT($K$47,4)),($M66+$N66)/12,0))</f>
        <v>570.83333333333337</v>
      </c>
      <c r="R66" s="119">
        <f ca="1">+IF($E66=R$47,SUM($M66:OFFSET($M66,0,IF(YEAR(R$47)=VALUE(LEFT($K$47,4)),1,2))),
IF(YEAR($E66)&lt;VALUE(LEFT($K$47,4)),($M66+$N66)/12,0))</f>
        <v>570.83333333333337</v>
      </c>
      <c r="S66" s="119">
        <f ca="1">+IF($E66=S$47,SUM($M66:OFFSET($M66,0,IF(YEAR(S$47)=VALUE(LEFT($K$47,4)),1,2))),
IF(YEAR($E66)&lt;VALUE(LEFT($K$47,4)),($M66+$N66)/12,0))</f>
        <v>570.83333333333337</v>
      </c>
      <c r="T66" s="119">
        <f ca="1">+IF($E66=T$47,SUM($M66:OFFSET($M66,0,IF(YEAR(T$47)=VALUE(LEFT($K$47,4)),1,2))),
IF(YEAR($E66)&lt;VALUE(LEFT($K$47,4)),($M66+$N66)/12,0))</f>
        <v>570.83333333333337</v>
      </c>
      <c r="U66" s="119">
        <f ca="1">+IF($E66=U$47,SUM($M66:OFFSET($M66,0,IF(YEAR(U$47)=VALUE(LEFT($K$47,4)),1,2))),
IF(YEAR($E66)&lt;VALUE(LEFT($K$47,4)),($M66+$N66)/12,0))</f>
        <v>570.83333333333337</v>
      </c>
      <c r="V66" s="119">
        <f ca="1">+IF($E66=V$47,SUM($M66:OFFSET($M66,0,IF(YEAR(V$47)=VALUE(LEFT($K$47,4)),1,2))),
IF(YEAR($E66)&lt;VALUE(LEFT($K$47,4)),($M66+$N66)/12,0))</f>
        <v>570.83333333333337</v>
      </c>
      <c r="W66" s="119">
        <f ca="1">+IF($E66=W$47,SUM($M66:OFFSET($M66,0,IF(YEAR(W$47)=VALUE(LEFT($K$47,4)),1,2))),
IF(YEAR($E66)&lt;VALUE(LEFT($K$47,4)),($M66+$N66)/12,0))</f>
        <v>570.83333333333337</v>
      </c>
      <c r="X66" s="119">
        <f ca="1">+IF($E66=X$47,SUM($M66:OFFSET($M66,0,IF(YEAR(X$47)=VALUE(LEFT($K$47,4)),1,2))),
IF(YEAR($E66)&lt;VALUE(LEFT($K$47,4)),($M66+$N66)/12,0))</f>
        <v>570.83333333333337</v>
      </c>
      <c r="Y66" s="119">
        <f ca="1">+IF($E66=Y$47,SUM($M66:OFFSET($M66,0,IF(YEAR(Y$47)=VALUE(LEFT($K$47,4)),1,2))),
IF(YEAR($E66)&lt;VALUE(LEFT($K$47,4)),($M66+$N66)/12,0))</f>
        <v>570.83333333333337</v>
      </c>
      <c r="Z66" s="119">
        <f ca="1">+IF($E66=Z$47,SUM($M66:OFFSET($M66,0,IF(YEAR(Z$47)=VALUE(LEFT($K$47,4)),1,2))),
IF(YEAR($E66)&lt;VALUE(LEFT($K$47,4)),($M66+$N66)/12,0))</f>
        <v>570.83333333333337</v>
      </c>
      <c r="AA66" s="119">
        <f ca="1">+IF($E66=AA$47,SUM($M66:OFFSET($M66,0,IF(YEAR(AA$47)=VALUE(LEFT($K$47,4)),1,2))),
IF(YEAR($E66)&lt;VALUE(LEFT($K$47,4)),($M66+$N66)/12,0))</f>
        <v>570.83333333333337</v>
      </c>
      <c r="AB66" s="120">
        <f ca="1">+IF($E66=AB$47,SUM($M66:OFFSET($M66,0,IF(YEAR(AB$47)=VALUE(LEFT($K$47,4)),1,2))),
IF(YEAR($E66)&lt;VALUE(LEFT($K$47,4)),($M66+$N66)/12,0))</f>
        <v>570.83333333333337</v>
      </c>
      <c r="AC66" s="122">
        <f ca="1">+IF($E66=AC$47,SUM($M66:OFFSET($M66,0,IF(YEAR(AC$47)=VALUE(LEFT($K$47,4)),1,2))),
IF(YEAR($E66)&lt;=2015,$O66/12,0))</f>
        <v>83.333333333333329</v>
      </c>
      <c r="AD66" s="119">
        <f ca="1">+IF($E66=AD$47,SUM($M66:OFFSET($M66,0,IF(YEAR(AD$47)=VALUE(LEFT($K$47,4)),1,2))),
IF(YEAR($E66)&lt;=2015,$O66/12,0))</f>
        <v>83.333333333333329</v>
      </c>
      <c r="AE66" s="119">
        <f ca="1">+IF($E66=AE$47,SUM($M66:OFFSET($M66,0,IF(YEAR(AE$47)=VALUE(LEFT($K$47,4)),1,2))),
IF(YEAR($E66)&lt;=2015,$O66/12,0))</f>
        <v>83.333333333333329</v>
      </c>
      <c r="AF66" s="119">
        <f ca="1">+IF($E66=AF$47,SUM($M66:OFFSET($M66,0,IF(YEAR(AF$47)=VALUE(LEFT($K$47,4)),1,2))),
IF(YEAR($E66)&lt;=2015,$O66/12,0))</f>
        <v>83.333333333333329</v>
      </c>
      <c r="AG66" s="119">
        <f ca="1">+IF($E66=AG$47,SUM($M66:OFFSET($M66,0,IF(YEAR(AG$47)=VALUE(LEFT($K$47,4)),1,2))),
IF(YEAR($E66)&lt;=2015,$O66/12,0))</f>
        <v>83.333333333333329</v>
      </c>
      <c r="AH66" s="119">
        <f ca="1">+IF($E66=AH$47,SUM($M66:OFFSET($M66,0,IF(YEAR(AH$47)=VALUE(LEFT($K$47,4)),1,2))),
IF(YEAR($E66)&lt;=2015,$O66/12,0))</f>
        <v>83.333333333333329</v>
      </c>
      <c r="AI66" s="119">
        <f ca="1">+IF($E66=AI$47,SUM($M66:OFFSET($M66,0,IF(YEAR(AI$47)=VALUE(LEFT($K$47,4)),1,2))),
IF(YEAR($E66)&lt;=2015,$O66/12,0))</f>
        <v>83.333333333333329</v>
      </c>
      <c r="AJ66" s="119">
        <f ca="1">+IF($E66=AJ$47,SUM($M66:OFFSET($M66,0,IF(YEAR(AJ$47)=VALUE(LEFT($K$47,4)),1,2))),
IF(YEAR($E66)&lt;=2015,$O66/12,0))</f>
        <v>83.333333333333329</v>
      </c>
      <c r="AK66" s="119">
        <f ca="1">+IF($E66=AK$47,SUM($M66:OFFSET($M66,0,IF(YEAR(AK$47)=VALUE(LEFT($K$47,4)),1,2))),
IF(YEAR($E66)&lt;=2015,$O66/12,0))</f>
        <v>83.333333333333329</v>
      </c>
      <c r="AL66" s="119">
        <f ca="1">+IF($E66=AL$47,SUM($M66:OFFSET($M66,0,IF(YEAR(AL$47)=VALUE(LEFT($K$47,4)),1,2))),
IF(YEAR($E66)&lt;=2015,$O66/12,0))</f>
        <v>83.333333333333329</v>
      </c>
      <c r="AM66" s="119">
        <f ca="1">+IF($E66=AM$47,SUM($M66:OFFSET($M66,0,IF(YEAR(AM$47)=VALUE(LEFT($K$47,4)),1,2))),
IF(YEAR($E66)&lt;=2015,$O66/12,0))</f>
        <v>83.333333333333329</v>
      </c>
      <c r="AN66" s="120">
        <f ca="1">+IF($E66=AN$47,SUM($M66:OFFSET($M66,0,IF(YEAR(AN$47)=VALUE(LEFT($K$47,4)),1,2))),
IF(YEAR($E66)&lt;=2015,$O66/12,0))</f>
        <v>83.333333333333329</v>
      </c>
      <c r="AO66" s="121"/>
    </row>
    <row r="67" spans="1:41" s="105" customFormat="1" ht="15" x14ac:dyDescent="0.25">
      <c r="A67" s="96" t="s">
        <v>121</v>
      </c>
      <c r="B67" s="97" t="s">
        <v>122</v>
      </c>
      <c r="C67" s="98">
        <v>6154</v>
      </c>
      <c r="D67" s="99" t="s">
        <v>70</v>
      </c>
      <c r="E67" s="100">
        <v>42156</v>
      </c>
      <c r="F67" s="97" t="s">
        <v>78</v>
      </c>
      <c r="G67" s="101">
        <v>0</v>
      </c>
      <c r="H67" s="102">
        <v>1</v>
      </c>
      <c r="I67" s="263"/>
      <c r="J67" s="140">
        <v>668.50597000000039</v>
      </c>
      <c r="K67" s="139">
        <v>100</v>
      </c>
      <c r="L67" s="119">
        <v>0</v>
      </c>
      <c r="M67" s="119">
        <f t="shared" si="13"/>
        <v>668.50597000000039</v>
      </c>
      <c r="N67" s="121">
        <f t="shared" si="14"/>
        <v>100</v>
      </c>
      <c r="O67" s="120">
        <f t="shared" si="15"/>
        <v>0</v>
      </c>
      <c r="P67" s="121"/>
      <c r="Q67" s="122">
        <f ca="1">+IF($E67=Q$47,SUM($M67:OFFSET($M67,0,IF(YEAR(Q$47)=VALUE(LEFT($K$47,4)),1,2))),
IF(YEAR($E67)&lt;VALUE(LEFT($K$47,4)),($M67+$N67)/12,0))</f>
        <v>0</v>
      </c>
      <c r="R67" s="119">
        <f ca="1">+IF($E67=R$47,SUM($M67:OFFSET($M67,0,IF(YEAR(R$47)=VALUE(LEFT($K$47,4)),1,2))),
IF(YEAR($E67)&lt;VALUE(LEFT($K$47,4)),($M67+$N67)/12,0))</f>
        <v>0</v>
      </c>
      <c r="S67" s="119">
        <f ca="1">+IF($E67=S$47,SUM($M67:OFFSET($M67,0,IF(YEAR(S$47)=VALUE(LEFT($K$47,4)),1,2))),
IF(YEAR($E67)&lt;VALUE(LEFT($K$47,4)),($M67+$N67)/12,0))</f>
        <v>0</v>
      </c>
      <c r="T67" s="119">
        <f ca="1">+IF($E67=T$47,SUM($M67:OFFSET($M67,0,IF(YEAR(T$47)=VALUE(LEFT($K$47,4)),1,2))),
IF(YEAR($E67)&lt;VALUE(LEFT($K$47,4)),($M67+$N67)/12,0))</f>
        <v>0</v>
      </c>
      <c r="U67" s="119">
        <f ca="1">+IF($E67=U$47,SUM($M67:OFFSET($M67,0,IF(YEAR(U$47)=VALUE(LEFT($K$47,4)),1,2))),
IF(YEAR($E67)&lt;VALUE(LEFT($K$47,4)),($M67+$N67)/12,0))</f>
        <v>0</v>
      </c>
      <c r="V67" s="119">
        <f ca="1">+IF($E67=V$47,SUM($M67:OFFSET($M67,0,IF(YEAR(V$47)=VALUE(LEFT($K$47,4)),1,2))),
IF(YEAR($E67)&lt;VALUE(LEFT($K$47,4)),($M67+$N67)/12,0))</f>
        <v>768.50597000000039</v>
      </c>
      <c r="W67" s="119">
        <f ca="1">+IF($E67=W$47,SUM($M67:OFFSET($M67,0,IF(YEAR(W$47)=VALUE(LEFT($K$47,4)),1,2))),
IF(YEAR($E67)&lt;VALUE(LEFT($K$47,4)),($M67+$N67)/12,0))</f>
        <v>0</v>
      </c>
      <c r="X67" s="119">
        <f ca="1">+IF($E67=X$47,SUM($M67:OFFSET($M67,0,IF(YEAR(X$47)=VALUE(LEFT($K$47,4)),1,2))),
IF(YEAR($E67)&lt;VALUE(LEFT($K$47,4)),($M67+$N67)/12,0))</f>
        <v>0</v>
      </c>
      <c r="Y67" s="119">
        <f ca="1">+IF($E67=Y$47,SUM($M67:OFFSET($M67,0,IF(YEAR(Y$47)=VALUE(LEFT($K$47,4)),1,2))),
IF(YEAR($E67)&lt;VALUE(LEFT($K$47,4)),($M67+$N67)/12,0))</f>
        <v>0</v>
      </c>
      <c r="Z67" s="119">
        <f ca="1">+IF($E67=Z$47,SUM($M67:OFFSET($M67,0,IF(YEAR(Z$47)=VALUE(LEFT($K$47,4)),1,2))),
IF(YEAR($E67)&lt;VALUE(LEFT($K$47,4)),($M67+$N67)/12,0))</f>
        <v>0</v>
      </c>
      <c r="AA67" s="119">
        <f ca="1">+IF($E67=AA$47,SUM($M67:OFFSET($M67,0,IF(YEAR(AA$47)=VALUE(LEFT($K$47,4)),1,2))),
IF(YEAR($E67)&lt;VALUE(LEFT($K$47,4)),($M67+$N67)/12,0))</f>
        <v>0</v>
      </c>
      <c r="AB67" s="120">
        <f ca="1">+IF($E67=AB$47,SUM($M67:OFFSET($M67,0,IF(YEAR(AB$47)=VALUE(LEFT($K$47,4)),1,2))),
IF(YEAR($E67)&lt;VALUE(LEFT($K$47,4)),($M67+$N67)/12,0))</f>
        <v>0</v>
      </c>
      <c r="AC67" s="122">
        <f ca="1">+IF($E67=AC$47,SUM($M67:OFFSET($M67,0,IF(YEAR(AC$47)=VALUE(LEFT($K$47,4)),1,2))),
IF(YEAR($E67)&lt;=2015,$O67/12,0))</f>
        <v>0</v>
      </c>
      <c r="AD67" s="119">
        <f ca="1">+IF($E67=AD$47,SUM($M67:OFFSET($M67,0,IF(YEAR(AD$47)=VALUE(LEFT($K$47,4)),1,2))),
IF(YEAR($E67)&lt;=2015,$O67/12,0))</f>
        <v>0</v>
      </c>
      <c r="AE67" s="119">
        <f ca="1">+IF($E67=AE$47,SUM($M67:OFFSET($M67,0,IF(YEAR(AE$47)=VALUE(LEFT($K$47,4)),1,2))),
IF(YEAR($E67)&lt;=2015,$O67/12,0))</f>
        <v>0</v>
      </c>
      <c r="AF67" s="119">
        <f ca="1">+IF($E67=AF$47,SUM($M67:OFFSET($M67,0,IF(YEAR(AF$47)=VALUE(LEFT($K$47,4)),1,2))),
IF(YEAR($E67)&lt;=2015,$O67/12,0))</f>
        <v>0</v>
      </c>
      <c r="AG67" s="119">
        <f ca="1">+IF($E67=AG$47,SUM($M67:OFFSET($M67,0,IF(YEAR(AG$47)=VALUE(LEFT($K$47,4)),1,2))),
IF(YEAR($E67)&lt;=2015,$O67/12,0))</f>
        <v>0</v>
      </c>
      <c r="AH67" s="119">
        <f ca="1">+IF($E67=AH$47,SUM($M67:OFFSET($M67,0,IF(YEAR(AH$47)=VALUE(LEFT($K$47,4)),1,2))),
IF(YEAR($E67)&lt;=2015,$O67/12,0))</f>
        <v>0</v>
      </c>
      <c r="AI67" s="119">
        <f ca="1">+IF($E67=AI$47,SUM($M67:OFFSET($M67,0,IF(YEAR(AI$47)=VALUE(LEFT($K$47,4)),1,2))),
IF(YEAR($E67)&lt;=2015,$O67/12,0))</f>
        <v>0</v>
      </c>
      <c r="AJ67" s="119">
        <f ca="1">+IF($E67=AJ$47,SUM($M67:OFFSET($M67,0,IF(YEAR(AJ$47)=VALUE(LEFT($K$47,4)),1,2))),
IF(YEAR($E67)&lt;=2015,$O67/12,0))</f>
        <v>0</v>
      </c>
      <c r="AK67" s="119">
        <f ca="1">+IF($E67=AK$47,SUM($M67:OFFSET($M67,0,IF(YEAR(AK$47)=VALUE(LEFT($K$47,4)),1,2))),
IF(YEAR($E67)&lt;=2015,$O67/12,0))</f>
        <v>0</v>
      </c>
      <c r="AL67" s="119">
        <f ca="1">+IF($E67=AL$47,SUM($M67:OFFSET($M67,0,IF(YEAR(AL$47)=VALUE(LEFT($K$47,4)),1,2))),
IF(YEAR($E67)&lt;=2015,$O67/12,0))</f>
        <v>0</v>
      </c>
      <c r="AM67" s="119">
        <f ca="1">+IF($E67=AM$47,SUM($M67:OFFSET($M67,0,IF(YEAR(AM$47)=VALUE(LEFT($K$47,4)),1,2))),
IF(YEAR($E67)&lt;=2015,$O67/12,0))</f>
        <v>0</v>
      </c>
      <c r="AN67" s="120">
        <f ca="1">+IF($E67=AN$47,SUM($M67:OFFSET($M67,0,IF(YEAR(AN$47)=VALUE(LEFT($K$47,4)),1,2))),
IF(YEAR($E67)&lt;=2015,$O67/12,0))</f>
        <v>0</v>
      </c>
      <c r="AO67" s="121"/>
    </row>
    <row r="68" spans="1:41" s="105" customFormat="1" ht="15" x14ac:dyDescent="0.25">
      <c r="A68" s="96" t="s">
        <v>123</v>
      </c>
      <c r="B68" s="97" t="s">
        <v>124</v>
      </c>
      <c r="C68" s="98">
        <v>6154</v>
      </c>
      <c r="D68" s="99" t="s">
        <v>70</v>
      </c>
      <c r="E68" s="100">
        <v>42339</v>
      </c>
      <c r="F68" s="97" t="s">
        <v>78</v>
      </c>
      <c r="G68" s="101">
        <v>0</v>
      </c>
      <c r="H68" s="102">
        <v>1</v>
      </c>
      <c r="I68" s="263"/>
      <c r="J68" s="140">
        <v>1035.3055700000002</v>
      </c>
      <c r="K68" s="139">
        <v>50</v>
      </c>
      <c r="L68" s="119">
        <v>0</v>
      </c>
      <c r="M68" s="119">
        <f t="shared" si="13"/>
        <v>1035.3055700000002</v>
      </c>
      <c r="N68" s="121">
        <f t="shared" si="14"/>
        <v>50</v>
      </c>
      <c r="O68" s="120">
        <f t="shared" si="15"/>
        <v>0</v>
      </c>
      <c r="P68" s="121"/>
      <c r="Q68" s="122">
        <f ca="1">+IF($E68=Q$47,SUM($M68:OFFSET($M68,0,IF(YEAR(Q$47)=VALUE(LEFT($K$47,4)),1,2))),
IF(YEAR($E68)&lt;VALUE(LEFT($K$47,4)),($M68+$N68)/12,0))</f>
        <v>0</v>
      </c>
      <c r="R68" s="119">
        <f ca="1">+IF($E68=R$47,SUM($M68:OFFSET($M68,0,IF(YEAR(R$47)=VALUE(LEFT($K$47,4)),1,2))),
IF(YEAR($E68)&lt;VALUE(LEFT($K$47,4)),($M68+$N68)/12,0))</f>
        <v>0</v>
      </c>
      <c r="S68" s="119">
        <f ca="1">+IF($E68=S$47,SUM($M68:OFFSET($M68,0,IF(YEAR(S$47)=VALUE(LEFT($K$47,4)),1,2))),
IF(YEAR($E68)&lt;VALUE(LEFT($K$47,4)),($M68+$N68)/12,0))</f>
        <v>0</v>
      </c>
      <c r="T68" s="119">
        <f ca="1">+IF($E68=T$47,SUM($M68:OFFSET($M68,0,IF(YEAR(T$47)=VALUE(LEFT($K$47,4)),1,2))),
IF(YEAR($E68)&lt;VALUE(LEFT($K$47,4)),($M68+$N68)/12,0))</f>
        <v>0</v>
      </c>
      <c r="U68" s="119">
        <f ca="1">+IF($E68=U$47,SUM($M68:OFFSET($M68,0,IF(YEAR(U$47)=VALUE(LEFT($K$47,4)),1,2))),
IF(YEAR($E68)&lt;VALUE(LEFT($K$47,4)),($M68+$N68)/12,0))</f>
        <v>0</v>
      </c>
      <c r="V68" s="119">
        <f ca="1">+IF($E68=V$47,SUM($M68:OFFSET($M68,0,IF(YEAR(V$47)=VALUE(LEFT($K$47,4)),1,2))),
IF(YEAR($E68)&lt;VALUE(LEFT($K$47,4)),($M68+$N68)/12,0))</f>
        <v>0</v>
      </c>
      <c r="W68" s="119">
        <f ca="1">+IF($E68=W$47,SUM($M68:OFFSET($M68,0,IF(YEAR(W$47)=VALUE(LEFT($K$47,4)),1,2))),
IF(YEAR($E68)&lt;VALUE(LEFT($K$47,4)),($M68+$N68)/12,0))</f>
        <v>0</v>
      </c>
      <c r="X68" s="119">
        <f ca="1">+IF($E68=X$47,SUM($M68:OFFSET($M68,0,IF(YEAR(X$47)=VALUE(LEFT($K$47,4)),1,2))),
IF(YEAR($E68)&lt;VALUE(LEFT($K$47,4)),($M68+$N68)/12,0))</f>
        <v>0</v>
      </c>
      <c r="Y68" s="119">
        <f ca="1">+IF($E68=Y$47,SUM($M68:OFFSET($M68,0,IF(YEAR(Y$47)=VALUE(LEFT($K$47,4)),1,2))),
IF(YEAR($E68)&lt;VALUE(LEFT($K$47,4)),($M68+$N68)/12,0))</f>
        <v>0</v>
      </c>
      <c r="Z68" s="119">
        <f ca="1">+IF($E68=Z$47,SUM($M68:OFFSET($M68,0,IF(YEAR(Z$47)=VALUE(LEFT($K$47,4)),1,2))),
IF(YEAR($E68)&lt;VALUE(LEFT($K$47,4)),($M68+$N68)/12,0))</f>
        <v>0</v>
      </c>
      <c r="AA68" s="119">
        <f ca="1">+IF($E68=AA$47,SUM($M68:OFFSET($M68,0,IF(YEAR(AA$47)=VALUE(LEFT($K$47,4)),1,2))),
IF(YEAR($E68)&lt;VALUE(LEFT($K$47,4)),($M68+$N68)/12,0))</f>
        <v>0</v>
      </c>
      <c r="AB68" s="120">
        <f ca="1">+IF($E68=AB$47,SUM($M68:OFFSET($M68,0,IF(YEAR(AB$47)=VALUE(LEFT($K$47,4)),1,2))),
IF(YEAR($E68)&lt;VALUE(LEFT($K$47,4)),($M68+$N68)/12,0))</f>
        <v>1085.3055700000002</v>
      </c>
      <c r="AC68" s="122">
        <f ca="1">+IF($E68=AC$47,SUM($M68:OFFSET($M68,0,IF(YEAR(AC$47)=VALUE(LEFT($K$47,4)),1,2))),
IF(YEAR($E68)&lt;=2015,$O68/12,0))</f>
        <v>0</v>
      </c>
      <c r="AD68" s="119">
        <f ca="1">+IF($E68=AD$47,SUM($M68:OFFSET($M68,0,IF(YEAR(AD$47)=VALUE(LEFT($K$47,4)),1,2))),
IF(YEAR($E68)&lt;=2015,$O68/12,0))</f>
        <v>0</v>
      </c>
      <c r="AE68" s="119">
        <f ca="1">+IF($E68=AE$47,SUM($M68:OFFSET($M68,0,IF(YEAR(AE$47)=VALUE(LEFT($K$47,4)),1,2))),
IF(YEAR($E68)&lt;=2015,$O68/12,0))</f>
        <v>0</v>
      </c>
      <c r="AF68" s="119">
        <f ca="1">+IF($E68=AF$47,SUM($M68:OFFSET($M68,0,IF(YEAR(AF$47)=VALUE(LEFT($K$47,4)),1,2))),
IF(YEAR($E68)&lt;=2015,$O68/12,0))</f>
        <v>0</v>
      </c>
      <c r="AG68" s="119">
        <f ca="1">+IF($E68=AG$47,SUM($M68:OFFSET($M68,0,IF(YEAR(AG$47)=VALUE(LEFT($K$47,4)),1,2))),
IF(YEAR($E68)&lt;=2015,$O68/12,0))</f>
        <v>0</v>
      </c>
      <c r="AH68" s="119">
        <f ca="1">+IF($E68=AH$47,SUM($M68:OFFSET($M68,0,IF(YEAR(AH$47)=VALUE(LEFT($K$47,4)),1,2))),
IF(YEAR($E68)&lt;=2015,$O68/12,0))</f>
        <v>0</v>
      </c>
      <c r="AI68" s="119">
        <f ca="1">+IF($E68=AI$47,SUM($M68:OFFSET($M68,0,IF(YEAR(AI$47)=VALUE(LEFT($K$47,4)),1,2))),
IF(YEAR($E68)&lt;=2015,$O68/12,0))</f>
        <v>0</v>
      </c>
      <c r="AJ68" s="119">
        <f ca="1">+IF($E68=AJ$47,SUM($M68:OFFSET($M68,0,IF(YEAR(AJ$47)=VALUE(LEFT($K$47,4)),1,2))),
IF(YEAR($E68)&lt;=2015,$O68/12,0))</f>
        <v>0</v>
      </c>
      <c r="AK68" s="119">
        <f ca="1">+IF($E68=AK$47,SUM($M68:OFFSET($M68,0,IF(YEAR(AK$47)=VALUE(LEFT($K$47,4)),1,2))),
IF(YEAR($E68)&lt;=2015,$O68/12,0))</f>
        <v>0</v>
      </c>
      <c r="AL68" s="119">
        <f ca="1">+IF($E68=AL$47,SUM($M68:OFFSET($M68,0,IF(YEAR(AL$47)=VALUE(LEFT($K$47,4)),1,2))),
IF(YEAR($E68)&lt;=2015,$O68/12,0))</f>
        <v>0</v>
      </c>
      <c r="AM68" s="119">
        <f ca="1">+IF($E68=AM$47,SUM($M68:OFFSET($M68,0,IF(YEAR(AM$47)=VALUE(LEFT($K$47,4)),1,2))),
IF(YEAR($E68)&lt;=2015,$O68/12,0))</f>
        <v>0</v>
      </c>
      <c r="AN68" s="120">
        <f ca="1">+IF($E68=AN$47,SUM($M68:OFFSET($M68,0,IF(YEAR(AN$47)=VALUE(LEFT($K$47,4)),1,2))),
IF(YEAR($E68)&lt;=2015,$O68/12,0))</f>
        <v>0</v>
      </c>
      <c r="AO68" s="121"/>
    </row>
    <row r="69" spans="1:41" s="105" customFormat="1" ht="15" x14ac:dyDescent="0.25">
      <c r="A69" s="96" t="s">
        <v>125</v>
      </c>
      <c r="B69" s="97" t="s">
        <v>126</v>
      </c>
      <c r="C69" s="98">
        <v>6415</v>
      </c>
      <c r="D69" s="99" t="s">
        <v>70</v>
      </c>
      <c r="E69" s="100">
        <v>41974</v>
      </c>
      <c r="F69" s="97" t="s">
        <v>78</v>
      </c>
      <c r="G69" s="101">
        <v>0</v>
      </c>
      <c r="H69" s="102">
        <v>1</v>
      </c>
      <c r="I69" s="263" t="s">
        <v>478</v>
      </c>
      <c r="J69" s="140">
        <v>169.26170000000008</v>
      </c>
      <c r="K69" s="139">
        <v>100</v>
      </c>
      <c r="L69" s="119">
        <v>0</v>
      </c>
      <c r="M69" s="119">
        <f t="shared" si="13"/>
        <v>169.26170000000008</v>
      </c>
      <c r="N69" s="121">
        <f t="shared" si="14"/>
        <v>100</v>
      </c>
      <c r="O69" s="120">
        <f t="shared" si="15"/>
        <v>0</v>
      </c>
      <c r="P69" s="121"/>
      <c r="Q69" s="122">
        <f ca="1">+IF($E69=Q$47,SUM($M69:OFFSET($M69,0,IF(YEAR(Q$47)=VALUE(LEFT($K$47,4)),1,2))),
IF(YEAR($E69)&lt;VALUE(LEFT($K$47,4)),($M69+$N69)/12,0))</f>
        <v>22.438475000000007</v>
      </c>
      <c r="R69" s="119">
        <f ca="1">+IF($E69=R$47,SUM($M69:OFFSET($M69,0,IF(YEAR(R$47)=VALUE(LEFT($K$47,4)),1,2))),
IF(YEAR($E69)&lt;VALUE(LEFT($K$47,4)),($M69+$N69)/12,0))</f>
        <v>22.438475000000007</v>
      </c>
      <c r="S69" s="119">
        <f ca="1">+IF($E69=S$47,SUM($M69:OFFSET($M69,0,IF(YEAR(S$47)=VALUE(LEFT($K$47,4)),1,2))),
IF(YEAR($E69)&lt;VALUE(LEFT($K$47,4)),($M69+$N69)/12,0))</f>
        <v>22.438475000000007</v>
      </c>
      <c r="T69" s="119">
        <f ca="1">+IF($E69=T$47,SUM($M69:OFFSET($M69,0,IF(YEAR(T$47)=VALUE(LEFT($K$47,4)),1,2))),
IF(YEAR($E69)&lt;VALUE(LEFT($K$47,4)),($M69+$N69)/12,0))</f>
        <v>22.438475000000007</v>
      </c>
      <c r="U69" s="119">
        <f ca="1">+IF($E69=U$47,SUM($M69:OFFSET($M69,0,IF(YEAR(U$47)=VALUE(LEFT($K$47,4)),1,2))),
IF(YEAR($E69)&lt;VALUE(LEFT($K$47,4)),($M69+$N69)/12,0))</f>
        <v>22.438475000000007</v>
      </c>
      <c r="V69" s="119">
        <f ca="1">+IF($E69=V$47,SUM($M69:OFFSET($M69,0,IF(YEAR(V$47)=VALUE(LEFT($K$47,4)),1,2))),
IF(YEAR($E69)&lt;VALUE(LEFT($K$47,4)),($M69+$N69)/12,0))</f>
        <v>22.438475000000007</v>
      </c>
      <c r="W69" s="119">
        <f ca="1">+IF($E69=W$47,SUM($M69:OFFSET($M69,0,IF(YEAR(W$47)=VALUE(LEFT($K$47,4)),1,2))),
IF(YEAR($E69)&lt;VALUE(LEFT($K$47,4)),($M69+$N69)/12,0))</f>
        <v>22.438475000000007</v>
      </c>
      <c r="X69" s="119">
        <f ca="1">+IF($E69=X$47,SUM($M69:OFFSET($M69,0,IF(YEAR(X$47)=VALUE(LEFT($K$47,4)),1,2))),
IF(YEAR($E69)&lt;VALUE(LEFT($K$47,4)),($M69+$N69)/12,0))</f>
        <v>22.438475000000007</v>
      </c>
      <c r="Y69" s="119">
        <f ca="1">+IF($E69=Y$47,SUM($M69:OFFSET($M69,0,IF(YEAR(Y$47)=VALUE(LEFT($K$47,4)),1,2))),
IF(YEAR($E69)&lt;VALUE(LEFT($K$47,4)),($M69+$N69)/12,0))</f>
        <v>22.438475000000007</v>
      </c>
      <c r="Z69" s="119">
        <f ca="1">+IF($E69=Z$47,SUM($M69:OFFSET($M69,0,IF(YEAR(Z$47)=VALUE(LEFT($K$47,4)),1,2))),
IF(YEAR($E69)&lt;VALUE(LEFT($K$47,4)),($M69+$N69)/12,0))</f>
        <v>22.438475000000007</v>
      </c>
      <c r="AA69" s="119">
        <f ca="1">+IF($E69=AA$47,SUM($M69:OFFSET($M69,0,IF(YEAR(AA$47)=VALUE(LEFT($K$47,4)),1,2))),
IF(YEAR($E69)&lt;VALUE(LEFT($K$47,4)),($M69+$N69)/12,0))</f>
        <v>22.438475000000007</v>
      </c>
      <c r="AB69" s="120">
        <f ca="1">+IF($E69=AB$47,SUM($M69:OFFSET($M69,0,IF(YEAR(AB$47)=VALUE(LEFT($K$47,4)),1,2))),
IF(YEAR($E69)&lt;VALUE(LEFT($K$47,4)),($M69+$N69)/12,0))</f>
        <v>22.438475000000007</v>
      </c>
      <c r="AC69" s="122">
        <f ca="1">+IF($E69=AC$47,SUM($M69:OFFSET($M69,0,IF(YEAR(AC$47)=VALUE(LEFT($K$47,4)),1,2))),
IF(YEAR($E69)&lt;=2015,$O69/12,0))</f>
        <v>0</v>
      </c>
      <c r="AD69" s="119">
        <f ca="1">+IF($E69=AD$47,SUM($M69:OFFSET($M69,0,IF(YEAR(AD$47)=VALUE(LEFT($K$47,4)),1,2))),
IF(YEAR($E69)&lt;=2015,$O69/12,0))</f>
        <v>0</v>
      </c>
      <c r="AE69" s="119">
        <f ca="1">+IF($E69=AE$47,SUM($M69:OFFSET($M69,0,IF(YEAR(AE$47)=VALUE(LEFT($K$47,4)),1,2))),
IF(YEAR($E69)&lt;=2015,$O69/12,0))</f>
        <v>0</v>
      </c>
      <c r="AF69" s="119">
        <f ca="1">+IF($E69=AF$47,SUM($M69:OFFSET($M69,0,IF(YEAR(AF$47)=VALUE(LEFT($K$47,4)),1,2))),
IF(YEAR($E69)&lt;=2015,$O69/12,0))</f>
        <v>0</v>
      </c>
      <c r="AG69" s="119">
        <f ca="1">+IF($E69=AG$47,SUM($M69:OFFSET($M69,0,IF(YEAR(AG$47)=VALUE(LEFT($K$47,4)),1,2))),
IF(YEAR($E69)&lt;=2015,$O69/12,0))</f>
        <v>0</v>
      </c>
      <c r="AH69" s="119">
        <f ca="1">+IF($E69=AH$47,SUM($M69:OFFSET($M69,0,IF(YEAR(AH$47)=VALUE(LEFT($K$47,4)),1,2))),
IF(YEAR($E69)&lt;=2015,$O69/12,0))</f>
        <v>0</v>
      </c>
      <c r="AI69" s="119">
        <f ca="1">+IF($E69=AI$47,SUM($M69:OFFSET($M69,0,IF(YEAR(AI$47)=VALUE(LEFT($K$47,4)),1,2))),
IF(YEAR($E69)&lt;=2015,$O69/12,0))</f>
        <v>0</v>
      </c>
      <c r="AJ69" s="119">
        <f ca="1">+IF($E69=AJ$47,SUM($M69:OFFSET($M69,0,IF(YEAR(AJ$47)=VALUE(LEFT($K$47,4)),1,2))),
IF(YEAR($E69)&lt;=2015,$O69/12,0))</f>
        <v>0</v>
      </c>
      <c r="AK69" s="119">
        <f ca="1">+IF($E69=AK$47,SUM($M69:OFFSET($M69,0,IF(YEAR(AK$47)=VALUE(LEFT($K$47,4)),1,2))),
IF(YEAR($E69)&lt;=2015,$O69/12,0))</f>
        <v>0</v>
      </c>
      <c r="AL69" s="119">
        <f ca="1">+IF($E69=AL$47,SUM($M69:OFFSET($M69,0,IF(YEAR(AL$47)=VALUE(LEFT($K$47,4)),1,2))),
IF(YEAR($E69)&lt;=2015,$O69/12,0))</f>
        <v>0</v>
      </c>
      <c r="AM69" s="119">
        <f ca="1">+IF($E69=AM$47,SUM($M69:OFFSET($M69,0,IF(YEAR(AM$47)=VALUE(LEFT($K$47,4)),1,2))),
IF(YEAR($E69)&lt;=2015,$O69/12,0))</f>
        <v>0</v>
      </c>
      <c r="AN69" s="120">
        <f ca="1">+IF($E69=AN$47,SUM($M69:OFFSET($M69,0,IF(YEAR(AN$47)=VALUE(LEFT($K$47,4)),1,2))),
IF(YEAR($E69)&lt;=2015,$O69/12,0))</f>
        <v>0</v>
      </c>
      <c r="AO69" s="121"/>
    </row>
    <row r="70" spans="1:41" s="105" customFormat="1" ht="15" x14ac:dyDescent="0.25">
      <c r="A70" s="96" t="s">
        <v>127</v>
      </c>
      <c r="B70" s="97" t="s">
        <v>128</v>
      </c>
      <c r="C70" s="98">
        <v>6415</v>
      </c>
      <c r="D70" s="99" t="s">
        <v>70</v>
      </c>
      <c r="E70" s="100">
        <v>41974</v>
      </c>
      <c r="F70" s="97" t="s">
        <v>71</v>
      </c>
      <c r="G70" s="101">
        <v>0</v>
      </c>
      <c r="H70" s="102">
        <v>1</v>
      </c>
      <c r="I70" s="263" t="s">
        <v>478</v>
      </c>
      <c r="J70" s="140">
        <v>27084.658339999976</v>
      </c>
      <c r="K70" s="139">
        <v>400</v>
      </c>
      <c r="L70" s="119">
        <v>0</v>
      </c>
      <c r="M70" s="119">
        <f t="shared" si="13"/>
        <v>27084.658339999976</v>
      </c>
      <c r="N70" s="121">
        <f t="shared" si="14"/>
        <v>400</v>
      </c>
      <c r="O70" s="120">
        <f t="shared" si="15"/>
        <v>0</v>
      </c>
      <c r="P70" s="121"/>
      <c r="Q70" s="122">
        <f ca="1">+IF($E70=Q$47,SUM($M70:OFFSET($M70,0,IF(YEAR(Q$47)=VALUE(LEFT($K$47,4)),1,2))),
IF(YEAR($E70)&lt;VALUE(LEFT($K$47,4)),($M70+$N70)/12,0))</f>
        <v>2290.3881949999982</v>
      </c>
      <c r="R70" s="119">
        <f ca="1">+IF($E70=R$47,SUM($M70:OFFSET($M70,0,IF(YEAR(R$47)=VALUE(LEFT($K$47,4)),1,2))),
IF(YEAR($E70)&lt;VALUE(LEFT($K$47,4)),($M70+$N70)/12,0))</f>
        <v>2290.3881949999982</v>
      </c>
      <c r="S70" s="119">
        <f ca="1">+IF($E70=S$47,SUM($M70:OFFSET($M70,0,IF(YEAR(S$47)=VALUE(LEFT($K$47,4)),1,2))),
IF(YEAR($E70)&lt;VALUE(LEFT($K$47,4)),($M70+$N70)/12,0))</f>
        <v>2290.3881949999982</v>
      </c>
      <c r="T70" s="119">
        <f ca="1">+IF($E70=T$47,SUM($M70:OFFSET($M70,0,IF(YEAR(T$47)=VALUE(LEFT($K$47,4)),1,2))),
IF(YEAR($E70)&lt;VALUE(LEFT($K$47,4)),($M70+$N70)/12,0))</f>
        <v>2290.3881949999982</v>
      </c>
      <c r="U70" s="119">
        <f ca="1">+IF($E70=U$47,SUM($M70:OFFSET($M70,0,IF(YEAR(U$47)=VALUE(LEFT($K$47,4)),1,2))),
IF(YEAR($E70)&lt;VALUE(LEFT($K$47,4)),($M70+$N70)/12,0))</f>
        <v>2290.3881949999982</v>
      </c>
      <c r="V70" s="119">
        <f ca="1">+IF($E70=V$47,SUM($M70:OFFSET($M70,0,IF(YEAR(V$47)=VALUE(LEFT($K$47,4)),1,2))),
IF(YEAR($E70)&lt;VALUE(LEFT($K$47,4)),($M70+$N70)/12,0))</f>
        <v>2290.3881949999982</v>
      </c>
      <c r="W70" s="119">
        <f ca="1">+IF($E70=W$47,SUM($M70:OFFSET($M70,0,IF(YEAR(W$47)=VALUE(LEFT($K$47,4)),1,2))),
IF(YEAR($E70)&lt;VALUE(LEFT($K$47,4)),($M70+$N70)/12,0))</f>
        <v>2290.3881949999982</v>
      </c>
      <c r="X70" s="119">
        <f ca="1">+IF($E70=X$47,SUM($M70:OFFSET($M70,0,IF(YEAR(X$47)=VALUE(LEFT($K$47,4)),1,2))),
IF(YEAR($E70)&lt;VALUE(LEFT($K$47,4)),($M70+$N70)/12,0))</f>
        <v>2290.3881949999982</v>
      </c>
      <c r="Y70" s="119">
        <f ca="1">+IF($E70=Y$47,SUM($M70:OFFSET($M70,0,IF(YEAR(Y$47)=VALUE(LEFT($K$47,4)),1,2))),
IF(YEAR($E70)&lt;VALUE(LEFT($K$47,4)),($M70+$N70)/12,0))</f>
        <v>2290.3881949999982</v>
      </c>
      <c r="Z70" s="119">
        <f ca="1">+IF($E70=Z$47,SUM($M70:OFFSET($M70,0,IF(YEAR(Z$47)=VALUE(LEFT($K$47,4)),1,2))),
IF(YEAR($E70)&lt;VALUE(LEFT($K$47,4)),($M70+$N70)/12,0))</f>
        <v>2290.3881949999982</v>
      </c>
      <c r="AA70" s="119">
        <f ca="1">+IF($E70=AA$47,SUM($M70:OFFSET($M70,0,IF(YEAR(AA$47)=VALUE(LEFT($K$47,4)),1,2))),
IF(YEAR($E70)&lt;VALUE(LEFT($K$47,4)),($M70+$N70)/12,0))</f>
        <v>2290.3881949999982</v>
      </c>
      <c r="AB70" s="120">
        <f ca="1">+IF($E70=AB$47,SUM($M70:OFFSET($M70,0,IF(YEAR(AB$47)=VALUE(LEFT($K$47,4)),1,2))),
IF(YEAR($E70)&lt;VALUE(LEFT($K$47,4)),($M70+$N70)/12,0))</f>
        <v>2290.3881949999982</v>
      </c>
      <c r="AC70" s="122">
        <f ca="1">+IF($E70=AC$47,SUM($M70:OFFSET($M70,0,IF(YEAR(AC$47)=VALUE(LEFT($K$47,4)),1,2))),
IF(YEAR($E70)&lt;=2015,$O70/12,0))</f>
        <v>0</v>
      </c>
      <c r="AD70" s="119">
        <f ca="1">+IF($E70=AD$47,SUM($M70:OFFSET($M70,0,IF(YEAR(AD$47)=VALUE(LEFT($K$47,4)),1,2))),
IF(YEAR($E70)&lt;=2015,$O70/12,0))</f>
        <v>0</v>
      </c>
      <c r="AE70" s="119">
        <f ca="1">+IF($E70=AE$47,SUM($M70:OFFSET($M70,0,IF(YEAR(AE$47)=VALUE(LEFT($K$47,4)),1,2))),
IF(YEAR($E70)&lt;=2015,$O70/12,0))</f>
        <v>0</v>
      </c>
      <c r="AF70" s="119">
        <f ca="1">+IF($E70=AF$47,SUM($M70:OFFSET($M70,0,IF(YEAR(AF$47)=VALUE(LEFT($K$47,4)),1,2))),
IF(YEAR($E70)&lt;=2015,$O70/12,0))</f>
        <v>0</v>
      </c>
      <c r="AG70" s="119">
        <f ca="1">+IF($E70=AG$47,SUM($M70:OFFSET($M70,0,IF(YEAR(AG$47)=VALUE(LEFT($K$47,4)),1,2))),
IF(YEAR($E70)&lt;=2015,$O70/12,0))</f>
        <v>0</v>
      </c>
      <c r="AH70" s="119">
        <f ca="1">+IF($E70=AH$47,SUM($M70:OFFSET($M70,0,IF(YEAR(AH$47)=VALUE(LEFT($K$47,4)),1,2))),
IF(YEAR($E70)&lt;=2015,$O70/12,0))</f>
        <v>0</v>
      </c>
      <c r="AI70" s="119">
        <f ca="1">+IF($E70=AI$47,SUM($M70:OFFSET($M70,0,IF(YEAR(AI$47)=VALUE(LEFT($K$47,4)),1,2))),
IF(YEAR($E70)&lt;=2015,$O70/12,0))</f>
        <v>0</v>
      </c>
      <c r="AJ70" s="119">
        <f ca="1">+IF($E70=AJ$47,SUM($M70:OFFSET($M70,0,IF(YEAR(AJ$47)=VALUE(LEFT($K$47,4)),1,2))),
IF(YEAR($E70)&lt;=2015,$O70/12,0))</f>
        <v>0</v>
      </c>
      <c r="AK70" s="119">
        <f ca="1">+IF($E70=AK$47,SUM($M70:OFFSET($M70,0,IF(YEAR(AK$47)=VALUE(LEFT($K$47,4)),1,2))),
IF(YEAR($E70)&lt;=2015,$O70/12,0))</f>
        <v>0</v>
      </c>
      <c r="AL70" s="119">
        <f ca="1">+IF($E70=AL$47,SUM($M70:OFFSET($M70,0,IF(YEAR(AL$47)=VALUE(LEFT($K$47,4)),1,2))),
IF(YEAR($E70)&lt;=2015,$O70/12,0))</f>
        <v>0</v>
      </c>
      <c r="AM70" s="119">
        <f ca="1">+IF($E70=AM$47,SUM($M70:OFFSET($M70,0,IF(YEAR(AM$47)=VALUE(LEFT($K$47,4)),1,2))),
IF(YEAR($E70)&lt;=2015,$O70/12,0))</f>
        <v>0</v>
      </c>
      <c r="AN70" s="120">
        <f ca="1">+IF($E70=AN$47,SUM($M70:OFFSET($M70,0,IF(YEAR(AN$47)=VALUE(LEFT($K$47,4)),1,2))),
IF(YEAR($E70)&lt;=2015,$O70/12,0))</f>
        <v>0</v>
      </c>
      <c r="AO70" s="121"/>
    </row>
    <row r="71" spans="1:41" s="105" customFormat="1" ht="15" x14ac:dyDescent="0.25">
      <c r="A71" s="96" t="s">
        <v>129</v>
      </c>
      <c r="B71" s="97" t="s">
        <v>130</v>
      </c>
      <c r="C71" s="98">
        <v>6415</v>
      </c>
      <c r="D71" s="99" t="s">
        <v>70</v>
      </c>
      <c r="E71" s="100">
        <v>41974</v>
      </c>
      <c r="F71" s="97" t="s">
        <v>78</v>
      </c>
      <c r="G71" s="101">
        <v>0</v>
      </c>
      <c r="H71" s="102">
        <v>1</v>
      </c>
      <c r="I71" s="263" t="s">
        <v>478</v>
      </c>
      <c r="J71" s="140">
        <v>633.96533999999986</v>
      </c>
      <c r="K71" s="139">
        <v>100</v>
      </c>
      <c r="L71" s="119">
        <v>0</v>
      </c>
      <c r="M71" s="119">
        <f t="shared" si="13"/>
        <v>633.96533999999986</v>
      </c>
      <c r="N71" s="121">
        <f t="shared" si="14"/>
        <v>100</v>
      </c>
      <c r="O71" s="120">
        <f t="shared" si="15"/>
        <v>0</v>
      </c>
      <c r="P71" s="121"/>
      <c r="Q71" s="122">
        <f ca="1">+IF($E71=Q$47,SUM($M71:OFFSET($M71,0,IF(YEAR(Q$47)=VALUE(LEFT($K$47,4)),1,2))),
IF(YEAR($E71)&lt;VALUE(LEFT($K$47,4)),($M71+$N71)/12,0))</f>
        <v>61.163778333333319</v>
      </c>
      <c r="R71" s="119">
        <f ca="1">+IF($E71=R$47,SUM($M71:OFFSET($M71,0,IF(YEAR(R$47)=VALUE(LEFT($K$47,4)),1,2))),
IF(YEAR($E71)&lt;VALUE(LEFT($K$47,4)),($M71+$N71)/12,0))</f>
        <v>61.163778333333319</v>
      </c>
      <c r="S71" s="119">
        <f ca="1">+IF($E71=S$47,SUM($M71:OFFSET($M71,0,IF(YEAR(S$47)=VALUE(LEFT($K$47,4)),1,2))),
IF(YEAR($E71)&lt;VALUE(LEFT($K$47,4)),($M71+$N71)/12,0))</f>
        <v>61.163778333333319</v>
      </c>
      <c r="T71" s="119">
        <f ca="1">+IF($E71=T$47,SUM($M71:OFFSET($M71,0,IF(YEAR(T$47)=VALUE(LEFT($K$47,4)),1,2))),
IF(YEAR($E71)&lt;VALUE(LEFT($K$47,4)),($M71+$N71)/12,0))</f>
        <v>61.163778333333319</v>
      </c>
      <c r="U71" s="119">
        <f ca="1">+IF($E71=U$47,SUM($M71:OFFSET($M71,0,IF(YEAR(U$47)=VALUE(LEFT($K$47,4)),1,2))),
IF(YEAR($E71)&lt;VALUE(LEFT($K$47,4)),($M71+$N71)/12,0))</f>
        <v>61.163778333333319</v>
      </c>
      <c r="V71" s="119">
        <f ca="1">+IF($E71=V$47,SUM($M71:OFFSET($M71,0,IF(YEAR(V$47)=VALUE(LEFT($K$47,4)),1,2))),
IF(YEAR($E71)&lt;VALUE(LEFT($K$47,4)),($M71+$N71)/12,0))</f>
        <v>61.163778333333319</v>
      </c>
      <c r="W71" s="119">
        <f ca="1">+IF($E71=W$47,SUM($M71:OFFSET($M71,0,IF(YEAR(W$47)=VALUE(LEFT($K$47,4)),1,2))),
IF(YEAR($E71)&lt;VALUE(LEFT($K$47,4)),($M71+$N71)/12,0))</f>
        <v>61.163778333333319</v>
      </c>
      <c r="X71" s="119">
        <f ca="1">+IF($E71=X$47,SUM($M71:OFFSET($M71,0,IF(YEAR(X$47)=VALUE(LEFT($K$47,4)),1,2))),
IF(YEAR($E71)&lt;VALUE(LEFT($K$47,4)),($M71+$N71)/12,0))</f>
        <v>61.163778333333319</v>
      </c>
      <c r="Y71" s="119">
        <f ca="1">+IF($E71=Y$47,SUM($M71:OFFSET($M71,0,IF(YEAR(Y$47)=VALUE(LEFT($K$47,4)),1,2))),
IF(YEAR($E71)&lt;VALUE(LEFT($K$47,4)),($M71+$N71)/12,0))</f>
        <v>61.163778333333319</v>
      </c>
      <c r="Z71" s="119">
        <f ca="1">+IF($E71=Z$47,SUM($M71:OFFSET($M71,0,IF(YEAR(Z$47)=VALUE(LEFT($K$47,4)),1,2))),
IF(YEAR($E71)&lt;VALUE(LEFT($K$47,4)),($M71+$N71)/12,0))</f>
        <v>61.163778333333319</v>
      </c>
      <c r="AA71" s="119">
        <f ca="1">+IF($E71=AA$47,SUM($M71:OFFSET($M71,0,IF(YEAR(AA$47)=VALUE(LEFT($K$47,4)),1,2))),
IF(YEAR($E71)&lt;VALUE(LEFT($K$47,4)),($M71+$N71)/12,0))</f>
        <v>61.163778333333319</v>
      </c>
      <c r="AB71" s="120">
        <f ca="1">+IF($E71=AB$47,SUM($M71:OFFSET($M71,0,IF(YEAR(AB$47)=VALUE(LEFT($K$47,4)),1,2))),
IF(YEAR($E71)&lt;VALUE(LEFT($K$47,4)),($M71+$N71)/12,0))</f>
        <v>61.163778333333319</v>
      </c>
      <c r="AC71" s="122">
        <f ca="1">+IF($E71=AC$47,SUM($M71:OFFSET($M71,0,IF(YEAR(AC$47)=VALUE(LEFT($K$47,4)),1,2))),
IF(YEAR($E71)&lt;=2015,$O71/12,0))</f>
        <v>0</v>
      </c>
      <c r="AD71" s="119">
        <f ca="1">+IF($E71=AD$47,SUM($M71:OFFSET($M71,0,IF(YEAR(AD$47)=VALUE(LEFT($K$47,4)),1,2))),
IF(YEAR($E71)&lt;=2015,$O71/12,0))</f>
        <v>0</v>
      </c>
      <c r="AE71" s="119">
        <f ca="1">+IF($E71=AE$47,SUM($M71:OFFSET($M71,0,IF(YEAR(AE$47)=VALUE(LEFT($K$47,4)),1,2))),
IF(YEAR($E71)&lt;=2015,$O71/12,0))</f>
        <v>0</v>
      </c>
      <c r="AF71" s="119">
        <f ca="1">+IF($E71=AF$47,SUM($M71:OFFSET($M71,0,IF(YEAR(AF$47)=VALUE(LEFT($K$47,4)),1,2))),
IF(YEAR($E71)&lt;=2015,$O71/12,0))</f>
        <v>0</v>
      </c>
      <c r="AG71" s="119">
        <f ca="1">+IF($E71=AG$47,SUM($M71:OFFSET($M71,0,IF(YEAR(AG$47)=VALUE(LEFT($K$47,4)),1,2))),
IF(YEAR($E71)&lt;=2015,$O71/12,0))</f>
        <v>0</v>
      </c>
      <c r="AH71" s="119">
        <f ca="1">+IF($E71=AH$47,SUM($M71:OFFSET($M71,0,IF(YEAR(AH$47)=VALUE(LEFT($K$47,4)),1,2))),
IF(YEAR($E71)&lt;=2015,$O71/12,0))</f>
        <v>0</v>
      </c>
      <c r="AI71" s="119">
        <f ca="1">+IF($E71=AI$47,SUM($M71:OFFSET($M71,0,IF(YEAR(AI$47)=VALUE(LEFT($K$47,4)),1,2))),
IF(YEAR($E71)&lt;=2015,$O71/12,0))</f>
        <v>0</v>
      </c>
      <c r="AJ71" s="119">
        <f ca="1">+IF($E71=AJ$47,SUM($M71:OFFSET($M71,0,IF(YEAR(AJ$47)=VALUE(LEFT($K$47,4)),1,2))),
IF(YEAR($E71)&lt;=2015,$O71/12,0))</f>
        <v>0</v>
      </c>
      <c r="AK71" s="119">
        <f ca="1">+IF($E71=AK$47,SUM($M71:OFFSET($M71,0,IF(YEAR(AK$47)=VALUE(LEFT($K$47,4)),1,2))),
IF(YEAR($E71)&lt;=2015,$O71/12,0))</f>
        <v>0</v>
      </c>
      <c r="AL71" s="119">
        <f ca="1">+IF($E71=AL$47,SUM($M71:OFFSET($M71,0,IF(YEAR(AL$47)=VALUE(LEFT($K$47,4)),1,2))),
IF(YEAR($E71)&lt;=2015,$O71/12,0))</f>
        <v>0</v>
      </c>
      <c r="AM71" s="119">
        <f ca="1">+IF($E71=AM$47,SUM($M71:OFFSET($M71,0,IF(YEAR(AM$47)=VALUE(LEFT($K$47,4)),1,2))),
IF(YEAR($E71)&lt;=2015,$O71/12,0))</f>
        <v>0</v>
      </c>
      <c r="AN71" s="120">
        <f ca="1">+IF($E71=AN$47,SUM($M71:OFFSET($M71,0,IF(YEAR(AN$47)=VALUE(LEFT($K$47,4)),1,2))),
IF(YEAR($E71)&lt;=2015,$O71/12,0))</f>
        <v>0</v>
      </c>
      <c r="AO71" s="121"/>
    </row>
    <row r="72" spans="1:41" s="105" customFormat="1" ht="15" x14ac:dyDescent="0.25">
      <c r="A72" s="96" t="s">
        <v>131</v>
      </c>
      <c r="B72" s="97" t="s">
        <v>132</v>
      </c>
      <c r="C72" s="98">
        <v>6415</v>
      </c>
      <c r="D72" s="99" t="s">
        <v>70</v>
      </c>
      <c r="E72" s="100">
        <v>41974</v>
      </c>
      <c r="F72" s="97" t="s">
        <v>78</v>
      </c>
      <c r="G72" s="101">
        <v>0</v>
      </c>
      <c r="H72" s="102">
        <v>1</v>
      </c>
      <c r="I72" s="263" t="s">
        <v>478</v>
      </c>
      <c r="J72" s="140">
        <v>479.53828000000004</v>
      </c>
      <c r="K72" s="139">
        <v>50</v>
      </c>
      <c r="L72" s="119">
        <v>0</v>
      </c>
      <c r="M72" s="119">
        <f t="shared" si="13"/>
        <v>479.53828000000004</v>
      </c>
      <c r="N72" s="121">
        <f t="shared" si="14"/>
        <v>50</v>
      </c>
      <c r="O72" s="120">
        <f t="shared" si="15"/>
        <v>0</v>
      </c>
      <c r="P72" s="121"/>
      <c r="Q72" s="122">
        <f ca="1">+IF($E72=Q$47,SUM($M72:OFFSET($M72,0,IF(YEAR(Q$47)=VALUE(LEFT($K$47,4)),1,2))),
IF(YEAR($E72)&lt;VALUE(LEFT($K$47,4)),($M72+$N72)/12,0))</f>
        <v>44.128189999999996</v>
      </c>
      <c r="R72" s="119">
        <f ca="1">+IF($E72=R$47,SUM($M72:OFFSET($M72,0,IF(YEAR(R$47)=VALUE(LEFT($K$47,4)),1,2))),
IF(YEAR($E72)&lt;VALUE(LEFT($K$47,4)),($M72+$N72)/12,0))</f>
        <v>44.128189999999996</v>
      </c>
      <c r="S72" s="119">
        <f ca="1">+IF($E72=S$47,SUM($M72:OFFSET($M72,0,IF(YEAR(S$47)=VALUE(LEFT($K$47,4)),1,2))),
IF(YEAR($E72)&lt;VALUE(LEFT($K$47,4)),($M72+$N72)/12,0))</f>
        <v>44.128189999999996</v>
      </c>
      <c r="T72" s="119">
        <f ca="1">+IF($E72=T$47,SUM($M72:OFFSET($M72,0,IF(YEAR(T$47)=VALUE(LEFT($K$47,4)),1,2))),
IF(YEAR($E72)&lt;VALUE(LEFT($K$47,4)),($M72+$N72)/12,0))</f>
        <v>44.128189999999996</v>
      </c>
      <c r="U72" s="119">
        <f ca="1">+IF($E72=U$47,SUM($M72:OFFSET($M72,0,IF(YEAR(U$47)=VALUE(LEFT($K$47,4)),1,2))),
IF(YEAR($E72)&lt;VALUE(LEFT($K$47,4)),($M72+$N72)/12,0))</f>
        <v>44.128189999999996</v>
      </c>
      <c r="V72" s="119">
        <f ca="1">+IF($E72=V$47,SUM($M72:OFFSET($M72,0,IF(YEAR(V$47)=VALUE(LEFT($K$47,4)),1,2))),
IF(YEAR($E72)&lt;VALUE(LEFT($K$47,4)),($M72+$N72)/12,0))</f>
        <v>44.128189999999996</v>
      </c>
      <c r="W72" s="119">
        <f ca="1">+IF($E72=W$47,SUM($M72:OFFSET($M72,0,IF(YEAR(W$47)=VALUE(LEFT($K$47,4)),1,2))),
IF(YEAR($E72)&lt;VALUE(LEFT($K$47,4)),($M72+$N72)/12,0))</f>
        <v>44.128189999999996</v>
      </c>
      <c r="X72" s="119">
        <f ca="1">+IF($E72=X$47,SUM($M72:OFFSET($M72,0,IF(YEAR(X$47)=VALUE(LEFT($K$47,4)),1,2))),
IF(YEAR($E72)&lt;VALUE(LEFT($K$47,4)),($M72+$N72)/12,0))</f>
        <v>44.128189999999996</v>
      </c>
      <c r="Y72" s="119">
        <f ca="1">+IF($E72=Y$47,SUM($M72:OFFSET($M72,0,IF(YEAR(Y$47)=VALUE(LEFT($K$47,4)),1,2))),
IF(YEAR($E72)&lt;VALUE(LEFT($K$47,4)),($M72+$N72)/12,0))</f>
        <v>44.128189999999996</v>
      </c>
      <c r="Z72" s="119">
        <f ca="1">+IF($E72=Z$47,SUM($M72:OFFSET($M72,0,IF(YEAR(Z$47)=VALUE(LEFT($K$47,4)),1,2))),
IF(YEAR($E72)&lt;VALUE(LEFT($K$47,4)),($M72+$N72)/12,0))</f>
        <v>44.128189999999996</v>
      </c>
      <c r="AA72" s="119">
        <f ca="1">+IF($E72=AA$47,SUM($M72:OFFSET($M72,0,IF(YEAR(AA$47)=VALUE(LEFT($K$47,4)),1,2))),
IF(YEAR($E72)&lt;VALUE(LEFT($K$47,4)),($M72+$N72)/12,0))</f>
        <v>44.128189999999996</v>
      </c>
      <c r="AB72" s="120">
        <f ca="1">+IF($E72=AB$47,SUM($M72:OFFSET($M72,0,IF(YEAR(AB$47)=VALUE(LEFT($K$47,4)),1,2))),
IF(YEAR($E72)&lt;VALUE(LEFT($K$47,4)),($M72+$N72)/12,0))</f>
        <v>44.128189999999996</v>
      </c>
      <c r="AC72" s="122">
        <f ca="1">+IF($E72=AC$47,SUM($M72:OFFSET($M72,0,IF(YEAR(AC$47)=VALUE(LEFT($K$47,4)),1,2))),
IF(YEAR($E72)&lt;=2015,$O72/12,0))</f>
        <v>0</v>
      </c>
      <c r="AD72" s="119">
        <f ca="1">+IF($E72=AD$47,SUM($M72:OFFSET($M72,0,IF(YEAR(AD$47)=VALUE(LEFT($K$47,4)),1,2))),
IF(YEAR($E72)&lt;=2015,$O72/12,0))</f>
        <v>0</v>
      </c>
      <c r="AE72" s="119">
        <f ca="1">+IF($E72=AE$47,SUM($M72:OFFSET($M72,0,IF(YEAR(AE$47)=VALUE(LEFT($K$47,4)),1,2))),
IF(YEAR($E72)&lt;=2015,$O72/12,0))</f>
        <v>0</v>
      </c>
      <c r="AF72" s="119">
        <f ca="1">+IF($E72=AF$47,SUM($M72:OFFSET($M72,0,IF(YEAR(AF$47)=VALUE(LEFT($K$47,4)),1,2))),
IF(YEAR($E72)&lt;=2015,$O72/12,0))</f>
        <v>0</v>
      </c>
      <c r="AG72" s="119">
        <f ca="1">+IF($E72=AG$47,SUM($M72:OFFSET($M72,0,IF(YEAR(AG$47)=VALUE(LEFT($K$47,4)),1,2))),
IF(YEAR($E72)&lt;=2015,$O72/12,0))</f>
        <v>0</v>
      </c>
      <c r="AH72" s="119">
        <f ca="1">+IF($E72=AH$47,SUM($M72:OFFSET($M72,0,IF(YEAR(AH$47)=VALUE(LEFT($K$47,4)),1,2))),
IF(YEAR($E72)&lt;=2015,$O72/12,0))</f>
        <v>0</v>
      </c>
      <c r="AI72" s="119">
        <f ca="1">+IF($E72=AI$47,SUM($M72:OFFSET($M72,0,IF(YEAR(AI$47)=VALUE(LEFT($K$47,4)),1,2))),
IF(YEAR($E72)&lt;=2015,$O72/12,0))</f>
        <v>0</v>
      </c>
      <c r="AJ72" s="119">
        <f ca="1">+IF($E72=AJ$47,SUM($M72:OFFSET($M72,0,IF(YEAR(AJ$47)=VALUE(LEFT($K$47,4)),1,2))),
IF(YEAR($E72)&lt;=2015,$O72/12,0))</f>
        <v>0</v>
      </c>
      <c r="AK72" s="119">
        <f ca="1">+IF($E72=AK$47,SUM($M72:OFFSET($M72,0,IF(YEAR(AK$47)=VALUE(LEFT($K$47,4)),1,2))),
IF(YEAR($E72)&lt;=2015,$O72/12,0))</f>
        <v>0</v>
      </c>
      <c r="AL72" s="119">
        <f ca="1">+IF($E72=AL$47,SUM($M72:OFFSET($M72,0,IF(YEAR(AL$47)=VALUE(LEFT($K$47,4)),1,2))),
IF(YEAR($E72)&lt;=2015,$O72/12,0))</f>
        <v>0</v>
      </c>
      <c r="AM72" s="119">
        <f ca="1">+IF($E72=AM$47,SUM($M72:OFFSET($M72,0,IF(YEAR(AM$47)=VALUE(LEFT($K$47,4)),1,2))),
IF(YEAR($E72)&lt;=2015,$O72/12,0))</f>
        <v>0</v>
      </c>
      <c r="AN72" s="120">
        <f ca="1">+IF($E72=AN$47,SUM($M72:OFFSET($M72,0,IF(YEAR(AN$47)=VALUE(LEFT($K$47,4)),1,2))),
IF(YEAR($E72)&lt;=2015,$O72/12,0))</f>
        <v>0</v>
      </c>
      <c r="AO72" s="121"/>
    </row>
    <row r="73" spans="1:41" s="105" customFormat="1" ht="15" x14ac:dyDescent="0.25">
      <c r="A73" s="96" t="s">
        <v>135</v>
      </c>
      <c r="B73" s="97" t="s">
        <v>405</v>
      </c>
      <c r="C73" s="98">
        <v>6791</v>
      </c>
      <c r="D73" s="99" t="s">
        <v>70</v>
      </c>
      <c r="E73" s="100">
        <v>42705</v>
      </c>
      <c r="F73" s="97" t="s">
        <v>71</v>
      </c>
      <c r="G73" s="101">
        <v>0</v>
      </c>
      <c r="H73" s="102">
        <v>1</v>
      </c>
      <c r="I73" s="263"/>
      <c r="J73" s="140">
        <v>0.97237999999999991</v>
      </c>
      <c r="K73" s="139">
        <v>1500</v>
      </c>
      <c r="L73" s="119">
        <v>1400</v>
      </c>
      <c r="M73" s="119">
        <f t="shared" si="13"/>
        <v>0.97237999999999991</v>
      </c>
      <c r="N73" s="121">
        <f t="shared" si="14"/>
        <v>1500</v>
      </c>
      <c r="O73" s="120">
        <f t="shared" si="15"/>
        <v>1400</v>
      </c>
      <c r="P73" s="121"/>
      <c r="Q73" s="122">
        <f ca="1">+IF($E73=Q$47,SUM($M73:OFFSET($M73,0,IF(YEAR(Q$47)=VALUE(LEFT($K$47,4)),1,2))),
IF(YEAR($E73)&lt;VALUE(LEFT($K$47,4)),($M73+$N73)/12,0))</f>
        <v>0</v>
      </c>
      <c r="R73" s="119">
        <f ca="1">+IF($E73=R$47,SUM($M73:OFFSET($M73,0,IF(YEAR(R$47)=VALUE(LEFT($K$47,4)),1,2))),
IF(YEAR($E73)&lt;VALUE(LEFT($K$47,4)),($M73+$N73)/12,0))</f>
        <v>0</v>
      </c>
      <c r="S73" s="119">
        <f ca="1">+IF($E73=S$47,SUM($M73:OFFSET($M73,0,IF(YEAR(S$47)=VALUE(LEFT($K$47,4)),1,2))),
IF(YEAR($E73)&lt;VALUE(LEFT($K$47,4)),($M73+$N73)/12,0))</f>
        <v>0</v>
      </c>
      <c r="T73" s="119">
        <f ca="1">+IF($E73=T$47,SUM($M73:OFFSET($M73,0,IF(YEAR(T$47)=VALUE(LEFT($K$47,4)),1,2))),
IF(YEAR($E73)&lt;VALUE(LEFT($K$47,4)),($M73+$N73)/12,0))</f>
        <v>0</v>
      </c>
      <c r="U73" s="119">
        <f ca="1">+IF($E73=U$47,SUM($M73:OFFSET($M73,0,IF(YEAR(U$47)=VALUE(LEFT($K$47,4)),1,2))),
IF(YEAR($E73)&lt;VALUE(LEFT($K$47,4)),($M73+$N73)/12,0))</f>
        <v>0</v>
      </c>
      <c r="V73" s="119">
        <f ca="1">+IF($E73=V$47,SUM($M73:OFFSET($M73,0,IF(YEAR(V$47)=VALUE(LEFT($K$47,4)),1,2))),
IF(YEAR($E73)&lt;VALUE(LEFT($K$47,4)),($M73+$N73)/12,0))</f>
        <v>0</v>
      </c>
      <c r="W73" s="119">
        <f ca="1">+IF($E73=W$47,SUM($M73:OFFSET($M73,0,IF(YEAR(W$47)=VALUE(LEFT($K$47,4)),1,2))),
IF(YEAR($E73)&lt;VALUE(LEFT($K$47,4)),($M73+$N73)/12,0))</f>
        <v>0</v>
      </c>
      <c r="X73" s="119">
        <f ca="1">+IF($E73=X$47,SUM($M73:OFFSET($M73,0,IF(YEAR(X$47)=VALUE(LEFT($K$47,4)),1,2))),
IF(YEAR($E73)&lt;VALUE(LEFT($K$47,4)),($M73+$N73)/12,0))</f>
        <v>0</v>
      </c>
      <c r="Y73" s="119">
        <f ca="1">+IF($E73=Y$47,SUM($M73:OFFSET($M73,0,IF(YEAR(Y$47)=VALUE(LEFT($K$47,4)),1,2))),
IF(YEAR($E73)&lt;VALUE(LEFT($K$47,4)),($M73+$N73)/12,0))</f>
        <v>0</v>
      </c>
      <c r="Z73" s="119">
        <f ca="1">+IF($E73=Z$47,SUM($M73:OFFSET($M73,0,IF(YEAR(Z$47)=VALUE(LEFT($K$47,4)),1,2))),
IF(YEAR($E73)&lt;VALUE(LEFT($K$47,4)),($M73+$N73)/12,0))</f>
        <v>0</v>
      </c>
      <c r="AA73" s="119">
        <f ca="1">+IF($E73=AA$47,SUM($M73:OFFSET($M73,0,IF(YEAR(AA$47)=VALUE(LEFT($K$47,4)),1,2))),
IF(YEAR($E73)&lt;VALUE(LEFT($K$47,4)),($M73+$N73)/12,0))</f>
        <v>0</v>
      </c>
      <c r="AB73" s="120">
        <f ca="1">+IF($E73=AB$47,SUM($M73:OFFSET($M73,0,IF(YEAR(AB$47)=VALUE(LEFT($K$47,4)),1,2))),
IF(YEAR($E73)&lt;VALUE(LEFT($K$47,4)),($M73+$N73)/12,0))</f>
        <v>0</v>
      </c>
      <c r="AC73" s="122">
        <f ca="1">+IF($E73=AC$47,SUM($M73:OFFSET($M73,0,IF(YEAR(AC$47)=VALUE(LEFT($K$47,4)),1,2))),
IF(YEAR($E73)&lt;=2015,$O73/12,0))</f>
        <v>0</v>
      </c>
      <c r="AD73" s="119">
        <f ca="1">+IF($E73=AD$47,SUM($M73:OFFSET($M73,0,IF(YEAR(AD$47)=VALUE(LEFT($K$47,4)),1,2))),
IF(YEAR($E73)&lt;=2015,$O73/12,0))</f>
        <v>0</v>
      </c>
      <c r="AE73" s="119">
        <f ca="1">+IF($E73=AE$47,SUM($M73:OFFSET($M73,0,IF(YEAR(AE$47)=VALUE(LEFT($K$47,4)),1,2))),
IF(YEAR($E73)&lt;=2015,$O73/12,0))</f>
        <v>0</v>
      </c>
      <c r="AF73" s="119">
        <f ca="1">+IF($E73=AF$47,SUM($M73:OFFSET($M73,0,IF(YEAR(AF$47)=VALUE(LEFT($K$47,4)),1,2))),
IF(YEAR($E73)&lt;=2015,$O73/12,0))</f>
        <v>0</v>
      </c>
      <c r="AG73" s="119">
        <f ca="1">+IF($E73=AG$47,SUM($M73:OFFSET($M73,0,IF(YEAR(AG$47)=VALUE(LEFT($K$47,4)),1,2))),
IF(YEAR($E73)&lt;=2015,$O73/12,0))</f>
        <v>0</v>
      </c>
      <c r="AH73" s="119">
        <f ca="1">+IF($E73=AH$47,SUM($M73:OFFSET($M73,0,IF(YEAR(AH$47)=VALUE(LEFT($K$47,4)),1,2))),
IF(YEAR($E73)&lt;=2015,$O73/12,0))</f>
        <v>0</v>
      </c>
      <c r="AI73" s="119">
        <f ca="1">+IF($E73=AI$47,SUM($M73:OFFSET($M73,0,IF(YEAR(AI$47)=VALUE(LEFT($K$47,4)),1,2))),
IF(YEAR($E73)&lt;=2015,$O73/12,0))</f>
        <v>0</v>
      </c>
      <c r="AJ73" s="119">
        <f ca="1">+IF($E73=AJ$47,SUM($M73:OFFSET($M73,0,IF(YEAR(AJ$47)=VALUE(LEFT($K$47,4)),1,2))),
IF(YEAR($E73)&lt;=2015,$O73/12,0))</f>
        <v>0</v>
      </c>
      <c r="AK73" s="119">
        <f ca="1">+IF($E73=AK$47,SUM($M73:OFFSET($M73,0,IF(YEAR(AK$47)=VALUE(LEFT($K$47,4)),1,2))),
IF(YEAR($E73)&lt;=2015,$O73/12,0))</f>
        <v>0</v>
      </c>
      <c r="AL73" s="119">
        <f ca="1">+IF($E73=AL$47,SUM($M73:OFFSET($M73,0,IF(YEAR(AL$47)=VALUE(LEFT($K$47,4)),1,2))),
IF(YEAR($E73)&lt;=2015,$O73/12,0))</f>
        <v>0</v>
      </c>
      <c r="AM73" s="119">
        <f ca="1">+IF($E73=AM$47,SUM($M73:OFFSET($M73,0,IF(YEAR(AM$47)=VALUE(LEFT($K$47,4)),1,2))),
IF(YEAR($E73)&lt;=2015,$O73/12,0))</f>
        <v>0</v>
      </c>
      <c r="AN73" s="120">
        <f ca="1">+IF($E73=AN$47,SUM($M73:OFFSET($M73,0,IF(YEAR(AN$47)=VALUE(LEFT($K$47,4)),1,2))),
IF(YEAR($E73)&lt;=2015,$O73/12,0))</f>
        <v>2900.9723800000002</v>
      </c>
      <c r="AO73" s="121"/>
    </row>
    <row r="74" spans="1:41" s="105" customFormat="1" ht="15" x14ac:dyDescent="0.25">
      <c r="A74" s="96" t="s">
        <v>133</v>
      </c>
      <c r="B74" s="97" t="s">
        <v>134</v>
      </c>
      <c r="C74" s="98">
        <v>6791</v>
      </c>
      <c r="D74" s="99" t="s">
        <v>70</v>
      </c>
      <c r="E74" s="100">
        <v>42339</v>
      </c>
      <c r="F74" s="97" t="s">
        <v>78</v>
      </c>
      <c r="G74" s="101">
        <v>0</v>
      </c>
      <c r="H74" s="102">
        <v>1</v>
      </c>
      <c r="I74" s="263"/>
      <c r="J74" s="140">
        <v>9657.2821000000004</v>
      </c>
      <c r="K74" s="139">
        <v>200</v>
      </c>
      <c r="L74" s="119">
        <v>6500</v>
      </c>
      <c r="M74" s="119">
        <f t="shared" si="13"/>
        <v>9657.2821000000004</v>
      </c>
      <c r="N74" s="121">
        <f t="shared" si="14"/>
        <v>200</v>
      </c>
      <c r="O74" s="120">
        <f t="shared" si="15"/>
        <v>6500</v>
      </c>
      <c r="P74" s="121"/>
      <c r="Q74" s="122">
        <f ca="1">+IF($E74=Q$47,SUM($M74:OFFSET($M74,0,IF(YEAR(Q$47)=VALUE(LEFT($K$47,4)),1,2))),
IF(YEAR($E74)&lt;VALUE(LEFT($K$47,4)),($M74+$N74)/12,0))</f>
        <v>0</v>
      </c>
      <c r="R74" s="119">
        <f ca="1">+IF($E74=R$47,SUM($M74:OFFSET($M74,0,IF(YEAR(R$47)=VALUE(LEFT($K$47,4)),1,2))),
IF(YEAR($E74)&lt;VALUE(LEFT($K$47,4)),($M74+$N74)/12,0))</f>
        <v>0</v>
      </c>
      <c r="S74" s="119">
        <f ca="1">+IF($E74=S$47,SUM($M74:OFFSET($M74,0,IF(YEAR(S$47)=VALUE(LEFT($K$47,4)),1,2))),
IF(YEAR($E74)&lt;VALUE(LEFT($K$47,4)),($M74+$N74)/12,0))</f>
        <v>0</v>
      </c>
      <c r="T74" s="119">
        <f ca="1">+IF($E74=T$47,SUM($M74:OFFSET($M74,0,IF(YEAR(T$47)=VALUE(LEFT($K$47,4)),1,2))),
IF(YEAR($E74)&lt;VALUE(LEFT($K$47,4)),($M74+$N74)/12,0))</f>
        <v>0</v>
      </c>
      <c r="U74" s="119">
        <f ca="1">+IF($E74=U$47,SUM($M74:OFFSET($M74,0,IF(YEAR(U$47)=VALUE(LEFT($K$47,4)),1,2))),
IF(YEAR($E74)&lt;VALUE(LEFT($K$47,4)),($M74+$N74)/12,0))</f>
        <v>0</v>
      </c>
      <c r="V74" s="119">
        <f ca="1">+IF($E74=V$47,SUM($M74:OFFSET($M74,0,IF(YEAR(V$47)=VALUE(LEFT($K$47,4)),1,2))),
IF(YEAR($E74)&lt;VALUE(LEFT($K$47,4)),($M74+$N74)/12,0))</f>
        <v>0</v>
      </c>
      <c r="W74" s="119">
        <f ca="1">+IF($E74=W$47,SUM($M74:OFFSET($M74,0,IF(YEAR(W$47)=VALUE(LEFT($K$47,4)),1,2))),
IF(YEAR($E74)&lt;VALUE(LEFT($K$47,4)),($M74+$N74)/12,0))</f>
        <v>0</v>
      </c>
      <c r="X74" s="119">
        <f ca="1">+IF($E74=X$47,SUM($M74:OFFSET($M74,0,IF(YEAR(X$47)=VALUE(LEFT($K$47,4)),1,2))),
IF(YEAR($E74)&lt;VALUE(LEFT($K$47,4)),($M74+$N74)/12,0))</f>
        <v>0</v>
      </c>
      <c r="Y74" s="119">
        <f ca="1">+IF($E74=Y$47,SUM($M74:OFFSET($M74,0,IF(YEAR(Y$47)=VALUE(LEFT($K$47,4)),1,2))),
IF(YEAR($E74)&lt;VALUE(LEFT($K$47,4)),($M74+$N74)/12,0))</f>
        <v>0</v>
      </c>
      <c r="Z74" s="119">
        <f ca="1">+IF($E74=Z$47,SUM($M74:OFFSET($M74,0,IF(YEAR(Z$47)=VALUE(LEFT($K$47,4)),1,2))),
IF(YEAR($E74)&lt;VALUE(LEFT($K$47,4)),($M74+$N74)/12,0))</f>
        <v>0</v>
      </c>
      <c r="AA74" s="119">
        <f ca="1">+IF($E74=AA$47,SUM($M74:OFFSET($M74,0,IF(YEAR(AA$47)=VALUE(LEFT($K$47,4)),1,2))),
IF(YEAR($E74)&lt;VALUE(LEFT($K$47,4)),($M74+$N74)/12,0))</f>
        <v>0</v>
      </c>
      <c r="AB74" s="120">
        <f ca="1">+IF($E74=AB$47,SUM($M74:OFFSET($M74,0,IF(YEAR(AB$47)=VALUE(LEFT($K$47,4)),1,2))),
IF(YEAR($E74)&lt;VALUE(LEFT($K$47,4)),($M74+$N74)/12,0))</f>
        <v>9857.2821000000004</v>
      </c>
      <c r="AC74" s="122">
        <f ca="1">+IF($E74=AC$47,SUM($M74:OFFSET($M74,0,IF(YEAR(AC$47)=VALUE(LEFT($K$47,4)),1,2))),
IF(YEAR($E74)&lt;=2015,$O74/12,0))</f>
        <v>541.66666666666663</v>
      </c>
      <c r="AD74" s="119">
        <f ca="1">+IF($E74=AD$47,SUM($M74:OFFSET($M74,0,IF(YEAR(AD$47)=VALUE(LEFT($K$47,4)),1,2))),
IF(YEAR($E74)&lt;=2015,$O74/12,0))</f>
        <v>541.66666666666663</v>
      </c>
      <c r="AE74" s="119">
        <f ca="1">+IF($E74=AE$47,SUM($M74:OFFSET($M74,0,IF(YEAR(AE$47)=VALUE(LEFT($K$47,4)),1,2))),
IF(YEAR($E74)&lt;=2015,$O74/12,0))</f>
        <v>541.66666666666663</v>
      </c>
      <c r="AF74" s="119">
        <f ca="1">+IF($E74=AF$47,SUM($M74:OFFSET($M74,0,IF(YEAR(AF$47)=VALUE(LEFT($K$47,4)),1,2))),
IF(YEAR($E74)&lt;=2015,$O74/12,0))</f>
        <v>541.66666666666663</v>
      </c>
      <c r="AG74" s="119">
        <f ca="1">+IF($E74=AG$47,SUM($M74:OFFSET($M74,0,IF(YEAR(AG$47)=VALUE(LEFT($K$47,4)),1,2))),
IF(YEAR($E74)&lt;=2015,$O74/12,0))</f>
        <v>541.66666666666663</v>
      </c>
      <c r="AH74" s="119">
        <f ca="1">+IF($E74=AH$47,SUM($M74:OFFSET($M74,0,IF(YEAR(AH$47)=VALUE(LEFT($K$47,4)),1,2))),
IF(YEAR($E74)&lt;=2015,$O74/12,0))</f>
        <v>541.66666666666663</v>
      </c>
      <c r="AI74" s="119">
        <f ca="1">+IF($E74=AI$47,SUM($M74:OFFSET($M74,0,IF(YEAR(AI$47)=VALUE(LEFT($K$47,4)),1,2))),
IF(YEAR($E74)&lt;=2015,$O74/12,0))</f>
        <v>541.66666666666663</v>
      </c>
      <c r="AJ74" s="119">
        <f ca="1">+IF($E74=AJ$47,SUM($M74:OFFSET($M74,0,IF(YEAR(AJ$47)=VALUE(LEFT($K$47,4)),1,2))),
IF(YEAR($E74)&lt;=2015,$O74/12,0))</f>
        <v>541.66666666666663</v>
      </c>
      <c r="AK74" s="119">
        <f ca="1">+IF($E74=AK$47,SUM($M74:OFFSET($M74,0,IF(YEAR(AK$47)=VALUE(LEFT($K$47,4)),1,2))),
IF(YEAR($E74)&lt;=2015,$O74/12,0))</f>
        <v>541.66666666666663</v>
      </c>
      <c r="AL74" s="119">
        <f ca="1">+IF($E74=AL$47,SUM($M74:OFFSET($M74,0,IF(YEAR(AL$47)=VALUE(LEFT($K$47,4)),1,2))),
IF(YEAR($E74)&lt;=2015,$O74/12,0))</f>
        <v>541.66666666666663</v>
      </c>
      <c r="AM74" s="119">
        <f ca="1">+IF($E74=AM$47,SUM($M74:OFFSET($M74,0,IF(YEAR(AM$47)=VALUE(LEFT($K$47,4)),1,2))),
IF(YEAR($E74)&lt;=2015,$O74/12,0))</f>
        <v>541.66666666666663</v>
      </c>
      <c r="AN74" s="120">
        <f ca="1">+IF($E74=AN$47,SUM($M74:OFFSET($M74,0,IF(YEAR(AN$47)=VALUE(LEFT($K$47,4)),1,2))),
IF(YEAR($E74)&lt;=2015,$O74/12,0))</f>
        <v>541.66666666666663</v>
      </c>
      <c r="AO74" s="121"/>
    </row>
    <row r="75" spans="1:41" s="105" customFormat="1" ht="15" x14ac:dyDescent="0.25">
      <c r="A75" s="96" t="s">
        <v>138</v>
      </c>
      <c r="B75" s="97" t="s">
        <v>139</v>
      </c>
      <c r="C75" s="98">
        <v>7241</v>
      </c>
      <c r="D75" s="99" t="s">
        <v>70</v>
      </c>
      <c r="E75" s="100">
        <v>42309</v>
      </c>
      <c r="F75" s="97" t="s">
        <v>78</v>
      </c>
      <c r="G75" s="101">
        <v>0</v>
      </c>
      <c r="H75" s="102">
        <v>1</v>
      </c>
      <c r="I75" s="263"/>
      <c r="J75" s="140">
        <v>5516.5519099999947</v>
      </c>
      <c r="K75" s="139">
        <v>1540</v>
      </c>
      <c r="L75" s="119">
        <v>2229</v>
      </c>
      <c r="M75" s="119">
        <f t="shared" si="13"/>
        <v>5516.5519099999947</v>
      </c>
      <c r="N75" s="121">
        <f t="shared" si="14"/>
        <v>1540</v>
      </c>
      <c r="O75" s="120">
        <f t="shared" si="15"/>
        <v>2229</v>
      </c>
      <c r="P75" s="121"/>
      <c r="Q75" s="122">
        <f ca="1">+IF($E75=Q$47,SUM($M75:OFFSET($M75,0,IF(YEAR(Q$47)=VALUE(LEFT($K$47,4)),1,2))),
IF(YEAR($E75)&lt;VALUE(LEFT($K$47,4)),($M75+$N75)/12,0))</f>
        <v>0</v>
      </c>
      <c r="R75" s="119">
        <f ca="1">+IF($E75=R$47,SUM($M75:OFFSET($M75,0,IF(YEAR(R$47)=VALUE(LEFT($K$47,4)),1,2))),
IF(YEAR($E75)&lt;VALUE(LEFT($K$47,4)),($M75+$N75)/12,0))</f>
        <v>0</v>
      </c>
      <c r="S75" s="119">
        <f ca="1">+IF($E75=S$47,SUM($M75:OFFSET($M75,0,IF(YEAR(S$47)=VALUE(LEFT($K$47,4)),1,2))),
IF(YEAR($E75)&lt;VALUE(LEFT($K$47,4)),($M75+$N75)/12,0))</f>
        <v>0</v>
      </c>
      <c r="T75" s="119">
        <f ca="1">+IF($E75=T$47,SUM($M75:OFFSET($M75,0,IF(YEAR(T$47)=VALUE(LEFT($K$47,4)),1,2))),
IF(YEAR($E75)&lt;VALUE(LEFT($K$47,4)),($M75+$N75)/12,0))</f>
        <v>0</v>
      </c>
      <c r="U75" s="119">
        <f ca="1">+IF($E75=U$47,SUM($M75:OFFSET($M75,0,IF(YEAR(U$47)=VALUE(LEFT($K$47,4)),1,2))),
IF(YEAR($E75)&lt;VALUE(LEFT($K$47,4)),($M75+$N75)/12,0))</f>
        <v>0</v>
      </c>
      <c r="V75" s="119">
        <f ca="1">+IF($E75=V$47,SUM($M75:OFFSET($M75,0,IF(YEAR(V$47)=VALUE(LEFT($K$47,4)),1,2))),
IF(YEAR($E75)&lt;VALUE(LEFT($K$47,4)),($M75+$N75)/12,0))</f>
        <v>0</v>
      </c>
      <c r="W75" s="119">
        <f ca="1">+IF($E75=W$47,SUM($M75:OFFSET($M75,0,IF(YEAR(W$47)=VALUE(LEFT($K$47,4)),1,2))),
IF(YEAR($E75)&lt;VALUE(LEFT($K$47,4)),($M75+$N75)/12,0))</f>
        <v>0</v>
      </c>
      <c r="X75" s="119">
        <f ca="1">+IF($E75=X$47,SUM($M75:OFFSET($M75,0,IF(YEAR(X$47)=VALUE(LEFT($K$47,4)),1,2))),
IF(YEAR($E75)&lt;VALUE(LEFT($K$47,4)),($M75+$N75)/12,0))</f>
        <v>0</v>
      </c>
      <c r="Y75" s="119">
        <f ca="1">+IF($E75=Y$47,SUM($M75:OFFSET($M75,0,IF(YEAR(Y$47)=VALUE(LEFT($K$47,4)),1,2))),
IF(YEAR($E75)&lt;VALUE(LEFT($K$47,4)),($M75+$N75)/12,0))</f>
        <v>0</v>
      </c>
      <c r="Z75" s="119">
        <f ca="1">+IF($E75=Z$47,SUM($M75:OFFSET($M75,0,IF(YEAR(Z$47)=VALUE(LEFT($K$47,4)),1,2))),
IF(YEAR($E75)&lt;VALUE(LEFT($K$47,4)),($M75+$N75)/12,0))</f>
        <v>0</v>
      </c>
      <c r="AA75" s="119">
        <f ca="1">+IF($E75=AA$47,SUM($M75:OFFSET($M75,0,IF(YEAR(AA$47)=VALUE(LEFT($K$47,4)),1,2))),
IF(YEAR($E75)&lt;VALUE(LEFT($K$47,4)),($M75+$N75)/12,0))</f>
        <v>7056.5519099999947</v>
      </c>
      <c r="AB75" s="120">
        <f ca="1">+IF($E75=AB$47,SUM($M75:OFFSET($M75,0,IF(YEAR(AB$47)=VALUE(LEFT($K$47,4)),1,2))),
IF(YEAR($E75)&lt;VALUE(LEFT($K$47,4)),($M75+$N75)/12,0))</f>
        <v>0</v>
      </c>
      <c r="AC75" s="122">
        <f ca="1">+IF($E75=AC$47,SUM($M75:OFFSET($M75,0,IF(YEAR(AC$47)=VALUE(LEFT($K$47,4)),1,2))),
IF(YEAR($E75)&lt;=2015,$O75/12,0))</f>
        <v>185.75</v>
      </c>
      <c r="AD75" s="119">
        <f ca="1">+IF($E75=AD$47,SUM($M75:OFFSET($M75,0,IF(YEAR(AD$47)=VALUE(LEFT($K$47,4)),1,2))),
IF(YEAR($E75)&lt;=2015,$O75/12,0))</f>
        <v>185.75</v>
      </c>
      <c r="AE75" s="119">
        <f ca="1">+IF($E75=AE$47,SUM($M75:OFFSET($M75,0,IF(YEAR(AE$47)=VALUE(LEFT($K$47,4)),1,2))),
IF(YEAR($E75)&lt;=2015,$O75/12,0))</f>
        <v>185.75</v>
      </c>
      <c r="AF75" s="119">
        <f ca="1">+IF($E75=AF$47,SUM($M75:OFFSET($M75,0,IF(YEAR(AF$47)=VALUE(LEFT($K$47,4)),1,2))),
IF(YEAR($E75)&lt;=2015,$O75/12,0))</f>
        <v>185.75</v>
      </c>
      <c r="AG75" s="119">
        <f ca="1">+IF($E75=AG$47,SUM($M75:OFFSET($M75,0,IF(YEAR(AG$47)=VALUE(LEFT($K$47,4)),1,2))),
IF(YEAR($E75)&lt;=2015,$O75/12,0))</f>
        <v>185.75</v>
      </c>
      <c r="AH75" s="119">
        <f ca="1">+IF($E75=AH$47,SUM($M75:OFFSET($M75,0,IF(YEAR(AH$47)=VALUE(LEFT($K$47,4)),1,2))),
IF(YEAR($E75)&lt;=2015,$O75/12,0))</f>
        <v>185.75</v>
      </c>
      <c r="AI75" s="119">
        <f ca="1">+IF($E75=AI$47,SUM($M75:OFFSET($M75,0,IF(YEAR(AI$47)=VALUE(LEFT($K$47,4)),1,2))),
IF(YEAR($E75)&lt;=2015,$O75/12,0))</f>
        <v>185.75</v>
      </c>
      <c r="AJ75" s="119">
        <f ca="1">+IF($E75=AJ$47,SUM($M75:OFFSET($M75,0,IF(YEAR(AJ$47)=VALUE(LEFT($K$47,4)),1,2))),
IF(YEAR($E75)&lt;=2015,$O75/12,0))</f>
        <v>185.75</v>
      </c>
      <c r="AK75" s="119">
        <f ca="1">+IF($E75=AK$47,SUM($M75:OFFSET($M75,0,IF(YEAR(AK$47)=VALUE(LEFT($K$47,4)),1,2))),
IF(YEAR($E75)&lt;=2015,$O75/12,0))</f>
        <v>185.75</v>
      </c>
      <c r="AL75" s="119">
        <f ca="1">+IF($E75=AL$47,SUM($M75:OFFSET($M75,0,IF(YEAR(AL$47)=VALUE(LEFT($K$47,4)),1,2))),
IF(YEAR($E75)&lt;=2015,$O75/12,0))</f>
        <v>185.75</v>
      </c>
      <c r="AM75" s="119">
        <f ca="1">+IF($E75=AM$47,SUM($M75:OFFSET($M75,0,IF(YEAR(AM$47)=VALUE(LEFT($K$47,4)),1,2))),
IF(YEAR($E75)&lt;=2015,$O75/12,0))</f>
        <v>185.75</v>
      </c>
      <c r="AN75" s="120">
        <f ca="1">+IF($E75=AN$47,SUM($M75:OFFSET($M75,0,IF(YEAR(AN$47)=VALUE(LEFT($K$47,4)),1,2))),
IF(YEAR($E75)&lt;=2015,$O75/12,0))</f>
        <v>185.75</v>
      </c>
      <c r="AO75" s="121"/>
    </row>
    <row r="76" spans="1:41" s="105" customFormat="1" ht="15" x14ac:dyDescent="0.25">
      <c r="A76" s="96" t="s">
        <v>406</v>
      </c>
      <c r="B76" s="97" t="s">
        <v>407</v>
      </c>
      <c r="C76" s="98">
        <v>7248</v>
      </c>
      <c r="D76" s="99" t="s">
        <v>70</v>
      </c>
      <c r="E76" s="100">
        <v>42309</v>
      </c>
      <c r="F76" s="97" t="s">
        <v>78</v>
      </c>
      <c r="G76" s="101">
        <v>0</v>
      </c>
      <c r="H76" s="102">
        <v>1</v>
      </c>
      <c r="I76" s="263"/>
      <c r="J76" s="140">
        <v>916.23110999999983</v>
      </c>
      <c r="K76" s="139">
        <v>161</v>
      </c>
      <c r="L76" s="119">
        <v>0</v>
      </c>
      <c r="M76" s="119">
        <f t="shared" si="13"/>
        <v>916.23110999999983</v>
      </c>
      <c r="N76" s="121">
        <f t="shared" si="14"/>
        <v>161</v>
      </c>
      <c r="O76" s="120">
        <f t="shared" si="15"/>
        <v>0</v>
      </c>
      <c r="P76" s="121"/>
      <c r="Q76" s="122">
        <f ca="1">+IF($E76=Q$47,SUM($M76:OFFSET($M76,0,IF(YEAR(Q$47)=VALUE(LEFT($K$47,4)),1,2))),
IF(YEAR($E76)&lt;VALUE(LEFT($K$47,4)),($M76+$N76)/12,0))</f>
        <v>0</v>
      </c>
      <c r="R76" s="119">
        <f ca="1">+IF($E76=R$47,SUM($M76:OFFSET($M76,0,IF(YEAR(R$47)=VALUE(LEFT($K$47,4)),1,2))),
IF(YEAR($E76)&lt;VALUE(LEFT($K$47,4)),($M76+$N76)/12,0))</f>
        <v>0</v>
      </c>
      <c r="S76" s="119">
        <f ca="1">+IF($E76=S$47,SUM($M76:OFFSET($M76,0,IF(YEAR(S$47)=VALUE(LEFT($K$47,4)),1,2))),
IF(YEAR($E76)&lt;VALUE(LEFT($K$47,4)),($M76+$N76)/12,0))</f>
        <v>0</v>
      </c>
      <c r="T76" s="119">
        <f ca="1">+IF($E76=T$47,SUM($M76:OFFSET($M76,0,IF(YEAR(T$47)=VALUE(LEFT($K$47,4)),1,2))),
IF(YEAR($E76)&lt;VALUE(LEFT($K$47,4)),($M76+$N76)/12,0))</f>
        <v>0</v>
      </c>
      <c r="U76" s="119">
        <f ca="1">+IF($E76=U$47,SUM($M76:OFFSET($M76,0,IF(YEAR(U$47)=VALUE(LEFT($K$47,4)),1,2))),
IF(YEAR($E76)&lt;VALUE(LEFT($K$47,4)),($M76+$N76)/12,0))</f>
        <v>0</v>
      </c>
      <c r="V76" s="119">
        <f ca="1">+IF($E76=V$47,SUM($M76:OFFSET($M76,0,IF(YEAR(V$47)=VALUE(LEFT($K$47,4)),1,2))),
IF(YEAR($E76)&lt;VALUE(LEFT($K$47,4)),($M76+$N76)/12,0))</f>
        <v>0</v>
      </c>
      <c r="W76" s="119">
        <f ca="1">+IF($E76=W$47,SUM($M76:OFFSET($M76,0,IF(YEAR(W$47)=VALUE(LEFT($K$47,4)),1,2))),
IF(YEAR($E76)&lt;VALUE(LEFT($K$47,4)),($M76+$N76)/12,0))</f>
        <v>0</v>
      </c>
      <c r="X76" s="119">
        <f ca="1">+IF($E76=X$47,SUM($M76:OFFSET($M76,0,IF(YEAR(X$47)=VALUE(LEFT($K$47,4)),1,2))),
IF(YEAR($E76)&lt;VALUE(LEFT($K$47,4)),($M76+$N76)/12,0))</f>
        <v>0</v>
      </c>
      <c r="Y76" s="119">
        <f ca="1">+IF($E76=Y$47,SUM($M76:OFFSET($M76,0,IF(YEAR(Y$47)=VALUE(LEFT($K$47,4)),1,2))),
IF(YEAR($E76)&lt;VALUE(LEFT($K$47,4)),($M76+$N76)/12,0))</f>
        <v>0</v>
      </c>
      <c r="Z76" s="119">
        <f ca="1">+IF($E76=Z$47,SUM($M76:OFFSET($M76,0,IF(YEAR(Z$47)=VALUE(LEFT($K$47,4)),1,2))),
IF(YEAR($E76)&lt;VALUE(LEFT($K$47,4)),($M76+$N76)/12,0))</f>
        <v>0</v>
      </c>
      <c r="AA76" s="119">
        <f ca="1">+IF($E76=AA$47,SUM($M76:OFFSET($M76,0,IF(YEAR(AA$47)=VALUE(LEFT($K$47,4)),1,2))),
IF(YEAR($E76)&lt;VALUE(LEFT($K$47,4)),($M76+$N76)/12,0))</f>
        <v>1077.2311099999997</v>
      </c>
      <c r="AB76" s="120">
        <f ca="1">+IF($E76=AB$47,SUM($M76:OFFSET($M76,0,IF(YEAR(AB$47)=VALUE(LEFT($K$47,4)),1,2))),
IF(YEAR($E76)&lt;VALUE(LEFT($K$47,4)),($M76+$N76)/12,0))</f>
        <v>0</v>
      </c>
      <c r="AC76" s="122">
        <f ca="1">+IF($E76=AC$47,SUM($M76:OFFSET($M76,0,IF(YEAR(AC$47)=VALUE(LEFT($K$47,4)),1,2))),
IF(YEAR($E76)&lt;=2015,$O76/12,0))</f>
        <v>0</v>
      </c>
      <c r="AD76" s="119">
        <f ca="1">+IF($E76=AD$47,SUM($M76:OFFSET($M76,0,IF(YEAR(AD$47)=VALUE(LEFT($K$47,4)),1,2))),
IF(YEAR($E76)&lt;=2015,$O76/12,0))</f>
        <v>0</v>
      </c>
      <c r="AE76" s="119">
        <f ca="1">+IF($E76=AE$47,SUM($M76:OFFSET($M76,0,IF(YEAR(AE$47)=VALUE(LEFT($K$47,4)),1,2))),
IF(YEAR($E76)&lt;=2015,$O76/12,0))</f>
        <v>0</v>
      </c>
      <c r="AF76" s="119">
        <f ca="1">+IF($E76=AF$47,SUM($M76:OFFSET($M76,0,IF(YEAR(AF$47)=VALUE(LEFT($K$47,4)),1,2))),
IF(YEAR($E76)&lt;=2015,$O76/12,0))</f>
        <v>0</v>
      </c>
      <c r="AG76" s="119">
        <f ca="1">+IF($E76=AG$47,SUM($M76:OFFSET($M76,0,IF(YEAR(AG$47)=VALUE(LEFT($K$47,4)),1,2))),
IF(YEAR($E76)&lt;=2015,$O76/12,0))</f>
        <v>0</v>
      </c>
      <c r="AH76" s="119">
        <f ca="1">+IF($E76=AH$47,SUM($M76:OFFSET($M76,0,IF(YEAR(AH$47)=VALUE(LEFT($K$47,4)),1,2))),
IF(YEAR($E76)&lt;=2015,$O76/12,0))</f>
        <v>0</v>
      </c>
      <c r="AI76" s="119">
        <f ca="1">+IF($E76=AI$47,SUM($M76:OFFSET($M76,0,IF(YEAR(AI$47)=VALUE(LEFT($K$47,4)),1,2))),
IF(YEAR($E76)&lt;=2015,$O76/12,0))</f>
        <v>0</v>
      </c>
      <c r="AJ76" s="119">
        <f ca="1">+IF($E76=AJ$47,SUM($M76:OFFSET($M76,0,IF(YEAR(AJ$47)=VALUE(LEFT($K$47,4)),1,2))),
IF(YEAR($E76)&lt;=2015,$O76/12,0))</f>
        <v>0</v>
      </c>
      <c r="AK76" s="119">
        <f ca="1">+IF($E76=AK$47,SUM($M76:OFFSET($M76,0,IF(YEAR(AK$47)=VALUE(LEFT($K$47,4)),1,2))),
IF(YEAR($E76)&lt;=2015,$O76/12,0))</f>
        <v>0</v>
      </c>
      <c r="AL76" s="119">
        <f ca="1">+IF($E76=AL$47,SUM($M76:OFFSET($M76,0,IF(YEAR(AL$47)=VALUE(LEFT($K$47,4)),1,2))),
IF(YEAR($E76)&lt;=2015,$O76/12,0))</f>
        <v>0</v>
      </c>
      <c r="AM76" s="119">
        <f ca="1">+IF($E76=AM$47,SUM($M76:OFFSET($M76,0,IF(YEAR(AM$47)=VALUE(LEFT($K$47,4)),1,2))),
IF(YEAR($E76)&lt;=2015,$O76/12,0))</f>
        <v>0</v>
      </c>
      <c r="AN76" s="120">
        <f ca="1">+IF($E76=AN$47,SUM($M76:OFFSET($M76,0,IF(YEAR(AN$47)=VALUE(LEFT($K$47,4)),1,2))),
IF(YEAR($E76)&lt;=2015,$O76/12,0))</f>
        <v>0</v>
      </c>
      <c r="AO76" s="121"/>
    </row>
    <row r="77" spans="1:41" s="105" customFormat="1" ht="15" x14ac:dyDescent="0.25">
      <c r="A77" s="96" t="s">
        <v>136</v>
      </c>
      <c r="B77" s="97" t="s">
        <v>137</v>
      </c>
      <c r="C77" s="98">
        <v>7248</v>
      </c>
      <c r="D77" s="99" t="s">
        <v>70</v>
      </c>
      <c r="E77" s="100">
        <v>42309</v>
      </c>
      <c r="F77" s="97" t="s">
        <v>78</v>
      </c>
      <c r="G77" s="101">
        <v>0</v>
      </c>
      <c r="H77" s="102">
        <v>1</v>
      </c>
      <c r="I77" s="263"/>
      <c r="J77" s="140">
        <v>48797.984320000112</v>
      </c>
      <c r="K77" s="139">
        <v>31823</v>
      </c>
      <c r="L77" s="119">
        <v>430</v>
      </c>
      <c r="M77" s="119">
        <f t="shared" si="13"/>
        <v>48797.984320000112</v>
      </c>
      <c r="N77" s="121">
        <f t="shared" si="14"/>
        <v>31823</v>
      </c>
      <c r="O77" s="120">
        <f t="shared" si="15"/>
        <v>430</v>
      </c>
      <c r="P77" s="121"/>
      <c r="Q77" s="122">
        <f ca="1">+IF($E77=Q$47,SUM($M77:OFFSET($M77,0,IF(YEAR(Q$47)=VALUE(LEFT($K$47,4)),1,2))),
IF(YEAR($E77)&lt;VALUE(LEFT($K$47,4)),($M77+$N77)/12,0))</f>
        <v>0</v>
      </c>
      <c r="R77" s="119">
        <f ca="1">+IF($E77=R$47,SUM($M77:OFFSET($M77,0,IF(YEAR(R$47)=VALUE(LEFT($K$47,4)),1,2))),
IF(YEAR($E77)&lt;VALUE(LEFT($K$47,4)),($M77+$N77)/12,0))</f>
        <v>0</v>
      </c>
      <c r="S77" s="119">
        <f ca="1">+IF($E77=S$47,SUM($M77:OFFSET($M77,0,IF(YEAR(S$47)=VALUE(LEFT($K$47,4)),1,2))),
IF(YEAR($E77)&lt;VALUE(LEFT($K$47,4)),($M77+$N77)/12,0))</f>
        <v>0</v>
      </c>
      <c r="T77" s="119">
        <f ca="1">+IF($E77=T$47,SUM($M77:OFFSET($M77,0,IF(YEAR(T$47)=VALUE(LEFT($K$47,4)),1,2))),
IF(YEAR($E77)&lt;VALUE(LEFT($K$47,4)),($M77+$N77)/12,0))</f>
        <v>0</v>
      </c>
      <c r="U77" s="119">
        <f ca="1">+IF($E77=U$47,SUM($M77:OFFSET($M77,0,IF(YEAR(U$47)=VALUE(LEFT($K$47,4)),1,2))),
IF(YEAR($E77)&lt;VALUE(LEFT($K$47,4)),($M77+$N77)/12,0))</f>
        <v>0</v>
      </c>
      <c r="V77" s="119">
        <f ca="1">+IF($E77=V$47,SUM($M77:OFFSET($M77,0,IF(YEAR(V$47)=VALUE(LEFT($K$47,4)),1,2))),
IF(YEAR($E77)&lt;VALUE(LEFT($K$47,4)),($M77+$N77)/12,0))</f>
        <v>0</v>
      </c>
      <c r="W77" s="119">
        <f ca="1">+IF($E77=W$47,SUM($M77:OFFSET($M77,0,IF(YEAR(W$47)=VALUE(LEFT($K$47,4)),1,2))),
IF(YEAR($E77)&lt;VALUE(LEFT($K$47,4)),($M77+$N77)/12,0))</f>
        <v>0</v>
      </c>
      <c r="X77" s="119">
        <f ca="1">+IF($E77=X$47,SUM($M77:OFFSET($M77,0,IF(YEAR(X$47)=VALUE(LEFT($K$47,4)),1,2))),
IF(YEAR($E77)&lt;VALUE(LEFT($K$47,4)),($M77+$N77)/12,0))</f>
        <v>0</v>
      </c>
      <c r="Y77" s="119">
        <f ca="1">+IF($E77=Y$47,SUM($M77:OFFSET($M77,0,IF(YEAR(Y$47)=VALUE(LEFT($K$47,4)),1,2))),
IF(YEAR($E77)&lt;VALUE(LEFT($K$47,4)),($M77+$N77)/12,0))</f>
        <v>0</v>
      </c>
      <c r="Z77" s="119">
        <f ca="1">+IF($E77=Z$47,SUM($M77:OFFSET($M77,0,IF(YEAR(Z$47)=VALUE(LEFT($K$47,4)),1,2))),
IF(YEAR($E77)&lt;VALUE(LEFT($K$47,4)),($M77+$N77)/12,0))</f>
        <v>0</v>
      </c>
      <c r="AA77" s="119">
        <f ca="1">+IF($E77=AA$47,SUM($M77:OFFSET($M77,0,IF(YEAR(AA$47)=VALUE(LEFT($K$47,4)),1,2))),
IF(YEAR($E77)&lt;VALUE(LEFT($K$47,4)),($M77+$N77)/12,0))</f>
        <v>80620.984320000105</v>
      </c>
      <c r="AB77" s="120">
        <f ca="1">+IF($E77=AB$47,SUM($M77:OFFSET($M77,0,IF(YEAR(AB$47)=VALUE(LEFT($K$47,4)),1,2))),
IF(YEAR($E77)&lt;VALUE(LEFT($K$47,4)),($M77+$N77)/12,0))</f>
        <v>0</v>
      </c>
      <c r="AC77" s="122">
        <f ca="1">+IF($E77=AC$47,SUM($M77:OFFSET($M77,0,IF(YEAR(AC$47)=VALUE(LEFT($K$47,4)),1,2))),
IF(YEAR($E77)&lt;=2015,$O77/12,0))</f>
        <v>35.833333333333336</v>
      </c>
      <c r="AD77" s="119">
        <f ca="1">+IF($E77=AD$47,SUM($M77:OFFSET($M77,0,IF(YEAR(AD$47)=VALUE(LEFT($K$47,4)),1,2))),
IF(YEAR($E77)&lt;=2015,$O77/12,0))</f>
        <v>35.833333333333336</v>
      </c>
      <c r="AE77" s="119">
        <f ca="1">+IF($E77=AE$47,SUM($M77:OFFSET($M77,0,IF(YEAR(AE$47)=VALUE(LEFT($K$47,4)),1,2))),
IF(YEAR($E77)&lt;=2015,$O77/12,0))</f>
        <v>35.833333333333336</v>
      </c>
      <c r="AF77" s="119">
        <f ca="1">+IF($E77=AF$47,SUM($M77:OFFSET($M77,0,IF(YEAR(AF$47)=VALUE(LEFT($K$47,4)),1,2))),
IF(YEAR($E77)&lt;=2015,$O77/12,0))</f>
        <v>35.833333333333336</v>
      </c>
      <c r="AG77" s="119">
        <f ca="1">+IF($E77=AG$47,SUM($M77:OFFSET($M77,0,IF(YEAR(AG$47)=VALUE(LEFT($K$47,4)),1,2))),
IF(YEAR($E77)&lt;=2015,$O77/12,0))</f>
        <v>35.833333333333336</v>
      </c>
      <c r="AH77" s="119">
        <f ca="1">+IF($E77=AH$47,SUM($M77:OFFSET($M77,0,IF(YEAR(AH$47)=VALUE(LEFT($K$47,4)),1,2))),
IF(YEAR($E77)&lt;=2015,$O77/12,0))</f>
        <v>35.833333333333336</v>
      </c>
      <c r="AI77" s="119">
        <f ca="1">+IF($E77=AI$47,SUM($M77:OFFSET($M77,0,IF(YEAR(AI$47)=VALUE(LEFT($K$47,4)),1,2))),
IF(YEAR($E77)&lt;=2015,$O77/12,0))</f>
        <v>35.833333333333336</v>
      </c>
      <c r="AJ77" s="119">
        <f ca="1">+IF($E77=AJ$47,SUM($M77:OFFSET($M77,0,IF(YEAR(AJ$47)=VALUE(LEFT($K$47,4)),1,2))),
IF(YEAR($E77)&lt;=2015,$O77/12,0))</f>
        <v>35.833333333333336</v>
      </c>
      <c r="AK77" s="119">
        <f ca="1">+IF($E77=AK$47,SUM($M77:OFFSET($M77,0,IF(YEAR(AK$47)=VALUE(LEFT($K$47,4)),1,2))),
IF(YEAR($E77)&lt;=2015,$O77/12,0))</f>
        <v>35.833333333333336</v>
      </c>
      <c r="AL77" s="119">
        <f ca="1">+IF($E77=AL$47,SUM($M77:OFFSET($M77,0,IF(YEAR(AL$47)=VALUE(LEFT($K$47,4)),1,2))),
IF(YEAR($E77)&lt;=2015,$O77/12,0))</f>
        <v>35.833333333333336</v>
      </c>
      <c r="AM77" s="119">
        <f ca="1">+IF($E77=AM$47,SUM($M77:OFFSET($M77,0,IF(YEAR(AM$47)=VALUE(LEFT($K$47,4)),1,2))),
IF(YEAR($E77)&lt;=2015,$O77/12,0))</f>
        <v>35.833333333333336</v>
      </c>
      <c r="AN77" s="120">
        <f ca="1">+IF($E77=AN$47,SUM($M77:OFFSET($M77,0,IF(YEAR(AN$47)=VALUE(LEFT($K$47,4)),1,2))),
IF(YEAR($E77)&lt;=2015,$O77/12,0))</f>
        <v>35.833333333333336</v>
      </c>
      <c r="AO77" s="121"/>
    </row>
    <row r="78" spans="1:41" s="105" customFormat="1" ht="15" x14ac:dyDescent="0.25">
      <c r="A78" s="96" t="s">
        <v>408</v>
      </c>
      <c r="B78" s="97" t="s">
        <v>409</v>
      </c>
      <c r="C78" s="98">
        <v>7248</v>
      </c>
      <c r="D78" s="99" t="s">
        <v>70</v>
      </c>
      <c r="E78" s="100">
        <v>42309</v>
      </c>
      <c r="F78" s="97" t="s">
        <v>71</v>
      </c>
      <c r="G78" s="101">
        <v>0</v>
      </c>
      <c r="H78" s="102">
        <v>1</v>
      </c>
      <c r="I78" s="263"/>
      <c r="J78" s="140">
        <v>134.58592999999999</v>
      </c>
      <c r="K78" s="139">
        <v>795</v>
      </c>
      <c r="L78" s="119">
        <v>0</v>
      </c>
      <c r="M78" s="119">
        <f t="shared" si="13"/>
        <v>134.58592999999999</v>
      </c>
      <c r="N78" s="121">
        <f t="shared" si="14"/>
        <v>795</v>
      </c>
      <c r="O78" s="120">
        <f t="shared" si="15"/>
        <v>0</v>
      </c>
      <c r="P78" s="121"/>
      <c r="Q78" s="122">
        <f ca="1">+IF($E78=Q$47,SUM($M78:OFFSET($M78,0,IF(YEAR(Q$47)=VALUE(LEFT($K$47,4)),1,2))),
IF(YEAR($E78)&lt;VALUE(LEFT($K$47,4)),($M78+$N78)/12,0))</f>
        <v>0</v>
      </c>
      <c r="R78" s="119">
        <f ca="1">+IF($E78=R$47,SUM($M78:OFFSET($M78,0,IF(YEAR(R$47)=VALUE(LEFT($K$47,4)),1,2))),
IF(YEAR($E78)&lt;VALUE(LEFT($K$47,4)),($M78+$N78)/12,0))</f>
        <v>0</v>
      </c>
      <c r="S78" s="119">
        <f ca="1">+IF($E78=S$47,SUM($M78:OFFSET($M78,0,IF(YEAR(S$47)=VALUE(LEFT($K$47,4)),1,2))),
IF(YEAR($E78)&lt;VALUE(LEFT($K$47,4)),($M78+$N78)/12,0))</f>
        <v>0</v>
      </c>
      <c r="T78" s="119">
        <f ca="1">+IF($E78=T$47,SUM($M78:OFFSET($M78,0,IF(YEAR(T$47)=VALUE(LEFT($K$47,4)),1,2))),
IF(YEAR($E78)&lt;VALUE(LEFT($K$47,4)),($M78+$N78)/12,0))</f>
        <v>0</v>
      </c>
      <c r="U78" s="119">
        <f ca="1">+IF($E78=U$47,SUM($M78:OFFSET($M78,0,IF(YEAR(U$47)=VALUE(LEFT($K$47,4)),1,2))),
IF(YEAR($E78)&lt;VALUE(LEFT($K$47,4)),($M78+$N78)/12,0))</f>
        <v>0</v>
      </c>
      <c r="V78" s="119">
        <f ca="1">+IF($E78=V$47,SUM($M78:OFFSET($M78,0,IF(YEAR(V$47)=VALUE(LEFT($K$47,4)),1,2))),
IF(YEAR($E78)&lt;VALUE(LEFT($K$47,4)),($M78+$N78)/12,0))</f>
        <v>0</v>
      </c>
      <c r="W78" s="119">
        <f ca="1">+IF($E78=W$47,SUM($M78:OFFSET($M78,0,IF(YEAR(W$47)=VALUE(LEFT($K$47,4)),1,2))),
IF(YEAR($E78)&lt;VALUE(LEFT($K$47,4)),($M78+$N78)/12,0))</f>
        <v>0</v>
      </c>
      <c r="X78" s="119">
        <f ca="1">+IF($E78=X$47,SUM($M78:OFFSET($M78,0,IF(YEAR(X$47)=VALUE(LEFT($K$47,4)),1,2))),
IF(YEAR($E78)&lt;VALUE(LEFT($K$47,4)),($M78+$N78)/12,0))</f>
        <v>0</v>
      </c>
      <c r="Y78" s="119">
        <f ca="1">+IF($E78=Y$47,SUM($M78:OFFSET($M78,0,IF(YEAR(Y$47)=VALUE(LEFT($K$47,4)),1,2))),
IF(YEAR($E78)&lt;VALUE(LEFT($K$47,4)),($M78+$N78)/12,0))</f>
        <v>0</v>
      </c>
      <c r="Z78" s="119">
        <f ca="1">+IF($E78=Z$47,SUM($M78:OFFSET($M78,0,IF(YEAR(Z$47)=VALUE(LEFT($K$47,4)),1,2))),
IF(YEAR($E78)&lt;VALUE(LEFT($K$47,4)),($M78+$N78)/12,0))</f>
        <v>0</v>
      </c>
      <c r="AA78" s="119">
        <f ca="1">+IF($E78=AA$47,SUM($M78:OFFSET($M78,0,IF(YEAR(AA$47)=VALUE(LEFT($K$47,4)),1,2))),
IF(YEAR($E78)&lt;VALUE(LEFT($K$47,4)),($M78+$N78)/12,0))</f>
        <v>929.58592999999996</v>
      </c>
      <c r="AB78" s="120">
        <f ca="1">+IF($E78=AB$47,SUM($M78:OFFSET($M78,0,IF(YEAR(AB$47)=VALUE(LEFT($K$47,4)),1,2))),
IF(YEAR($E78)&lt;VALUE(LEFT($K$47,4)),($M78+$N78)/12,0))</f>
        <v>0</v>
      </c>
      <c r="AC78" s="122">
        <f ca="1">+IF($E78=AC$47,SUM($M78:OFFSET($M78,0,IF(YEAR(AC$47)=VALUE(LEFT($K$47,4)),1,2))),
IF(YEAR($E78)&lt;=2015,$O78/12,0))</f>
        <v>0</v>
      </c>
      <c r="AD78" s="119">
        <f ca="1">+IF($E78=AD$47,SUM($M78:OFFSET($M78,0,IF(YEAR(AD$47)=VALUE(LEFT($K$47,4)),1,2))),
IF(YEAR($E78)&lt;=2015,$O78/12,0))</f>
        <v>0</v>
      </c>
      <c r="AE78" s="119">
        <f ca="1">+IF($E78=AE$47,SUM($M78:OFFSET($M78,0,IF(YEAR(AE$47)=VALUE(LEFT($K$47,4)),1,2))),
IF(YEAR($E78)&lt;=2015,$O78/12,0))</f>
        <v>0</v>
      </c>
      <c r="AF78" s="119">
        <f ca="1">+IF($E78=AF$47,SUM($M78:OFFSET($M78,0,IF(YEAR(AF$47)=VALUE(LEFT($K$47,4)),1,2))),
IF(YEAR($E78)&lt;=2015,$O78/12,0))</f>
        <v>0</v>
      </c>
      <c r="AG78" s="119">
        <f ca="1">+IF($E78=AG$47,SUM($M78:OFFSET($M78,0,IF(YEAR(AG$47)=VALUE(LEFT($K$47,4)),1,2))),
IF(YEAR($E78)&lt;=2015,$O78/12,0))</f>
        <v>0</v>
      </c>
      <c r="AH78" s="119">
        <f ca="1">+IF($E78=AH$47,SUM($M78:OFFSET($M78,0,IF(YEAR(AH$47)=VALUE(LEFT($K$47,4)),1,2))),
IF(YEAR($E78)&lt;=2015,$O78/12,0))</f>
        <v>0</v>
      </c>
      <c r="AI78" s="119">
        <f ca="1">+IF($E78=AI$47,SUM($M78:OFFSET($M78,0,IF(YEAR(AI$47)=VALUE(LEFT($K$47,4)),1,2))),
IF(YEAR($E78)&lt;=2015,$O78/12,0))</f>
        <v>0</v>
      </c>
      <c r="AJ78" s="119">
        <f ca="1">+IF($E78=AJ$47,SUM($M78:OFFSET($M78,0,IF(YEAR(AJ$47)=VALUE(LEFT($K$47,4)),1,2))),
IF(YEAR($E78)&lt;=2015,$O78/12,0))</f>
        <v>0</v>
      </c>
      <c r="AK78" s="119">
        <f ca="1">+IF($E78=AK$47,SUM($M78:OFFSET($M78,0,IF(YEAR(AK$47)=VALUE(LEFT($K$47,4)),1,2))),
IF(YEAR($E78)&lt;=2015,$O78/12,0))</f>
        <v>0</v>
      </c>
      <c r="AL78" s="119">
        <f ca="1">+IF($E78=AL$47,SUM($M78:OFFSET($M78,0,IF(YEAR(AL$47)=VALUE(LEFT($K$47,4)),1,2))),
IF(YEAR($E78)&lt;=2015,$O78/12,0))</f>
        <v>0</v>
      </c>
      <c r="AM78" s="119">
        <f ca="1">+IF($E78=AM$47,SUM($M78:OFFSET($M78,0,IF(YEAR(AM$47)=VALUE(LEFT($K$47,4)),1,2))),
IF(YEAR($E78)&lt;=2015,$O78/12,0))</f>
        <v>0</v>
      </c>
      <c r="AN78" s="120">
        <f ca="1">+IF($E78=AN$47,SUM($M78:OFFSET($M78,0,IF(YEAR(AN$47)=VALUE(LEFT($K$47,4)),1,2))),
IF(YEAR($E78)&lt;=2015,$O78/12,0))</f>
        <v>0</v>
      </c>
      <c r="AO78" s="121"/>
    </row>
    <row r="79" spans="1:41" s="105" customFormat="1" ht="15" x14ac:dyDescent="0.25">
      <c r="A79" s="96" t="s">
        <v>410</v>
      </c>
      <c r="B79" s="97" t="s">
        <v>411</v>
      </c>
      <c r="C79" s="98">
        <v>7248</v>
      </c>
      <c r="D79" s="99" t="s">
        <v>70</v>
      </c>
      <c r="E79" s="100">
        <v>42309</v>
      </c>
      <c r="F79" s="97" t="s">
        <v>78</v>
      </c>
      <c r="G79" s="101">
        <v>0</v>
      </c>
      <c r="H79" s="102">
        <v>1</v>
      </c>
      <c r="I79" s="263"/>
      <c r="J79" s="140">
        <v>101.21631000000001</v>
      </c>
      <c r="K79" s="139">
        <v>26</v>
      </c>
      <c r="L79" s="119">
        <v>0</v>
      </c>
      <c r="M79" s="119">
        <f t="shared" si="13"/>
        <v>101.21631000000001</v>
      </c>
      <c r="N79" s="121">
        <f t="shared" si="14"/>
        <v>26</v>
      </c>
      <c r="O79" s="120">
        <f t="shared" si="15"/>
        <v>0</v>
      </c>
      <c r="P79" s="121"/>
      <c r="Q79" s="122">
        <f ca="1">+IF($E79=Q$47,SUM($M79:OFFSET($M79,0,IF(YEAR(Q$47)=VALUE(LEFT($K$47,4)),1,2))),
IF(YEAR($E79)&lt;VALUE(LEFT($K$47,4)),($M79+$N79)/12,0))</f>
        <v>0</v>
      </c>
      <c r="R79" s="119">
        <f ca="1">+IF($E79=R$47,SUM($M79:OFFSET($M79,0,IF(YEAR(R$47)=VALUE(LEFT($K$47,4)),1,2))),
IF(YEAR($E79)&lt;VALUE(LEFT($K$47,4)),($M79+$N79)/12,0))</f>
        <v>0</v>
      </c>
      <c r="S79" s="119">
        <f ca="1">+IF($E79=S$47,SUM($M79:OFFSET($M79,0,IF(YEAR(S$47)=VALUE(LEFT($K$47,4)),1,2))),
IF(YEAR($E79)&lt;VALUE(LEFT($K$47,4)),($M79+$N79)/12,0))</f>
        <v>0</v>
      </c>
      <c r="T79" s="119">
        <f ca="1">+IF($E79=T$47,SUM($M79:OFFSET($M79,0,IF(YEAR(T$47)=VALUE(LEFT($K$47,4)),1,2))),
IF(YEAR($E79)&lt;VALUE(LEFT($K$47,4)),($M79+$N79)/12,0))</f>
        <v>0</v>
      </c>
      <c r="U79" s="119">
        <f ca="1">+IF($E79=U$47,SUM($M79:OFFSET($M79,0,IF(YEAR(U$47)=VALUE(LEFT($K$47,4)),1,2))),
IF(YEAR($E79)&lt;VALUE(LEFT($K$47,4)),($M79+$N79)/12,0))</f>
        <v>0</v>
      </c>
      <c r="V79" s="119">
        <f ca="1">+IF($E79=V$47,SUM($M79:OFFSET($M79,0,IF(YEAR(V$47)=VALUE(LEFT($K$47,4)),1,2))),
IF(YEAR($E79)&lt;VALUE(LEFT($K$47,4)),($M79+$N79)/12,0))</f>
        <v>0</v>
      </c>
      <c r="W79" s="119">
        <f ca="1">+IF($E79=W$47,SUM($M79:OFFSET($M79,0,IF(YEAR(W$47)=VALUE(LEFT($K$47,4)),1,2))),
IF(YEAR($E79)&lt;VALUE(LEFT($K$47,4)),($M79+$N79)/12,0))</f>
        <v>0</v>
      </c>
      <c r="X79" s="119">
        <f ca="1">+IF($E79=X$47,SUM($M79:OFFSET($M79,0,IF(YEAR(X$47)=VALUE(LEFT($K$47,4)),1,2))),
IF(YEAR($E79)&lt;VALUE(LEFT($K$47,4)),($M79+$N79)/12,0))</f>
        <v>0</v>
      </c>
      <c r="Y79" s="119">
        <f ca="1">+IF($E79=Y$47,SUM($M79:OFFSET($M79,0,IF(YEAR(Y$47)=VALUE(LEFT($K$47,4)),1,2))),
IF(YEAR($E79)&lt;VALUE(LEFT($K$47,4)),($M79+$N79)/12,0))</f>
        <v>0</v>
      </c>
      <c r="Z79" s="119">
        <f ca="1">+IF($E79=Z$47,SUM($M79:OFFSET($M79,0,IF(YEAR(Z$47)=VALUE(LEFT($K$47,4)),1,2))),
IF(YEAR($E79)&lt;VALUE(LEFT($K$47,4)),($M79+$N79)/12,0))</f>
        <v>0</v>
      </c>
      <c r="AA79" s="119">
        <f ca="1">+IF($E79=AA$47,SUM($M79:OFFSET($M79,0,IF(YEAR(AA$47)=VALUE(LEFT($K$47,4)),1,2))),
IF(YEAR($E79)&lt;VALUE(LEFT($K$47,4)),($M79+$N79)/12,0))</f>
        <v>127.21631000000001</v>
      </c>
      <c r="AB79" s="120">
        <f ca="1">+IF($E79=AB$47,SUM($M79:OFFSET($M79,0,IF(YEAR(AB$47)=VALUE(LEFT($K$47,4)),1,2))),
IF(YEAR($E79)&lt;VALUE(LEFT($K$47,4)),($M79+$N79)/12,0))</f>
        <v>0</v>
      </c>
      <c r="AC79" s="122">
        <f ca="1">+IF($E79=AC$47,SUM($M79:OFFSET($M79,0,IF(YEAR(AC$47)=VALUE(LEFT($K$47,4)),1,2))),
IF(YEAR($E79)&lt;=2015,$O79/12,0))</f>
        <v>0</v>
      </c>
      <c r="AD79" s="119">
        <f ca="1">+IF($E79=AD$47,SUM($M79:OFFSET($M79,0,IF(YEAR(AD$47)=VALUE(LEFT($K$47,4)),1,2))),
IF(YEAR($E79)&lt;=2015,$O79/12,0))</f>
        <v>0</v>
      </c>
      <c r="AE79" s="119">
        <f ca="1">+IF($E79=AE$47,SUM($M79:OFFSET($M79,0,IF(YEAR(AE$47)=VALUE(LEFT($K$47,4)),1,2))),
IF(YEAR($E79)&lt;=2015,$O79/12,0))</f>
        <v>0</v>
      </c>
      <c r="AF79" s="119">
        <f ca="1">+IF($E79=AF$47,SUM($M79:OFFSET($M79,0,IF(YEAR(AF$47)=VALUE(LEFT($K$47,4)),1,2))),
IF(YEAR($E79)&lt;=2015,$O79/12,0))</f>
        <v>0</v>
      </c>
      <c r="AG79" s="119">
        <f ca="1">+IF($E79=AG$47,SUM($M79:OFFSET($M79,0,IF(YEAR(AG$47)=VALUE(LEFT($K$47,4)),1,2))),
IF(YEAR($E79)&lt;=2015,$O79/12,0))</f>
        <v>0</v>
      </c>
      <c r="AH79" s="119">
        <f ca="1">+IF($E79=AH$47,SUM($M79:OFFSET($M79,0,IF(YEAR(AH$47)=VALUE(LEFT($K$47,4)),1,2))),
IF(YEAR($E79)&lt;=2015,$O79/12,0))</f>
        <v>0</v>
      </c>
      <c r="AI79" s="119">
        <f ca="1">+IF($E79=AI$47,SUM($M79:OFFSET($M79,0,IF(YEAR(AI$47)=VALUE(LEFT($K$47,4)),1,2))),
IF(YEAR($E79)&lt;=2015,$O79/12,0))</f>
        <v>0</v>
      </c>
      <c r="AJ79" s="119">
        <f ca="1">+IF($E79=AJ$47,SUM($M79:OFFSET($M79,0,IF(YEAR(AJ$47)=VALUE(LEFT($K$47,4)),1,2))),
IF(YEAR($E79)&lt;=2015,$O79/12,0))</f>
        <v>0</v>
      </c>
      <c r="AK79" s="119">
        <f ca="1">+IF($E79=AK$47,SUM($M79:OFFSET($M79,0,IF(YEAR(AK$47)=VALUE(LEFT($K$47,4)),1,2))),
IF(YEAR($E79)&lt;=2015,$O79/12,0))</f>
        <v>0</v>
      </c>
      <c r="AL79" s="119">
        <f ca="1">+IF($E79=AL$47,SUM($M79:OFFSET($M79,0,IF(YEAR(AL$47)=VALUE(LEFT($K$47,4)),1,2))),
IF(YEAR($E79)&lt;=2015,$O79/12,0))</f>
        <v>0</v>
      </c>
      <c r="AM79" s="119">
        <f ca="1">+IF($E79=AM$47,SUM($M79:OFFSET($M79,0,IF(YEAR(AM$47)=VALUE(LEFT($K$47,4)),1,2))),
IF(YEAR($E79)&lt;=2015,$O79/12,0))</f>
        <v>0</v>
      </c>
      <c r="AN79" s="120">
        <f ca="1">+IF($E79=AN$47,SUM($M79:OFFSET($M79,0,IF(YEAR(AN$47)=VALUE(LEFT($K$47,4)),1,2))),
IF(YEAR($E79)&lt;=2015,$O79/12,0))</f>
        <v>0</v>
      </c>
      <c r="AO79" s="121"/>
    </row>
    <row r="80" spans="1:41" s="105" customFormat="1" ht="15" x14ac:dyDescent="0.25">
      <c r="A80" s="96" t="s">
        <v>410</v>
      </c>
      <c r="B80" s="97" t="s">
        <v>412</v>
      </c>
      <c r="C80" s="98">
        <v>7248</v>
      </c>
      <c r="D80" s="99" t="s">
        <v>70</v>
      </c>
      <c r="E80" s="100">
        <v>42309</v>
      </c>
      <c r="F80" s="97" t="s">
        <v>78</v>
      </c>
      <c r="G80" s="101">
        <v>0</v>
      </c>
      <c r="H80" s="102">
        <v>1</v>
      </c>
      <c r="I80" s="263"/>
      <c r="J80" s="140">
        <v>0</v>
      </c>
      <c r="K80" s="139">
        <v>50</v>
      </c>
      <c r="L80" s="119">
        <v>0</v>
      </c>
      <c r="M80" s="119">
        <f t="shared" si="13"/>
        <v>0</v>
      </c>
      <c r="N80" s="121">
        <f t="shared" si="14"/>
        <v>50</v>
      </c>
      <c r="O80" s="120">
        <f t="shared" si="15"/>
        <v>0</v>
      </c>
      <c r="P80" s="121"/>
      <c r="Q80" s="122">
        <f ca="1">+IF($E80=Q$47,SUM($M80:OFFSET($M80,0,IF(YEAR(Q$47)=VALUE(LEFT($K$47,4)),1,2))),
IF(YEAR($E80)&lt;VALUE(LEFT($K$47,4)),($M80+$N80)/12,0))</f>
        <v>0</v>
      </c>
      <c r="R80" s="119">
        <f ca="1">+IF($E80=R$47,SUM($M80:OFFSET($M80,0,IF(YEAR(R$47)=VALUE(LEFT($K$47,4)),1,2))),
IF(YEAR($E80)&lt;VALUE(LEFT($K$47,4)),($M80+$N80)/12,0))</f>
        <v>0</v>
      </c>
      <c r="S80" s="119">
        <f ca="1">+IF($E80=S$47,SUM($M80:OFFSET($M80,0,IF(YEAR(S$47)=VALUE(LEFT($K$47,4)),1,2))),
IF(YEAR($E80)&lt;VALUE(LEFT($K$47,4)),($M80+$N80)/12,0))</f>
        <v>0</v>
      </c>
      <c r="T80" s="119">
        <f ca="1">+IF($E80=T$47,SUM($M80:OFFSET($M80,0,IF(YEAR(T$47)=VALUE(LEFT($K$47,4)),1,2))),
IF(YEAR($E80)&lt;VALUE(LEFT($K$47,4)),($M80+$N80)/12,0))</f>
        <v>0</v>
      </c>
      <c r="U80" s="119">
        <f ca="1">+IF($E80=U$47,SUM($M80:OFFSET($M80,0,IF(YEAR(U$47)=VALUE(LEFT($K$47,4)),1,2))),
IF(YEAR($E80)&lt;VALUE(LEFT($K$47,4)),($M80+$N80)/12,0))</f>
        <v>0</v>
      </c>
      <c r="V80" s="119">
        <f ca="1">+IF($E80=V$47,SUM($M80:OFFSET($M80,0,IF(YEAR(V$47)=VALUE(LEFT($K$47,4)),1,2))),
IF(YEAR($E80)&lt;VALUE(LEFT($K$47,4)),($M80+$N80)/12,0))</f>
        <v>0</v>
      </c>
      <c r="W80" s="119">
        <f ca="1">+IF($E80=W$47,SUM($M80:OFFSET($M80,0,IF(YEAR(W$47)=VALUE(LEFT($K$47,4)),1,2))),
IF(YEAR($E80)&lt;VALUE(LEFT($K$47,4)),($M80+$N80)/12,0))</f>
        <v>0</v>
      </c>
      <c r="X80" s="119">
        <f ca="1">+IF($E80=X$47,SUM($M80:OFFSET($M80,0,IF(YEAR(X$47)=VALUE(LEFT($K$47,4)),1,2))),
IF(YEAR($E80)&lt;VALUE(LEFT($K$47,4)),($M80+$N80)/12,0))</f>
        <v>0</v>
      </c>
      <c r="Y80" s="119">
        <f ca="1">+IF($E80=Y$47,SUM($M80:OFFSET($M80,0,IF(YEAR(Y$47)=VALUE(LEFT($K$47,4)),1,2))),
IF(YEAR($E80)&lt;VALUE(LEFT($K$47,4)),($M80+$N80)/12,0))</f>
        <v>0</v>
      </c>
      <c r="Z80" s="119">
        <f ca="1">+IF($E80=Z$47,SUM($M80:OFFSET($M80,0,IF(YEAR(Z$47)=VALUE(LEFT($K$47,4)),1,2))),
IF(YEAR($E80)&lt;VALUE(LEFT($K$47,4)),($M80+$N80)/12,0))</f>
        <v>0</v>
      </c>
      <c r="AA80" s="119">
        <f ca="1">+IF($E80=AA$47,SUM($M80:OFFSET($M80,0,IF(YEAR(AA$47)=VALUE(LEFT($K$47,4)),1,2))),
IF(YEAR($E80)&lt;VALUE(LEFT($K$47,4)),($M80+$N80)/12,0))</f>
        <v>50</v>
      </c>
      <c r="AB80" s="120">
        <f ca="1">+IF($E80=AB$47,SUM($M80:OFFSET($M80,0,IF(YEAR(AB$47)=VALUE(LEFT($K$47,4)),1,2))),
IF(YEAR($E80)&lt;VALUE(LEFT($K$47,4)),($M80+$N80)/12,0))</f>
        <v>0</v>
      </c>
      <c r="AC80" s="122">
        <f ca="1">+IF($E80=AC$47,SUM($M80:OFFSET($M80,0,IF(YEAR(AC$47)=VALUE(LEFT($K$47,4)),1,2))),
IF(YEAR($E80)&lt;=2015,$O80/12,0))</f>
        <v>0</v>
      </c>
      <c r="AD80" s="119">
        <f ca="1">+IF($E80=AD$47,SUM($M80:OFFSET($M80,0,IF(YEAR(AD$47)=VALUE(LEFT($K$47,4)),1,2))),
IF(YEAR($E80)&lt;=2015,$O80/12,0))</f>
        <v>0</v>
      </c>
      <c r="AE80" s="119">
        <f ca="1">+IF($E80=AE$47,SUM($M80:OFFSET($M80,0,IF(YEAR(AE$47)=VALUE(LEFT($K$47,4)),1,2))),
IF(YEAR($E80)&lt;=2015,$O80/12,0))</f>
        <v>0</v>
      </c>
      <c r="AF80" s="119">
        <f ca="1">+IF($E80=AF$47,SUM($M80:OFFSET($M80,0,IF(YEAR(AF$47)=VALUE(LEFT($K$47,4)),1,2))),
IF(YEAR($E80)&lt;=2015,$O80/12,0))</f>
        <v>0</v>
      </c>
      <c r="AG80" s="119">
        <f ca="1">+IF($E80=AG$47,SUM($M80:OFFSET($M80,0,IF(YEAR(AG$47)=VALUE(LEFT($K$47,4)),1,2))),
IF(YEAR($E80)&lt;=2015,$O80/12,0))</f>
        <v>0</v>
      </c>
      <c r="AH80" s="119">
        <f ca="1">+IF($E80=AH$47,SUM($M80:OFFSET($M80,0,IF(YEAR(AH$47)=VALUE(LEFT($K$47,4)),1,2))),
IF(YEAR($E80)&lt;=2015,$O80/12,0))</f>
        <v>0</v>
      </c>
      <c r="AI80" s="119">
        <f ca="1">+IF($E80=AI$47,SUM($M80:OFFSET($M80,0,IF(YEAR(AI$47)=VALUE(LEFT($K$47,4)),1,2))),
IF(YEAR($E80)&lt;=2015,$O80/12,0))</f>
        <v>0</v>
      </c>
      <c r="AJ80" s="119">
        <f ca="1">+IF($E80=AJ$47,SUM($M80:OFFSET($M80,0,IF(YEAR(AJ$47)=VALUE(LEFT($K$47,4)),1,2))),
IF(YEAR($E80)&lt;=2015,$O80/12,0))</f>
        <v>0</v>
      </c>
      <c r="AK80" s="119">
        <f ca="1">+IF($E80=AK$47,SUM($M80:OFFSET($M80,0,IF(YEAR(AK$47)=VALUE(LEFT($K$47,4)),1,2))),
IF(YEAR($E80)&lt;=2015,$O80/12,0))</f>
        <v>0</v>
      </c>
      <c r="AL80" s="119">
        <f ca="1">+IF($E80=AL$47,SUM($M80:OFFSET($M80,0,IF(YEAR(AL$47)=VALUE(LEFT($K$47,4)),1,2))),
IF(YEAR($E80)&lt;=2015,$O80/12,0))</f>
        <v>0</v>
      </c>
      <c r="AM80" s="119">
        <f ca="1">+IF($E80=AM$47,SUM($M80:OFFSET($M80,0,IF(YEAR(AM$47)=VALUE(LEFT($K$47,4)),1,2))),
IF(YEAR($E80)&lt;=2015,$O80/12,0))</f>
        <v>0</v>
      </c>
      <c r="AN80" s="120">
        <f ca="1">+IF($E80=AN$47,SUM($M80:OFFSET($M80,0,IF(YEAR(AN$47)=VALUE(LEFT($K$47,4)),1,2))),
IF(YEAR($E80)&lt;=2015,$O80/12,0))</f>
        <v>0</v>
      </c>
      <c r="AO80" s="121"/>
    </row>
    <row r="81" spans="1:44" ht="15" x14ac:dyDescent="0.25">
      <c r="A81" s="96" t="s">
        <v>140</v>
      </c>
      <c r="B81" s="97" t="s">
        <v>141</v>
      </c>
      <c r="C81" s="98">
        <v>7376</v>
      </c>
      <c r="D81" s="99" t="s">
        <v>70</v>
      </c>
      <c r="E81" s="100">
        <v>42339</v>
      </c>
      <c r="F81" s="97" t="s">
        <v>78</v>
      </c>
      <c r="G81" s="101">
        <v>0</v>
      </c>
      <c r="H81" s="102">
        <v>1</v>
      </c>
      <c r="I81" s="263"/>
      <c r="J81" s="140">
        <v>94.752350000000007</v>
      </c>
      <c r="K81" s="139">
        <v>866</v>
      </c>
      <c r="L81" s="119">
        <v>800</v>
      </c>
      <c r="M81" s="119">
        <f t="shared" si="13"/>
        <v>94.752350000000007</v>
      </c>
      <c r="N81" s="121">
        <f t="shared" si="14"/>
        <v>866</v>
      </c>
      <c r="O81" s="120">
        <f t="shared" si="15"/>
        <v>800</v>
      </c>
      <c r="P81" s="121"/>
      <c r="Q81" s="122">
        <f ca="1">+IF($E81=Q$47,SUM($M81:OFFSET($M81,0,IF(YEAR(Q$47)=VALUE(LEFT($K$47,4)),1,2))),
IF(YEAR($E81)&lt;VALUE(LEFT($K$47,4)),($M81+$N81)/12,0))</f>
        <v>0</v>
      </c>
      <c r="R81" s="119">
        <f ca="1">+IF($E81=R$47,SUM($M81:OFFSET($M81,0,IF(YEAR(R$47)=VALUE(LEFT($K$47,4)),1,2))),
IF(YEAR($E81)&lt;VALUE(LEFT($K$47,4)),($M81+$N81)/12,0))</f>
        <v>0</v>
      </c>
      <c r="S81" s="119">
        <f ca="1">+IF($E81=S$47,SUM($M81:OFFSET($M81,0,IF(YEAR(S$47)=VALUE(LEFT($K$47,4)),1,2))),
IF(YEAR($E81)&lt;VALUE(LEFT($K$47,4)),($M81+$N81)/12,0))</f>
        <v>0</v>
      </c>
      <c r="T81" s="119">
        <f ca="1">+IF($E81=T$47,SUM($M81:OFFSET($M81,0,IF(YEAR(T$47)=VALUE(LEFT($K$47,4)),1,2))),
IF(YEAR($E81)&lt;VALUE(LEFT($K$47,4)),($M81+$N81)/12,0))</f>
        <v>0</v>
      </c>
      <c r="U81" s="119">
        <f ca="1">+IF($E81=U$47,SUM($M81:OFFSET($M81,0,IF(YEAR(U$47)=VALUE(LEFT($K$47,4)),1,2))),
IF(YEAR($E81)&lt;VALUE(LEFT($K$47,4)),($M81+$N81)/12,0))</f>
        <v>0</v>
      </c>
      <c r="V81" s="119">
        <f ca="1">+IF($E81=V$47,SUM($M81:OFFSET($M81,0,IF(YEAR(V$47)=VALUE(LEFT($K$47,4)),1,2))),
IF(YEAR($E81)&lt;VALUE(LEFT($K$47,4)),($M81+$N81)/12,0))</f>
        <v>0</v>
      </c>
      <c r="W81" s="119">
        <f ca="1">+IF($E81=W$47,SUM($M81:OFFSET($M81,0,IF(YEAR(W$47)=VALUE(LEFT($K$47,4)),1,2))),
IF(YEAR($E81)&lt;VALUE(LEFT($K$47,4)),($M81+$N81)/12,0))</f>
        <v>0</v>
      </c>
      <c r="X81" s="119">
        <f ca="1">+IF($E81=X$47,SUM($M81:OFFSET($M81,0,IF(YEAR(X$47)=VALUE(LEFT($K$47,4)),1,2))),
IF(YEAR($E81)&lt;VALUE(LEFT($K$47,4)),($M81+$N81)/12,0))</f>
        <v>0</v>
      </c>
      <c r="Y81" s="119">
        <f ca="1">+IF($E81=Y$47,SUM($M81:OFFSET($M81,0,IF(YEAR(Y$47)=VALUE(LEFT($K$47,4)),1,2))),
IF(YEAR($E81)&lt;VALUE(LEFT($K$47,4)),($M81+$N81)/12,0))</f>
        <v>0</v>
      </c>
      <c r="Z81" s="119">
        <f ca="1">+IF($E81=Z$47,SUM($M81:OFFSET($M81,0,IF(YEAR(Z$47)=VALUE(LEFT($K$47,4)),1,2))),
IF(YEAR($E81)&lt;VALUE(LEFT($K$47,4)),($M81+$N81)/12,0))</f>
        <v>0</v>
      </c>
      <c r="AA81" s="119">
        <f ca="1">+IF($E81=AA$47,SUM($M81:OFFSET($M81,0,IF(YEAR(AA$47)=VALUE(LEFT($K$47,4)),1,2))),
IF(YEAR($E81)&lt;VALUE(LEFT($K$47,4)),($M81+$N81)/12,0))</f>
        <v>0</v>
      </c>
      <c r="AB81" s="120">
        <f ca="1">+IF($E81=AB$47,SUM($M81:OFFSET($M81,0,IF(YEAR(AB$47)=VALUE(LEFT($K$47,4)),1,2))),
IF(YEAR($E81)&lt;VALUE(LEFT($K$47,4)),($M81+$N81)/12,0))</f>
        <v>960.75234999999998</v>
      </c>
      <c r="AC81" s="122">
        <f ca="1">+IF($E81=AC$47,SUM($M81:OFFSET($M81,0,IF(YEAR(AC$47)=VALUE(LEFT($K$47,4)),1,2))),
IF(YEAR($E81)&lt;=2015,$O81/12,0))</f>
        <v>66.666666666666671</v>
      </c>
      <c r="AD81" s="119">
        <f ca="1">+IF($E81=AD$47,SUM($M81:OFFSET($M81,0,IF(YEAR(AD$47)=VALUE(LEFT($K$47,4)),1,2))),
IF(YEAR($E81)&lt;=2015,$O81/12,0))</f>
        <v>66.666666666666671</v>
      </c>
      <c r="AE81" s="119">
        <f ca="1">+IF($E81=AE$47,SUM($M81:OFFSET($M81,0,IF(YEAR(AE$47)=VALUE(LEFT($K$47,4)),1,2))),
IF(YEAR($E81)&lt;=2015,$O81/12,0))</f>
        <v>66.666666666666671</v>
      </c>
      <c r="AF81" s="119">
        <f ca="1">+IF($E81=AF$47,SUM($M81:OFFSET($M81,0,IF(YEAR(AF$47)=VALUE(LEFT($K$47,4)),1,2))),
IF(YEAR($E81)&lt;=2015,$O81/12,0))</f>
        <v>66.666666666666671</v>
      </c>
      <c r="AG81" s="119">
        <f ca="1">+IF($E81=AG$47,SUM($M81:OFFSET($M81,0,IF(YEAR(AG$47)=VALUE(LEFT($K$47,4)),1,2))),
IF(YEAR($E81)&lt;=2015,$O81/12,0))</f>
        <v>66.666666666666671</v>
      </c>
      <c r="AH81" s="119">
        <f ca="1">+IF($E81=AH$47,SUM($M81:OFFSET($M81,0,IF(YEAR(AH$47)=VALUE(LEFT($K$47,4)),1,2))),
IF(YEAR($E81)&lt;=2015,$O81/12,0))</f>
        <v>66.666666666666671</v>
      </c>
      <c r="AI81" s="119">
        <f ca="1">+IF($E81=AI$47,SUM($M81:OFFSET($M81,0,IF(YEAR(AI$47)=VALUE(LEFT($K$47,4)),1,2))),
IF(YEAR($E81)&lt;=2015,$O81/12,0))</f>
        <v>66.666666666666671</v>
      </c>
      <c r="AJ81" s="119">
        <f ca="1">+IF($E81=AJ$47,SUM($M81:OFFSET($M81,0,IF(YEAR(AJ$47)=VALUE(LEFT($K$47,4)),1,2))),
IF(YEAR($E81)&lt;=2015,$O81/12,0))</f>
        <v>66.666666666666671</v>
      </c>
      <c r="AK81" s="119">
        <f ca="1">+IF($E81=AK$47,SUM($M81:OFFSET($M81,0,IF(YEAR(AK$47)=VALUE(LEFT($K$47,4)),1,2))),
IF(YEAR($E81)&lt;=2015,$O81/12,0))</f>
        <v>66.666666666666671</v>
      </c>
      <c r="AL81" s="119">
        <f ca="1">+IF($E81=AL$47,SUM($M81:OFFSET($M81,0,IF(YEAR(AL$47)=VALUE(LEFT($K$47,4)),1,2))),
IF(YEAR($E81)&lt;=2015,$O81/12,0))</f>
        <v>66.666666666666671</v>
      </c>
      <c r="AM81" s="119">
        <f ca="1">+IF($E81=AM$47,SUM($M81:OFFSET($M81,0,IF(YEAR(AM$47)=VALUE(LEFT($K$47,4)),1,2))),
IF(YEAR($E81)&lt;=2015,$O81/12,0))</f>
        <v>66.666666666666671</v>
      </c>
      <c r="AN81" s="120">
        <f ca="1">+IF($E81=AN$47,SUM($M81:OFFSET($M81,0,IF(YEAR(AN$47)=VALUE(LEFT($K$47,4)),1,2))),
IF(YEAR($E81)&lt;=2015,$O81/12,0))</f>
        <v>66.666666666666671</v>
      </c>
      <c r="AO81" s="121"/>
      <c r="AQ81" s="105"/>
      <c r="AR81" s="105"/>
    </row>
    <row r="82" spans="1:44" ht="15" x14ac:dyDescent="0.25">
      <c r="A82" s="96" t="s">
        <v>140</v>
      </c>
      <c r="B82" s="97" t="s">
        <v>413</v>
      </c>
      <c r="C82" s="98">
        <v>7376</v>
      </c>
      <c r="D82" s="99" t="s">
        <v>70</v>
      </c>
      <c r="E82" s="100">
        <v>42705</v>
      </c>
      <c r="F82" s="97" t="s">
        <v>78</v>
      </c>
      <c r="G82" s="101">
        <v>0</v>
      </c>
      <c r="H82" s="102">
        <v>1</v>
      </c>
      <c r="I82" s="263"/>
      <c r="J82" s="140">
        <v>1.4014699999999998</v>
      </c>
      <c r="K82" s="139">
        <v>180</v>
      </c>
      <c r="L82" s="119">
        <v>1416</v>
      </c>
      <c r="M82" s="119">
        <f t="shared" si="13"/>
        <v>1.4014699999999998</v>
      </c>
      <c r="N82" s="121">
        <f t="shared" si="14"/>
        <v>180</v>
      </c>
      <c r="O82" s="120">
        <f t="shared" si="15"/>
        <v>1416</v>
      </c>
      <c r="P82" s="121"/>
      <c r="Q82" s="122">
        <f ca="1">+IF($E82=Q$47,SUM($M82:OFFSET($M82,0,IF(YEAR(Q$47)=VALUE(LEFT($K$47,4)),1,2))),
IF(YEAR($E82)&lt;VALUE(LEFT($K$47,4)),($M82+$N82)/12,0))</f>
        <v>0</v>
      </c>
      <c r="R82" s="119">
        <f ca="1">+IF($E82=R$47,SUM($M82:OFFSET($M82,0,IF(YEAR(R$47)=VALUE(LEFT($K$47,4)),1,2))),
IF(YEAR($E82)&lt;VALUE(LEFT($K$47,4)),($M82+$N82)/12,0))</f>
        <v>0</v>
      </c>
      <c r="S82" s="119">
        <f ca="1">+IF($E82=S$47,SUM($M82:OFFSET($M82,0,IF(YEAR(S$47)=VALUE(LEFT($K$47,4)),1,2))),
IF(YEAR($E82)&lt;VALUE(LEFT($K$47,4)),($M82+$N82)/12,0))</f>
        <v>0</v>
      </c>
      <c r="T82" s="119">
        <f ca="1">+IF($E82=T$47,SUM($M82:OFFSET($M82,0,IF(YEAR(T$47)=VALUE(LEFT($K$47,4)),1,2))),
IF(YEAR($E82)&lt;VALUE(LEFT($K$47,4)),($M82+$N82)/12,0))</f>
        <v>0</v>
      </c>
      <c r="U82" s="119">
        <f ca="1">+IF($E82=U$47,SUM($M82:OFFSET($M82,0,IF(YEAR(U$47)=VALUE(LEFT($K$47,4)),1,2))),
IF(YEAR($E82)&lt;VALUE(LEFT($K$47,4)),($M82+$N82)/12,0))</f>
        <v>0</v>
      </c>
      <c r="V82" s="119">
        <f ca="1">+IF($E82=V$47,SUM($M82:OFFSET($M82,0,IF(YEAR(V$47)=VALUE(LEFT($K$47,4)),1,2))),
IF(YEAR($E82)&lt;VALUE(LEFT($K$47,4)),($M82+$N82)/12,0))</f>
        <v>0</v>
      </c>
      <c r="W82" s="119">
        <f ca="1">+IF($E82=W$47,SUM($M82:OFFSET($M82,0,IF(YEAR(W$47)=VALUE(LEFT($K$47,4)),1,2))),
IF(YEAR($E82)&lt;VALUE(LEFT($K$47,4)),($M82+$N82)/12,0))</f>
        <v>0</v>
      </c>
      <c r="X82" s="119">
        <f ca="1">+IF($E82=X$47,SUM($M82:OFFSET($M82,0,IF(YEAR(X$47)=VALUE(LEFT($K$47,4)),1,2))),
IF(YEAR($E82)&lt;VALUE(LEFT($K$47,4)),($M82+$N82)/12,0))</f>
        <v>0</v>
      </c>
      <c r="Y82" s="119">
        <f ca="1">+IF($E82=Y$47,SUM($M82:OFFSET($M82,0,IF(YEAR(Y$47)=VALUE(LEFT($K$47,4)),1,2))),
IF(YEAR($E82)&lt;VALUE(LEFT($K$47,4)),($M82+$N82)/12,0))</f>
        <v>0</v>
      </c>
      <c r="Z82" s="119">
        <f ca="1">+IF($E82=Z$47,SUM($M82:OFFSET($M82,0,IF(YEAR(Z$47)=VALUE(LEFT($K$47,4)),1,2))),
IF(YEAR($E82)&lt;VALUE(LEFT($K$47,4)),($M82+$N82)/12,0))</f>
        <v>0</v>
      </c>
      <c r="AA82" s="119">
        <f ca="1">+IF($E82=AA$47,SUM($M82:OFFSET($M82,0,IF(YEAR(AA$47)=VALUE(LEFT($K$47,4)),1,2))),
IF(YEAR($E82)&lt;VALUE(LEFT($K$47,4)),($M82+$N82)/12,0))</f>
        <v>0</v>
      </c>
      <c r="AB82" s="120">
        <f ca="1">+IF($E82=AB$47,SUM($M82:OFFSET($M82,0,IF(YEAR(AB$47)=VALUE(LEFT($K$47,4)),1,2))),
IF(YEAR($E82)&lt;VALUE(LEFT($K$47,4)),($M82+$N82)/12,0))</f>
        <v>0</v>
      </c>
      <c r="AC82" s="122">
        <f ca="1">+IF($E82=AC$47,SUM($M82:OFFSET($M82,0,IF(YEAR(AC$47)=VALUE(LEFT($K$47,4)),1,2))),
IF(YEAR($E82)&lt;=2015,$O82/12,0))</f>
        <v>0</v>
      </c>
      <c r="AD82" s="119">
        <f ca="1">+IF($E82=AD$47,SUM($M82:OFFSET($M82,0,IF(YEAR(AD$47)=VALUE(LEFT($K$47,4)),1,2))),
IF(YEAR($E82)&lt;=2015,$O82/12,0))</f>
        <v>0</v>
      </c>
      <c r="AE82" s="119">
        <f ca="1">+IF($E82=AE$47,SUM($M82:OFFSET($M82,0,IF(YEAR(AE$47)=VALUE(LEFT($K$47,4)),1,2))),
IF(YEAR($E82)&lt;=2015,$O82/12,0))</f>
        <v>0</v>
      </c>
      <c r="AF82" s="119">
        <f ca="1">+IF($E82=AF$47,SUM($M82:OFFSET($M82,0,IF(YEAR(AF$47)=VALUE(LEFT($K$47,4)),1,2))),
IF(YEAR($E82)&lt;=2015,$O82/12,0))</f>
        <v>0</v>
      </c>
      <c r="AG82" s="119">
        <f ca="1">+IF($E82=AG$47,SUM($M82:OFFSET($M82,0,IF(YEAR(AG$47)=VALUE(LEFT($K$47,4)),1,2))),
IF(YEAR($E82)&lt;=2015,$O82/12,0))</f>
        <v>0</v>
      </c>
      <c r="AH82" s="119">
        <f ca="1">+IF($E82=AH$47,SUM($M82:OFFSET($M82,0,IF(YEAR(AH$47)=VALUE(LEFT($K$47,4)),1,2))),
IF(YEAR($E82)&lt;=2015,$O82/12,0))</f>
        <v>0</v>
      </c>
      <c r="AI82" s="119">
        <f ca="1">+IF($E82=AI$47,SUM($M82:OFFSET($M82,0,IF(YEAR(AI$47)=VALUE(LEFT($K$47,4)),1,2))),
IF(YEAR($E82)&lt;=2015,$O82/12,0))</f>
        <v>0</v>
      </c>
      <c r="AJ82" s="119">
        <f ca="1">+IF($E82=AJ$47,SUM($M82:OFFSET($M82,0,IF(YEAR(AJ$47)=VALUE(LEFT($K$47,4)),1,2))),
IF(YEAR($E82)&lt;=2015,$O82/12,0))</f>
        <v>0</v>
      </c>
      <c r="AK82" s="119">
        <f ca="1">+IF($E82=AK$47,SUM($M82:OFFSET($M82,0,IF(YEAR(AK$47)=VALUE(LEFT($K$47,4)),1,2))),
IF(YEAR($E82)&lt;=2015,$O82/12,0))</f>
        <v>0</v>
      </c>
      <c r="AL82" s="119">
        <f ca="1">+IF($E82=AL$47,SUM($M82:OFFSET($M82,0,IF(YEAR(AL$47)=VALUE(LEFT($K$47,4)),1,2))),
IF(YEAR($E82)&lt;=2015,$O82/12,0))</f>
        <v>0</v>
      </c>
      <c r="AM82" s="119">
        <f ca="1">+IF($E82=AM$47,SUM($M82:OFFSET($M82,0,IF(YEAR(AM$47)=VALUE(LEFT($K$47,4)),1,2))),
IF(YEAR($E82)&lt;=2015,$O82/12,0))</f>
        <v>0</v>
      </c>
      <c r="AN82" s="120">
        <f ca="1">+IF($E82=AN$47,SUM($M82:OFFSET($M82,0,IF(YEAR(AN$47)=VALUE(LEFT($K$47,4)),1,2))),
IF(YEAR($E82)&lt;=2015,$O82/12,0))</f>
        <v>1597.40147</v>
      </c>
      <c r="AO82" s="121"/>
      <c r="AQ82" s="105"/>
      <c r="AR82" s="105"/>
    </row>
    <row r="83" spans="1:44" ht="15" x14ac:dyDescent="0.25">
      <c r="A83" s="96" t="s">
        <v>142</v>
      </c>
      <c r="B83" s="97" t="s">
        <v>143</v>
      </c>
      <c r="C83" s="98">
        <v>7426</v>
      </c>
      <c r="D83" s="99" t="s">
        <v>70</v>
      </c>
      <c r="E83" s="100">
        <v>42278</v>
      </c>
      <c r="F83" s="97" t="s">
        <v>78</v>
      </c>
      <c r="G83" s="101">
        <v>0</v>
      </c>
      <c r="H83" s="102">
        <v>1</v>
      </c>
      <c r="I83" s="263"/>
      <c r="J83" s="140">
        <v>11421.314710000002</v>
      </c>
      <c r="K83" s="139">
        <v>8405</v>
      </c>
      <c r="L83" s="119">
        <v>0</v>
      </c>
      <c r="M83" s="119">
        <f t="shared" si="13"/>
        <v>11421.314710000002</v>
      </c>
      <c r="N83" s="121">
        <f t="shared" si="14"/>
        <v>8405</v>
      </c>
      <c r="O83" s="120">
        <f t="shared" si="15"/>
        <v>0</v>
      </c>
      <c r="P83" s="121"/>
      <c r="Q83" s="122">
        <f ca="1">+IF($E83=Q$47,SUM($M83:OFFSET($M83,0,IF(YEAR(Q$47)=VALUE(LEFT($K$47,4)),1,2))),
IF(YEAR($E83)&lt;VALUE(LEFT($K$47,4)),($M83+$N83)/12,0))</f>
        <v>0</v>
      </c>
      <c r="R83" s="119">
        <f ca="1">+IF($E83=R$47,SUM($M83:OFFSET($M83,0,IF(YEAR(R$47)=VALUE(LEFT($K$47,4)),1,2))),
IF(YEAR($E83)&lt;VALUE(LEFT($K$47,4)),($M83+$N83)/12,0))</f>
        <v>0</v>
      </c>
      <c r="S83" s="119">
        <f ca="1">+IF($E83=S$47,SUM($M83:OFFSET($M83,0,IF(YEAR(S$47)=VALUE(LEFT($K$47,4)),1,2))),
IF(YEAR($E83)&lt;VALUE(LEFT($K$47,4)),($M83+$N83)/12,0))</f>
        <v>0</v>
      </c>
      <c r="T83" s="119">
        <f ca="1">+IF($E83=T$47,SUM($M83:OFFSET($M83,0,IF(YEAR(T$47)=VALUE(LEFT($K$47,4)),1,2))),
IF(YEAR($E83)&lt;VALUE(LEFT($K$47,4)),($M83+$N83)/12,0))</f>
        <v>0</v>
      </c>
      <c r="U83" s="119">
        <f ca="1">+IF($E83=U$47,SUM($M83:OFFSET($M83,0,IF(YEAR(U$47)=VALUE(LEFT($K$47,4)),1,2))),
IF(YEAR($E83)&lt;VALUE(LEFT($K$47,4)),($M83+$N83)/12,0))</f>
        <v>0</v>
      </c>
      <c r="V83" s="119">
        <f ca="1">+IF($E83=V$47,SUM($M83:OFFSET($M83,0,IF(YEAR(V$47)=VALUE(LEFT($K$47,4)),1,2))),
IF(YEAR($E83)&lt;VALUE(LEFT($K$47,4)),($M83+$N83)/12,0))</f>
        <v>0</v>
      </c>
      <c r="W83" s="119">
        <f ca="1">+IF($E83=W$47,SUM($M83:OFFSET($M83,0,IF(YEAR(W$47)=VALUE(LEFT($K$47,4)),1,2))),
IF(YEAR($E83)&lt;VALUE(LEFT($K$47,4)),($M83+$N83)/12,0))</f>
        <v>0</v>
      </c>
      <c r="X83" s="119">
        <f ca="1">+IF($E83=X$47,SUM($M83:OFFSET($M83,0,IF(YEAR(X$47)=VALUE(LEFT($K$47,4)),1,2))),
IF(YEAR($E83)&lt;VALUE(LEFT($K$47,4)),($M83+$N83)/12,0))</f>
        <v>0</v>
      </c>
      <c r="Y83" s="119">
        <f ca="1">+IF($E83=Y$47,SUM($M83:OFFSET($M83,0,IF(YEAR(Y$47)=VALUE(LEFT($K$47,4)),1,2))),
IF(YEAR($E83)&lt;VALUE(LEFT($K$47,4)),($M83+$N83)/12,0))</f>
        <v>0</v>
      </c>
      <c r="Z83" s="119">
        <f ca="1">+IF($E83=Z$47,SUM($M83:OFFSET($M83,0,IF(YEAR(Z$47)=VALUE(LEFT($K$47,4)),1,2))),
IF(YEAR($E83)&lt;VALUE(LEFT($K$47,4)),($M83+$N83)/12,0))</f>
        <v>19826.314710000002</v>
      </c>
      <c r="AA83" s="119">
        <f ca="1">+IF($E83=AA$47,SUM($M83:OFFSET($M83,0,IF(YEAR(AA$47)=VALUE(LEFT($K$47,4)),1,2))),
IF(YEAR($E83)&lt;VALUE(LEFT($K$47,4)),($M83+$N83)/12,0))</f>
        <v>0</v>
      </c>
      <c r="AB83" s="120">
        <f ca="1">+IF($E83=AB$47,SUM($M83:OFFSET($M83,0,IF(YEAR(AB$47)=VALUE(LEFT($K$47,4)),1,2))),
IF(YEAR($E83)&lt;VALUE(LEFT($K$47,4)),($M83+$N83)/12,0))</f>
        <v>0</v>
      </c>
      <c r="AC83" s="122">
        <f ca="1">+IF($E83=AC$47,SUM($M83:OFFSET($M83,0,IF(YEAR(AC$47)=VALUE(LEFT($K$47,4)),1,2))),
IF(YEAR($E83)&lt;=2015,$O83/12,0))</f>
        <v>0</v>
      </c>
      <c r="AD83" s="119">
        <f ca="1">+IF($E83=AD$47,SUM($M83:OFFSET($M83,0,IF(YEAR(AD$47)=VALUE(LEFT($K$47,4)),1,2))),
IF(YEAR($E83)&lt;=2015,$O83/12,0))</f>
        <v>0</v>
      </c>
      <c r="AE83" s="119">
        <f ca="1">+IF($E83=AE$47,SUM($M83:OFFSET($M83,0,IF(YEAR(AE$47)=VALUE(LEFT($K$47,4)),1,2))),
IF(YEAR($E83)&lt;=2015,$O83/12,0))</f>
        <v>0</v>
      </c>
      <c r="AF83" s="119">
        <f ca="1">+IF($E83=AF$47,SUM($M83:OFFSET($M83,0,IF(YEAR(AF$47)=VALUE(LEFT($K$47,4)),1,2))),
IF(YEAR($E83)&lt;=2015,$O83/12,0))</f>
        <v>0</v>
      </c>
      <c r="AG83" s="119">
        <f ca="1">+IF($E83=AG$47,SUM($M83:OFFSET($M83,0,IF(YEAR(AG$47)=VALUE(LEFT($K$47,4)),1,2))),
IF(YEAR($E83)&lt;=2015,$O83/12,0))</f>
        <v>0</v>
      </c>
      <c r="AH83" s="119">
        <f ca="1">+IF($E83=AH$47,SUM($M83:OFFSET($M83,0,IF(YEAR(AH$47)=VALUE(LEFT($K$47,4)),1,2))),
IF(YEAR($E83)&lt;=2015,$O83/12,0))</f>
        <v>0</v>
      </c>
      <c r="AI83" s="119">
        <f ca="1">+IF($E83=AI$47,SUM($M83:OFFSET($M83,0,IF(YEAR(AI$47)=VALUE(LEFT($K$47,4)),1,2))),
IF(YEAR($E83)&lt;=2015,$O83/12,0))</f>
        <v>0</v>
      </c>
      <c r="AJ83" s="119">
        <f ca="1">+IF($E83=AJ$47,SUM($M83:OFFSET($M83,0,IF(YEAR(AJ$47)=VALUE(LEFT($K$47,4)),1,2))),
IF(YEAR($E83)&lt;=2015,$O83/12,0))</f>
        <v>0</v>
      </c>
      <c r="AK83" s="119">
        <f ca="1">+IF($E83=AK$47,SUM($M83:OFFSET($M83,0,IF(YEAR(AK$47)=VALUE(LEFT($K$47,4)),1,2))),
IF(YEAR($E83)&lt;=2015,$O83/12,0))</f>
        <v>0</v>
      </c>
      <c r="AL83" s="119">
        <f ca="1">+IF($E83=AL$47,SUM($M83:OFFSET($M83,0,IF(YEAR(AL$47)=VALUE(LEFT($K$47,4)),1,2))),
IF(YEAR($E83)&lt;=2015,$O83/12,0))</f>
        <v>0</v>
      </c>
      <c r="AM83" s="119">
        <f ca="1">+IF($E83=AM$47,SUM($M83:OFFSET($M83,0,IF(YEAR(AM$47)=VALUE(LEFT($K$47,4)),1,2))),
IF(YEAR($E83)&lt;=2015,$O83/12,0))</f>
        <v>0</v>
      </c>
      <c r="AN83" s="120">
        <f ca="1">+IF($E83=AN$47,SUM($M83:OFFSET($M83,0,IF(YEAR(AN$47)=VALUE(LEFT($K$47,4)),1,2))),
IF(YEAR($E83)&lt;=2015,$O83/12,0))</f>
        <v>0</v>
      </c>
      <c r="AO83" s="121"/>
      <c r="AQ83" s="105"/>
      <c r="AR83" s="105"/>
    </row>
    <row r="84" spans="1:44" ht="15" x14ac:dyDescent="0.25">
      <c r="A84" s="96" t="s">
        <v>142</v>
      </c>
      <c r="B84" s="97" t="s">
        <v>144</v>
      </c>
      <c r="C84" s="98">
        <v>7426</v>
      </c>
      <c r="D84" s="99" t="s">
        <v>70</v>
      </c>
      <c r="E84" s="100">
        <v>42278</v>
      </c>
      <c r="F84" s="97" t="s">
        <v>71</v>
      </c>
      <c r="G84" s="101">
        <v>0</v>
      </c>
      <c r="H84" s="102">
        <v>1</v>
      </c>
      <c r="I84" s="263"/>
      <c r="J84" s="140">
        <v>347.13588000000004</v>
      </c>
      <c r="K84" s="139">
        <v>4252</v>
      </c>
      <c r="L84" s="119">
        <v>0</v>
      </c>
      <c r="M84" s="119">
        <f t="shared" si="13"/>
        <v>347.13588000000004</v>
      </c>
      <c r="N84" s="121">
        <f t="shared" si="14"/>
        <v>4252</v>
      </c>
      <c r="O84" s="120">
        <f t="shared" si="15"/>
        <v>0</v>
      </c>
      <c r="P84" s="121"/>
      <c r="Q84" s="122">
        <f ca="1">+IF($E84=Q$47,SUM($M84:OFFSET($M84,0,IF(YEAR(Q$47)=VALUE(LEFT($K$47,4)),1,2))),
IF(YEAR($E84)&lt;VALUE(LEFT($K$47,4)),($M84+$N84)/12,0))</f>
        <v>0</v>
      </c>
      <c r="R84" s="119">
        <f ca="1">+IF($E84=R$47,SUM($M84:OFFSET($M84,0,IF(YEAR(R$47)=VALUE(LEFT($K$47,4)),1,2))),
IF(YEAR($E84)&lt;VALUE(LEFT($K$47,4)),($M84+$N84)/12,0))</f>
        <v>0</v>
      </c>
      <c r="S84" s="119">
        <f ca="1">+IF($E84=S$47,SUM($M84:OFFSET($M84,0,IF(YEAR(S$47)=VALUE(LEFT($K$47,4)),1,2))),
IF(YEAR($E84)&lt;VALUE(LEFT($K$47,4)),($M84+$N84)/12,0))</f>
        <v>0</v>
      </c>
      <c r="T84" s="119">
        <f ca="1">+IF($E84=T$47,SUM($M84:OFFSET($M84,0,IF(YEAR(T$47)=VALUE(LEFT($K$47,4)),1,2))),
IF(YEAR($E84)&lt;VALUE(LEFT($K$47,4)),($M84+$N84)/12,0))</f>
        <v>0</v>
      </c>
      <c r="U84" s="119">
        <f ca="1">+IF($E84=U$47,SUM($M84:OFFSET($M84,0,IF(YEAR(U$47)=VALUE(LEFT($K$47,4)),1,2))),
IF(YEAR($E84)&lt;VALUE(LEFT($K$47,4)),($M84+$N84)/12,0))</f>
        <v>0</v>
      </c>
      <c r="V84" s="119">
        <f ca="1">+IF($E84=V$47,SUM($M84:OFFSET($M84,0,IF(YEAR(V$47)=VALUE(LEFT($K$47,4)),1,2))),
IF(YEAR($E84)&lt;VALUE(LEFT($K$47,4)),($M84+$N84)/12,0))</f>
        <v>0</v>
      </c>
      <c r="W84" s="119">
        <f ca="1">+IF($E84=W$47,SUM($M84:OFFSET($M84,0,IF(YEAR(W$47)=VALUE(LEFT($K$47,4)),1,2))),
IF(YEAR($E84)&lt;VALUE(LEFT($K$47,4)),($M84+$N84)/12,0))</f>
        <v>0</v>
      </c>
      <c r="X84" s="119">
        <f ca="1">+IF($E84=X$47,SUM($M84:OFFSET($M84,0,IF(YEAR(X$47)=VALUE(LEFT($K$47,4)),1,2))),
IF(YEAR($E84)&lt;VALUE(LEFT($K$47,4)),($M84+$N84)/12,0))</f>
        <v>0</v>
      </c>
      <c r="Y84" s="119">
        <f ca="1">+IF($E84=Y$47,SUM($M84:OFFSET($M84,0,IF(YEAR(Y$47)=VALUE(LEFT($K$47,4)),1,2))),
IF(YEAR($E84)&lt;VALUE(LEFT($K$47,4)),($M84+$N84)/12,0))</f>
        <v>0</v>
      </c>
      <c r="Z84" s="119">
        <f ca="1">+IF($E84=Z$47,SUM($M84:OFFSET($M84,0,IF(YEAR(Z$47)=VALUE(LEFT($K$47,4)),1,2))),
IF(YEAR($E84)&lt;VALUE(LEFT($K$47,4)),($M84+$N84)/12,0))</f>
        <v>4599.1358799999998</v>
      </c>
      <c r="AA84" s="119">
        <f ca="1">+IF($E84=AA$47,SUM($M84:OFFSET($M84,0,IF(YEAR(AA$47)=VALUE(LEFT($K$47,4)),1,2))),
IF(YEAR($E84)&lt;VALUE(LEFT($K$47,4)),($M84+$N84)/12,0))</f>
        <v>0</v>
      </c>
      <c r="AB84" s="120">
        <f ca="1">+IF($E84=AB$47,SUM($M84:OFFSET($M84,0,IF(YEAR(AB$47)=VALUE(LEFT($K$47,4)),1,2))),
IF(YEAR($E84)&lt;VALUE(LEFT($K$47,4)),($M84+$N84)/12,0))</f>
        <v>0</v>
      </c>
      <c r="AC84" s="122">
        <f ca="1">+IF($E84=AC$47,SUM($M84:OFFSET($M84,0,IF(YEAR(AC$47)=VALUE(LEFT($K$47,4)),1,2))),
IF(YEAR($E84)&lt;=2015,$O84/12,0))</f>
        <v>0</v>
      </c>
      <c r="AD84" s="119">
        <f ca="1">+IF($E84=AD$47,SUM($M84:OFFSET($M84,0,IF(YEAR(AD$47)=VALUE(LEFT($K$47,4)),1,2))),
IF(YEAR($E84)&lt;=2015,$O84/12,0))</f>
        <v>0</v>
      </c>
      <c r="AE84" s="119">
        <f ca="1">+IF($E84=AE$47,SUM($M84:OFFSET($M84,0,IF(YEAR(AE$47)=VALUE(LEFT($K$47,4)),1,2))),
IF(YEAR($E84)&lt;=2015,$O84/12,0))</f>
        <v>0</v>
      </c>
      <c r="AF84" s="119">
        <f ca="1">+IF($E84=AF$47,SUM($M84:OFFSET($M84,0,IF(YEAR(AF$47)=VALUE(LEFT($K$47,4)),1,2))),
IF(YEAR($E84)&lt;=2015,$O84/12,0))</f>
        <v>0</v>
      </c>
      <c r="AG84" s="119">
        <f ca="1">+IF($E84=AG$47,SUM($M84:OFFSET($M84,0,IF(YEAR(AG$47)=VALUE(LEFT($K$47,4)),1,2))),
IF(YEAR($E84)&lt;=2015,$O84/12,0))</f>
        <v>0</v>
      </c>
      <c r="AH84" s="119">
        <f ca="1">+IF($E84=AH$47,SUM($M84:OFFSET($M84,0,IF(YEAR(AH$47)=VALUE(LEFT($K$47,4)),1,2))),
IF(YEAR($E84)&lt;=2015,$O84/12,0))</f>
        <v>0</v>
      </c>
      <c r="AI84" s="119">
        <f ca="1">+IF($E84=AI$47,SUM($M84:OFFSET($M84,0,IF(YEAR(AI$47)=VALUE(LEFT($K$47,4)),1,2))),
IF(YEAR($E84)&lt;=2015,$O84/12,0))</f>
        <v>0</v>
      </c>
      <c r="AJ84" s="119">
        <f ca="1">+IF($E84=AJ$47,SUM($M84:OFFSET($M84,0,IF(YEAR(AJ$47)=VALUE(LEFT($K$47,4)),1,2))),
IF(YEAR($E84)&lt;=2015,$O84/12,0))</f>
        <v>0</v>
      </c>
      <c r="AK84" s="119">
        <f ca="1">+IF($E84=AK$47,SUM($M84:OFFSET($M84,0,IF(YEAR(AK$47)=VALUE(LEFT($K$47,4)),1,2))),
IF(YEAR($E84)&lt;=2015,$O84/12,0))</f>
        <v>0</v>
      </c>
      <c r="AL84" s="119">
        <f ca="1">+IF($E84=AL$47,SUM($M84:OFFSET($M84,0,IF(YEAR(AL$47)=VALUE(LEFT($K$47,4)),1,2))),
IF(YEAR($E84)&lt;=2015,$O84/12,0))</f>
        <v>0</v>
      </c>
      <c r="AM84" s="119">
        <f ca="1">+IF($E84=AM$47,SUM($M84:OFFSET($M84,0,IF(YEAR(AM$47)=VALUE(LEFT($K$47,4)),1,2))),
IF(YEAR($E84)&lt;=2015,$O84/12,0))</f>
        <v>0</v>
      </c>
      <c r="AN84" s="120">
        <f ca="1">+IF($E84=AN$47,SUM($M84:OFFSET($M84,0,IF(YEAR(AN$47)=VALUE(LEFT($K$47,4)),1,2))),
IF(YEAR($E84)&lt;=2015,$O84/12,0))</f>
        <v>0</v>
      </c>
      <c r="AO84" s="121"/>
      <c r="AQ84" s="105"/>
      <c r="AR84" s="105"/>
    </row>
    <row r="85" spans="1:44" ht="15" x14ac:dyDescent="0.25">
      <c r="A85" s="96" t="s">
        <v>414</v>
      </c>
      <c r="B85" s="97" t="s">
        <v>415</v>
      </c>
      <c r="C85" s="98">
        <v>7426</v>
      </c>
      <c r="D85" s="99" t="s">
        <v>70</v>
      </c>
      <c r="E85" s="100">
        <v>42278</v>
      </c>
      <c r="F85" s="97" t="s">
        <v>78</v>
      </c>
      <c r="G85" s="101">
        <v>0</v>
      </c>
      <c r="H85" s="102">
        <v>1</v>
      </c>
      <c r="I85" s="263"/>
      <c r="J85" s="140">
        <v>44.169629999999991</v>
      </c>
      <c r="K85" s="139">
        <v>24</v>
      </c>
      <c r="L85" s="119">
        <v>0</v>
      </c>
      <c r="M85" s="119">
        <f t="shared" si="13"/>
        <v>44.169629999999991</v>
      </c>
      <c r="N85" s="121">
        <f t="shared" si="14"/>
        <v>24</v>
      </c>
      <c r="O85" s="120">
        <f t="shared" si="15"/>
        <v>0</v>
      </c>
      <c r="P85" s="121"/>
      <c r="Q85" s="122">
        <f ca="1">+IF($E85=Q$47,SUM($M85:OFFSET($M85,0,IF(YEAR(Q$47)=VALUE(LEFT($K$47,4)),1,2))),
IF(YEAR($E85)&lt;VALUE(LEFT($K$47,4)),($M85+$N85)/12,0))</f>
        <v>0</v>
      </c>
      <c r="R85" s="119">
        <f ca="1">+IF($E85=R$47,SUM($M85:OFFSET($M85,0,IF(YEAR(R$47)=VALUE(LEFT($K$47,4)),1,2))),
IF(YEAR($E85)&lt;VALUE(LEFT($K$47,4)),($M85+$N85)/12,0))</f>
        <v>0</v>
      </c>
      <c r="S85" s="119">
        <f ca="1">+IF($E85=S$47,SUM($M85:OFFSET($M85,0,IF(YEAR(S$47)=VALUE(LEFT($K$47,4)),1,2))),
IF(YEAR($E85)&lt;VALUE(LEFT($K$47,4)),($M85+$N85)/12,0))</f>
        <v>0</v>
      </c>
      <c r="T85" s="119">
        <f ca="1">+IF($E85=T$47,SUM($M85:OFFSET($M85,0,IF(YEAR(T$47)=VALUE(LEFT($K$47,4)),1,2))),
IF(YEAR($E85)&lt;VALUE(LEFT($K$47,4)),($M85+$N85)/12,0))</f>
        <v>0</v>
      </c>
      <c r="U85" s="119">
        <f ca="1">+IF($E85=U$47,SUM($M85:OFFSET($M85,0,IF(YEAR(U$47)=VALUE(LEFT($K$47,4)),1,2))),
IF(YEAR($E85)&lt;VALUE(LEFT($K$47,4)),($M85+$N85)/12,0))</f>
        <v>0</v>
      </c>
      <c r="V85" s="119">
        <f ca="1">+IF($E85=V$47,SUM($M85:OFFSET($M85,0,IF(YEAR(V$47)=VALUE(LEFT($K$47,4)),1,2))),
IF(YEAR($E85)&lt;VALUE(LEFT($K$47,4)),($M85+$N85)/12,0))</f>
        <v>0</v>
      </c>
      <c r="W85" s="119">
        <f ca="1">+IF($E85=W$47,SUM($M85:OFFSET($M85,0,IF(YEAR(W$47)=VALUE(LEFT($K$47,4)),1,2))),
IF(YEAR($E85)&lt;VALUE(LEFT($K$47,4)),($M85+$N85)/12,0))</f>
        <v>0</v>
      </c>
      <c r="X85" s="119">
        <f ca="1">+IF($E85=X$47,SUM($M85:OFFSET($M85,0,IF(YEAR(X$47)=VALUE(LEFT($K$47,4)),1,2))),
IF(YEAR($E85)&lt;VALUE(LEFT($K$47,4)),($M85+$N85)/12,0))</f>
        <v>0</v>
      </c>
      <c r="Y85" s="119">
        <f ca="1">+IF($E85=Y$47,SUM($M85:OFFSET($M85,0,IF(YEAR(Y$47)=VALUE(LEFT($K$47,4)),1,2))),
IF(YEAR($E85)&lt;VALUE(LEFT($K$47,4)),($M85+$N85)/12,0))</f>
        <v>0</v>
      </c>
      <c r="Z85" s="119">
        <f ca="1">+IF($E85=Z$47,SUM($M85:OFFSET($M85,0,IF(YEAR(Z$47)=VALUE(LEFT($K$47,4)),1,2))),
IF(YEAR($E85)&lt;VALUE(LEFT($K$47,4)),($M85+$N85)/12,0))</f>
        <v>68.169629999999984</v>
      </c>
      <c r="AA85" s="119">
        <f ca="1">+IF($E85=AA$47,SUM($M85:OFFSET($M85,0,IF(YEAR(AA$47)=VALUE(LEFT($K$47,4)),1,2))),
IF(YEAR($E85)&lt;VALUE(LEFT($K$47,4)),($M85+$N85)/12,0))</f>
        <v>0</v>
      </c>
      <c r="AB85" s="120">
        <f ca="1">+IF($E85=AB$47,SUM($M85:OFFSET($M85,0,IF(YEAR(AB$47)=VALUE(LEFT($K$47,4)),1,2))),
IF(YEAR($E85)&lt;VALUE(LEFT($K$47,4)),($M85+$N85)/12,0))</f>
        <v>0</v>
      </c>
      <c r="AC85" s="122">
        <f ca="1">+IF($E85=AC$47,SUM($M85:OFFSET($M85,0,IF(YEAR(AC$47)=VALUE(LEFT($K$47,4)),1,2))),
IF(YEAR($E85)&lt;=2015,$O85/12,0))</f>
        <v>0</v>
      </c>
      <c r="AD85" s="119">
        <f ca="1">+IF($E85=AD$47,SUM($M85:OFFSET($M85,0,IF(YEAR(AD$47)=VALUE(LEFT($K$47,4)),1,2))),
IF(YEAR($E85)&lt;=2015,$O85/12,0))</f>
        <v>0</v>
      </c>
      <c r="AE85" s="119">
        <f ca="1">+IF($E85=AE$47,SUM($M85:OFFSET($M85,0,IF(YEAR(AE$47)=VALUE(LEFT($K$47,4)),1,2))),
IF(YEAR($E85)&lt;=2015,$O85/12,0))</f>
        <v>0</v>
      </c>
      <c r="AF85" s="119">
        <f ca="1">+IF($E85=AF$47,SUM($M85:OFFSET($M85,0,IF(YEAR(AF$47)=VALUE(LEFT($K$47,4)),1,2))),
IF(YEAR($E85)&lt;=2015,$O85/12,0))</f>
        <v>0</v>
      </c>
      <c r="AG85" s="119">
        <f ca="1">+IF($E85=AG$47,SUM($M85:OFFSET($M85,0,IF(YEAR(AG$47)=VALUE(LEFT($K$47,4)),1,2))),
IF(YEAR($E85)&lt;=2015,$O85/12,0))</f>
        <v>0</v>
      </c>
      <c r="AH85" s="119">
        <f ca="1">+IF($E85=AH$47,SUM($M85:OFFSET($M85,0,IF(YEAR(AH$47)=VALUE(LEFT($K$47,4)),1,2))),
IF(YEAR($E85)&lt;=2015,$O85/12,0))</f>
        <v>0</v>
      </c>
      <c r="AI85" s="119">
        <f ca="1">+IF($E85=AI$47,SUM($M85:OFFSET($M85,0,IF(YEAR(AI$47)=VALUE(LEFT($K$47,4)),1,2))),
IF(YEAR($E85)&lt;=2015,$O85/12,0))</f>
        <v>0</v>
      </c>
      <c r="AJ85" s="119">
        <f ca="1">+IF($E85=AJ$47,SUM($M85:OFFSET($M85,0,IF(YEAR(AJ$47)=VALUE(LEFT($K$47,4)),1,2))),
IF(YEAR($E85)&lt;=2015,$O85/12,0))</f>
        <v>0</v>
      </c>
      <c r="AK85" s="119">
        <f ca="1">+IF($E85=AK$47,SUM($M85:OFFSET($M85,0,IF(YEAR(AK$47)=VALUE(LEFT($K$47,4)),1,2))),
IF(YEAR($E85)&lt;=2015,$O85/12,0))</f>
        <v>0</v>
      </c>
      <c r="AL85" s="119">
        <f ca="1">+IF($E85=AL$47,SUM($M85:OFFSET($M85,0,IF(YEAR(AL$47)=VALUE(LEFT($K$47,4)),1,2))),
IF(YEAR($E85)&lt;=2015,$O85/12,0))</f>
        <v>0</v>
      </c>
      <c r="AM85" s="119">
        <f ca="1">+IF($E85=AM$47,SUM($M85:OFFSET($M85,0,IF(YEAR(AM$47)=VALUE(LEFT($K$47,4)),1,2))),
IF(YEAR($E85)&lt;=2015,$O85/12,0))</f>
        <v>0</v>
      </c>
      <c r="AN85" s="120">
        <f ca="1">+IF($E85=AN$47,SUM($M85:OFFSET($M85,0,IF(YEAR(AN$47)=VALUE(LEFT($K$47,4)),1,2))),
IF(YEAR($E85)&lt;=2015,$O85/12,0))</f>
        <v>0</v>
      </c>
      <c r="AO85" s="121"/>
      <c r="AQ85" s="105"/>
      <c r="AR85" s="105"/>
    </row>
    <row r="86" spans="1:44" ht="15" x14ac:dyDescent="0.25">
      <c r="A86" s="96" t="s">
        <v>416</v>
      </c>
      <c r="B86" s="97" t="s">
        <v>417</v>
      </c>
      <c r="C86" s="98">
        <v>7426</v>
      </c>
      <c r="D86" s="99" t="s">
        <v>70</v>
      </c>
      <c r="E86" s="100">
        <v>42278</v>
      </c>
      <c r="F86" s="97" t="s">
        <v>78</v>
      </c>
      <c r="G86" s="101">
        <v>0</v>
      </c>
      <c r="H86" s="102">
        <v>1</v>
      </c>
      <c r="I86" s="263"/>
      <c r="J86" s="140">
        <v>0</v>
      </c>
      <c r="K86" s="139">
        <v>211</v>
      </c>
      <c r="L86" s="119">
        <v>0</v>
      </c>
      <c r="M86" s="119">
        <f t="shared" si="13"/>
        <v>0</v>
      </c>
      <c r="N86" s="121">
        <f t="shared" si="14"/>
        <v>211</v>
      </c>
      <c r="O86" s="120">
        <f t="shared" si="15"/>
        <v>0</v>
      </c>
      <c r="P86" s="121"/>
      <c r="Q86" s="122">
        <f ca="1">+IF($E86=Q$47,SUM($M86:OFFSET($M86,0,IF(YEAR(Q$47)=VALUE(LEFT($K$47,4)),1,2))),
IF(YEAR($E86)&lt;VALUE(LEFT($K$47,4)),($M86+$N86)/12,0))</f>
        <v>0</v>
      </c>
      <c r="R86" s="119">
        <f ca="1">+IF($E86=R$47,SUM($M86:OFFSET($M86,0,IF(YEAR(R$47)=VALUE(LEFT($K$47,4)),1,2))),
IF(YEAR($E86)&lt;VALUE(LEFT($K$47,4)),($M86+$N86)/12,0))</f>
        <v>0</v>
      </c>
      <c r="S86" s="119">
        <f ca="1">+IF($E86=S$47,SUM($M86:OFFSET($M86,0,IF(YEAR(S$47)=VALUE(LEFT($K$47,4)),1,2))),
IF(YEAR($E86)&lt;VALUE(LEFT($K$47,4)),($M86+$N86)/12,0))</f>
        <v>0</v>
      </c>
      <c r="T86" s="119">
        <f ca="1">+IF($E86=T$47,SUM($M86:OFFSET($M86,0,IF(YEAR(T$47)=VALUE(LEFT($K$47,4)),1,2))),
IF(YEAR($E86)&lt;VALUE(LEFT($K$47,4)),($M86+$N86)/12,0))</f>
        <v>0</v>
      </c>
      <c r="U86" s="119">
        <f ca="1">+IF($E86=U$47,SUM($M86:OFFSET($M86,0,IF(YEAR(U$47)=VALUE(LEFT($K$47,4)),1,2))),
IF(YEAR($E86)&lt;VALUE(LEFT($K$47,4)),($M86+$N86)/12,0))</f>
        <v>0</v>
      </c>
      <c r="V86" s="119">
        <f ca="1">+IF($E86=V$47,SUM($M86:OFFSET($M86,0,IF(YEAR(V$47)=VALUE(LEFT($K$47,4)),1,2))),
IF(YEAR($E86)&lt;VALUE(LEFT($K$47,4)),($M86+$N86)/12,0))</f>
        <v>0</v>
      </c>
      <c r="W86" s="119">
        <f ca="1">+IF($E86=W$47,SUM($M86:OFFSET($M86,0,IF(YEAR(W$47)=VALUE(LEFT($K$47,4)),1,2))),
IF(YEAR($E86)&lt;VALUE(LEFT($K$47,4)),($M86+$N86)/12,0))</f>
        <v>0</v>
      </c>
      <c r="X86" s="119">
        <f ca="1">+IF($E86=X$47,SUM($M86:OFFSET($M86,0,IF(YEAR(X$47)=VALUE(LEFT($K$47,4)),1,2))),
IF(YEAR($E86)&lt;VALUE(LEFT($K$47,4)),($M86+$N86)/12,0))</f>
        <v>0</v>
      </c>
      <c r="Y86" s="119">
        <f ca="1">+IF($E86=Y$47,SUM($M86:OFFSET($M86,0,IF(YEAR(Y$47)=VALUE(LEFT($K$47,4)),1,2))),
IF(YEAR($E86)&lt;VALUE(LEFT($K$47,4)),($M86+$N86)/12,0))</f>
        <v>0</v>
      </c>
      <c r="Z86" s="119">
        <f ca="1">+IF($E86=Z$47,SUM($M86:OFFSET($M86,0,IF(YEAR(Z$47)=VALUE(LEFT($K$47,4)),1,2))),
IF(YEAR($E86)&lt;VALUE(LEFT($K$47,4)),($M86+$N86)/12,0))</f>
        <v>211</v>
      </c>
      <c r="AA86" s="119">
        <f ca="1">+IF($E86=AA$47,SUM($M86:OFFSET($M86,0,IF(YEAR(AA$47)=VALUE(LEFT($K$47,4)),1,2))),
IF(YEAR($E86)&lt;VALUE(LEFT($K$47,4)),($M86+$N86)/12,0))</f>
        <v>0</v>
      </c>
      <c r="AB86" s="120">
        <f ca="1">+IF($E86=AB$47,SUM($M86:OFFSET($M86,0,IF(YEAR(AB$47)=VALUE(LEFT($K$47,4)),1,2))),
IF(YEAR($E86)&lt;VALUE(LEFT($K$47,4)),($M86+$N86)/12,0))</f>
        <v>0</v>
      </c>
      <c r="AC86" s="122">
        <f ca="1">+IF($E86=AC$47,SUM($M86:OFFSET($M86,0,IF(YEAR(AC$47)=VALUE(LEFT($K$47,4)),1,2))),
IF(YEAR($E86)&lt;=2015,$O86/12,0))</f>
        <v>0</v>
      </c>
      <c r="AD86" s="119">
        <f ca="1">+IF($E86=AD$47,SUM($M86:OFFSET($M86,0,IF(YEAR(AD$47)=VALUE(LEFT($K$47,4)),1,2))),
IF(YEAR($E86)&lt;=2015,$O86/12,0))</f>
        <v>0</v>
      </c>
      <c r="AE86" s="119">
        <f ca="1">+IF($E86=AE$47,SUM($M86:OFFSET($M86,0,IF(YEAR(AE$47)=VALUE(LEFT($K$47,4)),1,2))),
IF(YEAR($E86)&lt;=2015,$O86/12,0))</f>
        <v>0</v>
      </c>
      <c r="AF86" s="119">
        <f ca="1">+IF($E86=AF$47,SUM($M86:OFFSET($M86,0,IF(YEAR(AF$47)=VALUE(LEFT($K$47,4)),1,2))),
IF(YEAR($E86)&lt;=2015,$O86/12,0))</f>
        <v>0</v>
      </c>
      <c r="AG86" s="119">
        <f ca="1">+IF($E86=AG$47,SUM($M86:OFFSET($M86,0,IF(YEAR(AG$47)=VALUE(LEFT($K$47,4)),1,2))),
IF(YEAR($E86)&lt;=2015,$O86/12,0))</f>
        <v>0</v>
      </c>
      <c r="AH86" s="119">
        <f ca="1">+IF($E86=AH$47,SUM($M86:OFFSET($M86,0,IF(YEAR(AH$47)=VALUE(LEFT($K$47,4)),1,2))),
IF(YEAR($E86)&lt;=2015,$O86/12,0))</f>
        <v>0</v>
      </c>
      <c r="AI86" s="119">
        <f ca="1">+IF($E86=AI$47,SUM($M86:OFFSET($M86,0,IF(YEAR(AI$47)=VALUE(LEFT($K$47,4)),1,2))),
IF(YEAR($E86)&lt;=2015,$O86/12,0))</f>
        <v>0</v>
      </c>
      <c r="AJ86" s="119">
        <f ca="1">+IF($E86=AJ$47,SUM($M86:OFFSET($M86,0,IF(YEAR(AJ$47)=VALUE(LEFT($K$47,4)),1,2))),
IF(YEAR($E86)&lt;=2015,$O86/12,0))</f>
        <v>0</v>
      </c>
      <c r="AK86" s="119">
        <f ca="1">+IF($E86=AK$47,SUM($M86:OFFSET($M86,0,IF(YEAR(AK$47)=VALUE(LEFT($K$47,4)),1,2))),
IF(YEAR($E86)&lt;=2015,$O86/12,0))</f>
        <v>0</v>
      </c>
      <c r="AL86" s="119">
        <f ca="1">+IF($E86=AL$47,SUM($M86:OFFSET($M86,0,IF(YEAR(AL$47)=VALUE(LEFT($K$47,4)),1,2))),
IF(YEAR($E86)&lt;=2015,$O86/12,0))</f>
        <v>0</v>
      </c>
      <c r="AM86" s="119">
        <f ca="1">+IF($E86=AM$47,SUM($M86:OFFSET($M86,0,IF(YEAR(AM$47)=VALUE(LEFT($K$47,4)),1,2))),
IF(YEAR($E86)&lt;=2015,$O86/12,0))</f>
        <v>0</v>
      </c>
      <c r="AN86" s="120">
        <f ca="1">+IF($E86=AN$47,SUM($M86:OFFSET($M86,0,IF(YEAR(AN$47)=VALUE(LEFT($K$47,4)),1,2))),
IF(YEAR($E86)&lt;=2015,$O86/12,0))</f>
        <v>0</v>
      </c>
      <c r="AO86" s="121"/>
      <c r="AQ86" s="105"/>
      <c r="AR86" s="105"/>
    </row>
    <row r="87" spans="1:44" ht="15" x14ac:dyDescent="0.25">
      <c r="A87" s="96" t="s">
        <v>418</v>
      </c>
      <c r="B87" s="97" t="s">
        <v>419</v>
      </c>
      <c r="C87" s="98">
        <v>7243</v>
      </c>
      <c r="D87" s="99" t="s">
        <v>70</v>
      </c>
      <c r="E87" s="100">
        <v>42339</v>
      </c>
      <c r="F87" s="97" t="s">
        <v>78</v>
      </c>
      <c r="G87" s="101">
        <v>0</v>
      </c>
      <c r="H87" s="102">
        <v>1</v>
      </c>
      <c r="I87" s="263"/>
      <c r="J87" s="140">
        <v>2.7705600000000001</v>
      </c>
      <c r="K87" s="139">
        <v>20</v>
      </c>
      <c r="L87" s="119">
        <v>0</v>
      </c>
      <c r="M87" s="119">
        <f t="shared" si="13"/>
        <v>2.7705600000000001</v>
      </c>
      <c r="N87" s="121">
        <f t="shared" si="14"/>
        <v>20</v>
      </c>
      <c r="O87" s="120">
        <f t="shared" si="15"/>
        <v>0</v>
      </c>
      <c r="P87" s="121"/>
      <c r="Q87" s="122">
        <f ca="1">+IF($E87=Q$47,SUM($M87:OFFSET($M87,0,IF(YEAR(Q$47)=VALUE(LEFT($K$47,4)),1,2))),
IF(YEAR($E87)&lt;VALUE(LEFT($K$47,4)),($M87+$N87)/12,0))</f>
        <v>0</v>
      </c>
      <c r="R87" s="119">
        <f ca="1">+IF($E87=R$47,SUM($M87:OFFSET($M87,0,IF(YEAR(R$47)=VALUE(LEFT($K$47,4)),1,2))),
IF(YEAR($E87)&lt;VALUE(LEFT($K$47,4)),($M87+$N87)/12,0))</f>
        <v>0</v>
      </c>
      <c r="S87" s="119">
        <f ca="1">+IF($E87=S$47,SUM($M87:OFFSET($M87,0,IF(YEAR(S$47)=VALUE(LEFT($K$47,4)),1,2))),
IF(YEAR($E87)&lt;VALUE(LEFT($K$47,4)),($M87+$N87)/12,0))</f>
        <v>0</v>
      </c>
      <c r="T87" s="119">
        <f ca="1">+IF($E87=T$47,SUM($M87:OFFSET($M87,0,IF(YEAR(T$47)=VALUE(LEFT($K$47,4)),1,2))),
IF(YEAR($E87)&lt;VALUE(LEFT($K$47,4)),($M87+$N87)/12,0))</f>
        <v>0</v>
      </c>
      <c r="U87" s="119">
        <f ca="1">+IF($E87=U$47,SUM($M87:OFFSET($M87,0,IF(YEAR(U$47)=VALUE(LEFT($K$47,4)),1,2))),
IF(YEAR($E87)&lt;VALUE(LEFT($K$47,4)),($M87+$N87)/12,0))</f>
        <v>0</v>
      </c>
      <c r="V87" s="119">
        <f ca="1">+IF($E87=V$47,SUM($M87:OFFSET($M87,0,IF(YEAR(V$47)=VALUE(LEFT($K$47,4)),1,2))),
IF(YEAR($E87)&lt;VALUE(LEFT($K$47,4)),($M87+$N87)/12,0))</f>
        <v>0</v>
      </c>
      <c r="W87" s="119">
        <f ca="1">+IF($E87=W$47,SUM($M87:OFFSET($M87,0,IF(YEAR(W$47)=VALUE(LEFT($K$47,4)),1,2))),
IF(YEAR($E87)&lt;VALUE(LEFT($K$47,4)),($M87+$N87)/12,0))</f>
        <v>0</v>
      </c>
      <c r="X87" s="119">
        <f ca="1">+IF($E87=X$47,SUM($M87:OFFSET($M87,0,IF(YEAR(X$47)=VALUE(LEFT($K$47,4)),1,2))),
IF(YEAR($E87)&lt;VALUE(LEFT($K$47,4)),($M87+$N87)/12,0))</f>
        <v>0</v>
      </c>
      <c r="Y87" s="119">
        <f ca="1">+IF($E87=Y$47,SUM($M87:OFFSET($M87,0,IF(YEAR(Y$47)=VALUE(LEFT($K$47,4)),1,2))),
IF(YEAR($E87)&lt;VALUE(LEFT($K$47,4)),($M87+$N87)/12,0))</f>
        <v>0</v>
      </c>
      <c r="Z87" s="119">
        <f ca="1">+IF($E87=Z$47,SUM($M87:OFFSET($M87,0,IF(YEAR(Z$47)=VALUE(LEFT($K$47,4)),1,2))),
IF(YEAR($E87)&lt;VALUE(LEFT($K$47,4)),($M87+$N87)/12,0))</f>
        <v>0</v>
      </c>
      <c r="AA87" s="119">
        <f ca="1">+IF($E87=AA$47,SUM($M87:OFFSET($M87,0,IF(YEAR(AA$47)=VALUE(LEFT($K$47,4)),1,2))),
IF(YEAR($E87)&lt;VALUE(LEFT($K$47,4)),($M87+$N87)/12,0))</f>
        <v>0</v>
      </c>
      <c r="AB87" s="120">
        <f ca="1">+IF($E87=AB$47,SUM($M87:OFFSET($M87,0,IF(YEAR(AB$47)=VALUE(LEFT($K$47,4)),1,2))),
IF(YEAR($E87)&lt;VALUE(LEFT($K$47,4)),($M87+$N87)/12,0))</f>
        <v>22.77056</v>
      </c>
      <c r="AC87" s="122">
        <f ca="1">+IF($E87=AC$47,SUM($M87:OFFSET($M87,0,IF(YEAR(AC$47)=VALUE(LEFT($K$47,4)),1,2))),
IF(YEAR($E87)&lt;=2015,$O87/12,0))</f>
        <v>0</v>
      </c>
      <c r="AD87" s="119">
        <f ca="1">+IF($E87=AD$47,SUM($M87:OFFSET($M87,0,IF(YEAR(AD$47)=VALUE(LEFT($K$47,4)),1,2))),
IF(YEAR($E87)&lt;=2015,$O87/12,0))</f>
        <v>0</v>
      </c>
      <c r="AE87" s="119">
        <f ca="1">+IF($E87=AE$47,SUM($M87:OFFSET($M87,0,IF(YEAR(AE$47)=VALUE(LEFT($K$47,4)),1,2))),
IF(YEAR($E87)&lt;=2015,$O87/12,0))</f>
        <v>0</v>
      </c>
      <c r="AF87" s="119">
        <f ca="1">+IF($E87=AF$47,SUM($M87:OFFSET($M87,0,IF(YEAR(AF$47)=VALUE(LEFT($K$47,4)),1,2))),
IF(YEAR($E87)&lt;=2015,$O87/12,0))</f>
        <v>0</v>
      </c>
      <c r="AG87" s="119">
        <f ca="1">+IF($E87=AG$47,SUM($M87:OFFSET($M87,0,IF(YEAR(AG$47)=VALUE(LEFT($K$47,4)),1,2))),
IF(YEAR($E87)&lt;=2015,$O87/12,0))</f>
        <v>0</v>
      </c>
      <c r="AH87" s="119">
        <f ca="1">+IF($E87=AH$47,SUM($M87:OFFSET($M87,0,IF(YEAR(AH$47)=VALUE(LEFT($K$47,4)),1,2))),
IF(YEAR($E87)&lt;=2015,$O87/12,0))</f>
        <v>0</v>
      </c>
      <c r="AI87" s="119">
        <f ca="1">+IF($E87=AI$47,SUM($M87:OFFSET($M87,0,IF(YEAR(AI$47)=VALUE(LEFT($K$47,4)),1,2))),
IF(YEAR($E87)&lt;=2015,$O87/12,0))</f>
        <v>0</v>
      </c>
      <c r="AJ87" s="119">
        <f ca="1">+IF($E87=AJ$47,SUM($M87:OFFSET($M87,0,IF(YEAR(AJ$47)=VALUE(LEFT($K$47,4)),1,2))),
IF(YEAR($E87)&lt;=2015,$O87/12,0))</f>
        <v>0</v>
      </c>
      <c r="AK87" s="119">
        <f ca="1">+IF($E87=AK$47,SUM($M87:OFFSET($M87,0,IF(YEAR(AK$47)=VALUE(LEFT($K$47,4)),1,2))),
IF(YEAR($E87)&lt;=2015,$O87/12,0))</f>
        <v>0</v>
      </c>
      <c r="AL87" s="119">
        <f ca="1">+IF($E87=AL$47,SUM($M87:OFFSET($M87,0,IF(YEAR(AL$47)=VALUE(LEFT($K$47,4)),1,2))),
IF(YEAR($E87)&lt;=2015,$O87/12,0))</f>
        <v>0</v>
      </c>
      <c r="AM87" s="119">
        <f ca="1">+IF($E87=AM$47,SUM($M87:OFFSET($M87,0,IF(YEAR(AM$47)=VALUE(LEFT($K$47,4)),1,2))),
IF(YEAR($E87)&lt;=2015,$O87/12,0))</f>
        <v>0</v>
      </c>
      <c r="AN87" s="120">
        <f ca="1">+IF($E87=AN$47,SUM($M87:OFFSET($M87,0,IF(YEAR(AN$47)=VALUE(LEFT($K$47,4)),1,2))),
IF(YEAR($E87)&lt;=2015,$O87/12,0))</f>
        <v>0</v>
      </c>
      <c r="AO87" s="121"/>
      <c r="AQ87" s="105"/>
      <c r="AR87" s="105"/>
    </row>
    <row r="88" spans="1:44" ht="15" x14ac:dyDescent="0.25">
      <c r="A88" s="96" t="s">
        <v>420</v>
      </c>
      <c r="B88" s="97" t="s">
        <v>421</v>
      </c>
      <c r="C88" s="98">
        <v>7243</v>
      </c>
      <c r="D88" s="99" t="s">
        <v>70</v>
      </c>
      <c r="E88" s="100">
        <v>42339</v>
      </c>
      <c r="F88" s="97" t="s">
        <v>78</v>
      </c>
      <c r="G88" s="101">
        <v>0</v>
      </c>
      <c r="H88" s="102">
        <v>1</v>
      </c>
      <c r="I88" s="263"/>
      <c r="J88" s="140">
        <v>2.6206299999999998</v>
      </c>
      <c r="K88" s="139">
        <v>20</v>
      </c>
      <c r="L88" s="119">
        <v>0</v>
      </c>
      <c r="M88" s="119">
        <f t="shared" si="13"/>
        <v>2.6206299999999998</v>
      </c>
      <c r="N88" s="121">
        <f t="shared" si="14"/>
        <v>20</v>
      </c>
      <c r="O88" s="120">
        <f t="shared" si="15"/>
        <v>0</v>
      </c>
      <c r="P88" s="121"/>
      <c r="Q88" s="122">
        <f ca="1">+IF($E88=Q$47,SUM($M88:OFFSET($M88,0,IF(YEAR(Q$47)=VALUE(LEFT($K$47,4)),1,2))),
IF(YEAR($E88)&lt;VALUE(LEFT($K$47,4)),($M88+$N88)/12,0))</f>
        <v>0</v>
      </c>
      <c r="R88" s="119">
        <f ca="1">+IF($E88=R$47,SUM($M88:OFFSET($M88,0,IF(YEAR(R$47)=VALUE(LEFT($K$47,4)),1,2))),
IF(YEAR($E88)&lt;VALUE(LEFT($K$47,4)),($M88+$N88)/12,0))</f>
        <v>0</v>
      </c>
      <c r="S88" s="119">
        <f ca="1">+IF($E88=S$47,SUM($M88:OFFSET($M88,0,IF(YEAR(S$47)=VALUE(LEFT($K$47,4)),1,2))),
IF(YEAR($E88)&lt;VALUE(LEFT($K$47,4)),($M88+$N88)/12,0))</f>
        <v>0</v>
      </c>
      <c r="T88" s="119">
        <f ca="1">+IF($E88=T$47,SUM($M88:OFFSET($M88,0,IF(YEAR(T$47)=VALUE(LEFT($K$47,4)),1,2))),
IF(YEAR($E88)&lt;VALUE(LEFT($K$47,4)),($M88+$N88)/12,0))</f>
        <v>0</v>
      </c>
      <c r="U88" s="119">
        <f ca="1">+IF($E88=U$47,SUM($M88:OFFSET($M88,0,IF(YEAR(U$47)=VALUE(LEFT($K$47,4)),1,2))),
IF(YEAR($E88)&lt;VALUE(LEFT($K$47,4)),($M88+$N88)/12,0))</f>
        <v>0</v>
      </c>
      <c r="V88" s="119">
        <f ca="1">+IF($E88=V$47,SUM($M88:OFFSET($M88,0,IF(YEAR(V$47)=VALUE(LEFT($K$47,4)),1,2))),
IF(YEAR($E88)&lt;VALUE(LEFT($K$47,4)),($M88+$N88)/12,0))</f>
        <v>0</v>
      </c>
      <c r="W88" s="119">
        <f ca="1">+IF($E88=W$47,SUM($M88:OFFSET($M88,0,IF(YEAR(W$47)=VALUE(LEFT($K$47,4)),1,2))),
IF(YEAR($E88)&lt;VALUE(LEFT($K$47,4)),($M88+$N88)/12,0))</f>
        <v>0</v>
      </c>
      <c r="X88" s="119">
        <f ca="1">+IF($E88=X$47,SUM($M88:OFFSET($M88,0,IF(YEAR(X$47)=VALUE(LEFT($K$47,4)),1,2))),
IF(YEAR($E88)&lt;VALUE(LEFT($K$47,4)),($M88+$N88)/12,0))</f>
        <v>0</v>
      </c>
      <c r="Y88" s="119">
        <f ca="1">+IF($E88=Y$47,SUM($M88:OFFSET($M88,0,IF(YEAR(Y$47)=VALUE(LEFT($K$47,4)),1,2))),
IF(YEAR($E88)&lt;VALUE(LEFT($K$47,4)),($M88+$N88)/12,0))</f>
        <v>0</v>
      </c>
      <c r="Z88" s="119">
        <f ca="1">+IF($E88=Z$47,SUM($M88:OFFSET($M88,0,IF(YEAR(Z$47)=VALUE(LEFT($K$47,4)),1,2))),
IF(YEAR($E88)&lt;VALUE(LEFT($K$47,4)),($M88+$N88)/12,0))</f>
        <v>0</v>
      </c>
      <c r="AA88" s="119">
        <f ca="1">+IF($E88=AA$47,SUM($M88:OFFSET($M88,0,IF(YEAR(AA$47)=VALUE(LEFT($K$47,4)),1,2))),
IF(YEAR($E88)&lt;VALUE(LEFT($K$47,4)),($M88+$N88)/12,0))</f>
        <v>0</v>
      </c>
      <c r="AB88" s="120">
        <f ca="1">+IF($E88=AB$47,SUM($M88:OFFSET($M88,0,IF(YEAR(AB$47)=VALUE(LEFT($K$47,4)),1,2))),
IF(YEAR($E88)&lt;VALUE(LEFT($K$47,4)),($M88+$N88)/12,0))</f>
        <v>22.620629999999998</v>
      </c>
      <c r="AC88" s="122">
        <f ca="1">+IF($E88=AC$47,SUM($M88:OFFSET($M88,0,IF(YEAR(AC$47)=VALUE(LEFT($K$47,4)),1,2))),
IF(YEAR($E88)&lt;=2015,$O88/12,0))</f>
        <v>0</v>
      </c>
      <c r="AD88" s="119">
        <f ca="1">+IF($E88=AD$47,SUM($M88:OFFSET($M88,0,IF(YEAR(AD$47)=VALUE(LEFT($K$47,4)),1,2))),
IF(YEAR($E88)&lt;=2015,$O88/12,0))</f>
        <v>0</v>
      </c>
      <c r="AE88" s="119">
        <f ca="1">+IF($E88=AE$47,SUM($M88:OFFSET($M88,0,IF(YEAR(AE$47)=VALUE(LEFT($K$47,4)),1,2))),
IF(YEAR($E88)&lt;=2015,$O88/12,0))</f>
        <v>0</v>
      </c>
      <c r="AF88" s="119">
        <f ca="1">+IF($E88=AF$47,SUM($M88:OFFSET($M88,0,IF(YEAR(AF$47)=VALUE(LEFT($K$47,4)),1,2))),
IF(YEAR($E88)&lt;=2015,$O88/12,0))</f>
        <v>0</v>
      </c>
      <c r="AG88" s="119">
        <f ca="1">+IF($E88=AG$47,SUM($M88:OFFSET($M88,0,IF(YEAR(AG$47)=VALUE(LEFT($K$47,4)),1,2))),
IF(YEAR($E88)&lt;=2015,$O88/12,0))</f>
        <v>0</v>
      </c>
      <c r="AH88" s="119">
        <f ca="1">+IF($E88=AH$47,SUM($M88:OFFSET($M88,0,IF(YEAR(AH$47)=VALUE(LEFT($K$47,4)),1,2))),
IF(YEAR($E88)&lt;=2015,$O88/12,0))</f>
        <v>0</v>
      </c>
      <c r="AI88" s="119">
        <f ca="1">+IF($E88=AI$47,SUM($M88:OFFSET($M88,0,IF(YEAR(AI$47)=VALUE(LEFT($K$47,4)),1,2))),
IF(YEAR($E88)&lt;=2015,$O88/12,0))</f>
        <v>0</v>
      </c>
      <c r="AJ88" s="119">
        <f ca="1">+IF($E88=AJ$47,SUM($M88:OFFSET($M88,0,IF(YEAR(AJ$47)=VALUE(LEFT($K$47,4)),1,2))),
IF(YEAR($E88)&lt;=2015,$O88/12,0))</f>
        <v>0</v>
      </c>
      <c r="AK88" s="119">
        <f ca="1">+IF($E88=AK$47,SUM($M88:OFFSET($M88,0,IF(YEAR(AK$47)=VALUE(LEFT($K$47,4)),1,2))),
IF(YEAR($E88)&lt;=2015,$O88/12,0))</f>
        <v>0</v>
      </c>
      <c r="AL88" s="119">
        <f ca="1">+IF($E88=AL$47,SUM($M88:OFFSET($M88,0,IF(YEAR(AL$47)=VALUE(LEFT($K$47,4)),1,2))),
IF(YEAR($E88)&lt;=2015,$O88/12,0))</f>
        <v>0</v>
      </c>
      <c r="AM88" s="119">
        <f ca="1">+IF($E88=AM$47,SUM($M88:OFFSET($M88,0,IF(YEAR(AM$47)=VALUE(LEFT($K$47,4)),1,2))),
IF(YEAR($E88)&lt;=2015,$O88/12,0))</f>
        <v>0</v>
      </c>
      <c r="AN88" s="120">
        <f ca="1">+IF($E88=AN$47,SUM($M88:OFFSET($M88,0,IF(YEAR(AN$47)=VALUE(LEFT($K$47,4)),1,2))),
IF(YEAR($E88)&lt;=2015,$O88/12,0))</f>
        <v>0</v>
      </c>
      <c r="AO88" s="121"/>
      <c r="AQ88" s="105"/>
      <c r="AR88" s="105"/>
    </row>
    <row r="89" spans="1:44" ht="15" x14ac:dyDescent="0.25">
      <c r="A89" s="96" t="s">
        <v>422</v>
      </c>
      <c r="B89" s="97" t="s">
        <v>423</v>
      </c>
      <c r="C89" s="98">
        <v>7243</v>
      </c>
      <c r="D89" s="99" t="s">
        <v>70</v>
      </c>
      <c r="E89" s="100">
        <v>42339</v>
      </c>
      <c r="F89" s="97" t="s">
        <v>78</v>
      </c>
      <c r="G89" s="101">
        <v>0</v>
      </c>
      <c r="H89" s="102">
        <v>1</v>
      </c>
      <c r="I89" s="263"/>
      <c r="J89" s="140">
        <v>2.0984300000000005</v>
      </c>
      <c r="K89" s="139">
        <v>20</v>
      </c>
      <c r="L89" s="119">
        <v>0</v>
      </c>
      <c r="M89" s="119">
        <f t="shared" si="13"/>
        <v>2.0984300000000005</v>
      </c>
      <c r="N89" s="121">
        <f t="shared" si="14"/>
        <v>20</v>
      </c>
      <c r="O89" s="120">
        <f t="shared" si="15"/>
        <v>0</v>
      </c>
      <c r="P89" s="121"/>
      <c r="Q89" s="122">
        <f ca="1">+IF($E89=Q$47,SUM($M89:OFFSET($M89,0,IF(YEAR(Q$47)=VALUE(LEFT($K$47,4)),1,2))),
IF(YEAR($E89)&lt;VALUE(LEFT($K$47,4)),($M89+$N89)/12,0))</f>
        <v>0</v>
      </c>
      <c r="R89" s="119">
        <f ca="1">+IF($E89=R$47,SUM($M89:OFFSET($M89,0,IF(YEAR(R$47)=VALUE(LEFT($K$47,4)),1,2))),
IF(YEAR($E89)&lt;VALUE(LEFT($K$47,4)),($M89+$N89)/12,0))</f>
        <v>0</v>
      </c>
      <c r="S89" s="119">
        <f ca="1">+IF($E89=S$47,SUM($M89:OFFSET($M89,0,IF(YEAR(S$47)=VALUE(LEFT($K$47,4)),1,2))),
IF(YEAR($E89)&lt;VALUE(LEFT($K$47,4)),($M89+$N89)/12,0))</f>
        <v>0</v>
      </c>
      <c r="T89" s="119">
        <f ca="1">+IF($E89=T$47,SUM($M89:OFFSET($M89,0,IF(YEAR(T$47)=VALUE(LEFT($K$47,4)),1,2))),
IF(YEAR($E89)&lt;VALUE(LEFT($K$47,4)),($M89+$N89)/12,0))</f>
        <v>0</v>
      </c>
      <c r="U89" s="119">
        <f ca="1">+IF($E89=U$47,SUM($M89:OFFSET($M89,0,IF(YEAR(U$47)=VALUE(LEFT($K$47,4)),1,2))),
IF(YEAR($E89)&lt;VALUE(LEFT($K$47,4)),($M89+$N89)/12,0))</f>
        <v>0</v>
      </c>
      <c r="V89" s="119">
        <f ca="1">+IF($E89=V$47,SUM($M89:OFFSET($M89,0,IF(YEAR(V$47)=VALUE(LEFT($K$47,4)),1,2))),
IF(YEAR($E89)&lt;VALUE(LEFT($K$47,4)),($M89+$N89)/12,0))</f>
        <v>0</v>
      </c>
      <c r="W89" s="119">
        <f ca="1">+IF($E89=W$47,SUM($M89:OFFSET($M89,0,IF(YEAR(W$47)=VALUE(LEFT($K$47,4)),1,2))),
IF(YEAR($E89)&lt;VALUE(LEFT($K$47,4)),($M89+$N89)/12,0))</f>
        <v>0</v>
      </c>
      <c r="X89" s="119">
        <f ca="1">+IF($E89=X$47,SUM($M89:OFFSET($M89,0,IF(YEAR(X$47)=VALUE(LEFT($K$47,4)),1,2))),
IF(YEAR($E89)&lt;VALUE(LEFT($K$47,4)),($M89+$N89)/12,0))</f>
        <v>0</v>
      </c>
      <c r="Y89" s="119">
        <f ca="1">+IF($E89=Y$47,SUM($M89:OFFSET($M89,0,IF(YEAR(Y$47)=VALUE(LEFT($K$47,4)),1,2))),
IF(YEAR($E89)&lt;VALUE(LEFT($K$47,4)),($M89+$N89)/12,0))</f>
        <v>0</v>
      </c>
      <c r="Z89" s="119">
        <f ca="1">+IF($E89=Z$47,SUM($M89:OFFSET($M89,0,IF(YEAR(Z$47)=VALUE(LEFT($K$47,4)),1,2))),
IF(YEAR($E89)&lt;VALUE(LEFT($K$47,4)),($M89+$N89)/12,0))</f>
        <v>0</v>
      </c>
      <c r="AA89" s="119">
        <f ca="1">+IF($E89=AA$47,SUM($M89:OFFSET($M89,0,IF(YEAR(AA$47)=VALUE(LEFT($K$47,4)),1,2))),
IF(YEAR($E89)&lt;VALUE(LEFT($K$47,4)),($M89+$N89)/12,0))</f>
        <v>0</v>
      </c>
      <c r="AB89" s="120">
        <f ca="1">+IF($E89=AB$47,SUM($M89:OFFSET($M89,0,IF(YEAR(AB$47)=VALUE(LEFT($K$47,4)),1,2))),
IF(YEAR($E89)&lt;VALUE(LEFT($K$47,4)),($M89+$N89)/12,0))</f>
        <v>22.09843</v>
      </c>
      <c r="AC89" s="122">
        <f ca="1">+IF($E89=AC$47,SUM($M89:OFFSET($M89,0,IF(YEAR(AC$47)=VALUE(LEFT($K$47,4)),1,2))),
IF(YEAR($E89)&lt;=2015,$O89/12,0))</f>
        <v>0</v>
      </c>
      <c r="AD89" s="119">
        <f ca="1">+IF($E89=AD$47,SUM($M89:OFFSET($M89,0,IF(YEAR(AD$47)=VALUE(LEFT($K$47,4)),1,2))),
IF(YEAR($E89)&lt;=2015,$O89/12,0))</f>
        <v>0</v>
      </c>
      <c r="AE89" s="119">
        <f ca="1">+IF($E89=AE$47,SUM($M89:OFFSET($M89,0,IF(YEAR(AE$47)=VALUE(LEFT($K$47,4)),1,2))),
IF(YEAR($E89)&lt;=2015,$O89/12,0))</f>
        <v>0</v>
      </c>
      <c r="AF89" s="119">
        <f ca="1">+IF($E89=AF$47,SUM($M89:OFFSET($M89,0,IF(YEAR(AF$47)=VALUE(LEFT($K$47,4)),1,2))),
IF(YEAR($E89)&lt;=2015,$O89/12,0))</f>
        <v>0</v>
      </c>
      <c r="AG89" s="119">
        <f ca="1">+IF($E89=AG$47,SUM($M89:OFFSET($M89,0,IF(YEAR(AG$47)=VALUE(LEFT($K$47,4)),1,2))),
IF(YEAR($E89)&lt;=2015,$O89/12,0))</f>
        <v>0</v>
      </c>
      <c r="AH89" s="119">
        <f ca="1">+IF($E89=AH$47,SUM($M89:OFFSET($M89,0,IF(YEAR(AH$47)=VALUE(LEFT($K$47,4)),1,2))),
IF(YEAR($E89)&lt;=2015,$O89/12,0))</f>
        <v>0</v>
      </c>
      <c r="AI89" s="119">
        <f ca="1">+IF($E89=AI$47,SUM($M89:OFFSET($M89,0,IF(YEAR(AI$47)=VALUE(LEFT($K$47,4)),1,2))),
IF(YEAR($E89)&lt;=2015,$O89/12,0))</f>
        <v>0</v>
      </c>
      <c r="AJ89" s="119">
        <f ca="1">+IF($E89=AJ$47,SUM($M89:OFFSET($M89,0,IF(YEAR(AJ$47)=VALUE(LEFT($K$47,4)),1,2))),
IF(YEAR($E89)&lt;=2015,$O89/12,0))</f>
        <v>0</v>
      </c>
      <c r="AK89" s="119">
        <f ca="1">+IF($E89=AK$47,SUM($M89:OFFSET($M89,0,IF(YEAR(AK$47)=VALUE(LEFT($K$47,4)),1,2))),
IF(YEAR($E89)&lt;=2015,$O89/12,0))</f>
        <v>0</v>
      </c>
      <c r="AL89" s="119">
        <f ca="1">+IF($E89=AL$47,SUM($M89:OFFSET($M89,0,IF(YEAR(AL$47)=VALUE(LEFT($K$47,4)),1,2))),
IF(YEAR($E89)&lt;=2015,$O89/12,0))</f>
        <v>0</v>
      </c>
      <c r="AM89" s="119">
        <f ca="1">+IF($E89=AM$47,SUM($M89:OFFSET($M89,0,IF(YEAR(AM$47)=VALUE(LEFT($K$47,4)),1,2))),
IF(YEAR($E89)&lt;=2015,$O89/12,0))</f>
        <v>0</v>
      </c>
      <c r="AN89" s="120">
        <f ca="1">+IF($E89=AN$47,SUM($M89:OFFSET($M89,0,IF(YEAR(AN$47)=VALUE(LEFT($K$47,4)),1,2))),
IF(YEAR($E89)&lt;=2015,$O89/12,0))</f>
        <v>0</v>
      </c>
      <c r="AO89" s="121"/>
      <c r="AQ89" s="105"/>
      <c r="AR89" s="105"/>
    </row>
    <row r="90" spans="1:44" ht="15" x14ac:dyDescent="0.25">
      <c r="A90" s="96" t="s">
        <v>424</v>
      </c>
      <c r="B90" s="97" t="s">
        <v>425</v>
      </c>
      <c r="C90" s="98">
        <v>7243</v>
      </c>
      <c r="D90" s="99" t="s">
        <v>70</v>
      </c>
      <c r="E90" s="100">
        <v>42339</v>
      </c>
      <c r="F90" s="97" t="s">
        <v>78</v>
      </c>
      <c r="G90" s="101">
        <v>0</v>
      </c>
      <c r="H90" s="102">
        <v>1</v>
      </c>
      <c r="I90" s="263"/>
      <c r="J90" s="140">
        <v>1.0483499999999999</v>
      </c>
      <c r="K90" s="139">
        <v>20</v>
      </c>
      <c r="L90" s="119">
        <v>0</v>
      </c>
      <c r="M90" s="119">
        <f t="shared" si="13"/>
        <v>1.0483499999999999</v>
      </c>
      <c r="N90" s="121">
        <f t="shared" si="14"/>
        <v>20</v>
      </c>
      <c r="O90" s="120">
        <f t="shared" si="15"/>
        <v>0</v>
      </c>
      <c r="P90" s="121"/>
      <c r="Q90" s="122">
        <f ca="1">+IF($E90=Q$47,SUM($M90:OFFSET($M90,0,IF(YEAR(Q$47)=VALUE(LEFT($K$47,4)),1,2))),
IF(YEAR($E90)&lt;VALUE(LEFT($K$47,4)),($M90+$N90)/12,0))</f>
        <v>0</v>
      </c>
      <c r="R90" s="119">
        <f ca="1">+IF($E90=R$47,SUM($M90:OFFSET($M90,0,IF(YEAR(R$47)=VALUE(LEFT($K$47,4)),1,2))),
IF(YEAR($E90)&lt;VALUE(LEFT($K$47,4)),($M90+$N90)/12,0))</f>
        <v>0</v>
      </c>
      <c r="S90" s="119">
        <f ca="1">+IF($E90=S$47,SUM($M90:OFFSET($M90,0,IF(YEAR(S$47)=VALUE(LEFT($K$47,4)),1,2))),
IF(YEAR($E90)&lt;VALUE(LEFT($K$47,4)),($M90+$N90)/12,0))</f>
        <v>0</v>
      </c>
      <c r="T90" s="119">
        <f ca="1">+IF($E90=T$47,SUM($M90:OFFSET($M90,0,IF(YEAR(T$47)=VALUE(LEFT($K$47,4)),1,2))),
IF(YEAR($E90)&lt;VALUE(LEFT($K$47,4)),($M90+$N90)/12,0))</f>
        <v>0</v>
      </c>
      <c r="U90" s="119">
        <f ca="1">+IF($E90=U$47,SUM($M90:OFFSET($M90,0,IF(YEAR(U$47)=VALUE(LEFT($K$47,4)),1,2))),
IF(YEAR($E90)&lt;VALUE(LEFT($K$47,4)),($M90+$N90)/12,0))</f>
        <v>0</v>
      </c>
      <c r="V90" s="119">
        <f ca="1">+IF($E90=V$47,SUM($M90:OFFSET($M90,0,IF(YEAR(V$47)=VALUE(LEFT($K$47,4)),1,2))),
IF(YEAR($E90)&lt;VALUE(LEFT($K$47,4)),($M90+$N90)/12,0))</f>
        <v>0</v>
      </c>
      <c r="W90" s="119">
        <f ca="1">+IF($E90=W$47,SUM($M90:OFFSET($M90,0,IF(YEAR(W$47)=VALUE(LEFT($K$47,4)),1,2))),
IF(YEAR($E90)&lt;VALUE(LEFT($K$47,4)),($M90+$N90)/12,0))</f>
        <v>0</v>
      </c>
      <c r="X90" s="119">
        <f ca="1">+IF($E90=X$47,SUM($M90:OFFSET($M90,0,IF(YEAR(X$47)=VALUE(LEFT($K$47,4)),1,2))),
IF(YEAR($E90)&lt;VALUE(LEFT($K$47,4)),($M90+$N90)/12,0))</f>
        <v>0</v>
      </c>
      <c r="Y90" s="119">
        <f ca="1">+IF($E90=Y$47,SUM($M90:OFFSET($M90,0,IF(YEAR(Y$47)=VALUE(LEFT($K$47,4)),1,2))),
IF(YEAR($E90)&lt;VALUE(LEFT($K$47,4)),($M90+$N90)/12,0))</f>
        <v>0</v>
      </c>
      <c r="Z90" s="119">
        <f ca="1">+IF($E90=Z$47,SUM($M90:OFFSET($M90,0,IF(YEAR(Z$47)=VALUE(LEFT($K$47,4)),1,2))),
IF(YEAR($E90)&lt;VALUE(LEFT($K$47,4)),($M90+$N90)/12,0))</f>
        <v>0</v>
      </c>
      <c r="AA90" s="119">
        <f ca="1">+IF($E90=AA$47,SUM($M90:OFFSET($M90,0,IF(YEAR(AA$47)=VALUE(LEFT($K$47,4)),1,2))),
IF(YEAR($E90)&lt;VALUE(LEFT($K$47,4)),($M90+$N90)/12,0))</f>
        <v>0</v>
      </c>
      <c r="AB90" s="120">
        <f ca="1">+IF($E90=AB$47,SUM($M90:OFFSET($M90,0,IF(YEAR(AB$47)=VALUE(LEFT($K$47,4)),1,2))),
IF(YEAR($E90)&lt;VALUE(LEFT($K$47,4)),($M90+$N90)/12,0))</f>
        <v>21.048349999999999</v>
      </c>
      <c r="AC90" s="122">
        <f ca="1">+IF($E90=AC$47,SUM($M90:OFFSET($M90,0,IF(YEAR(AC$47)=VALUE(LEFT($K$47,4)),1,2))),
IF(YEAR($E90)&lt;=2015,$O90/12,0))</f>
        <v>0</v>
      </c>
      <c r="AD90" s="119">
        <f ca="1">+IF($E90=AD$47,SUM($M90:OFFSET($M90,0,IF(YEAR(AD$47)=VALUE(LEFT($K$47,4)),1,2))),
IF(YEAR($E90)&lt;=2015,$O90/12,0))</f>
        <v>0</v>
      </c>
      <c r="AE90" s="119">
        <f ca="1">+IF($E90=AE$47,SUM($M90:OFFSET($M90,0,IF(YEAR(AE$47)=VALUE(LEFT($K$47,4)),1,2))),
IF(YEAR($E90)&lt;=2015,$O90/12,0))</f>
        <v>0</v>
      </c>
      <c r="AF90" s="119">
        <f ca="1">+IF($E90=AF$47,SUM($M90:OFFSET($M90,0,IF(YEAR(AF$47)=VALUE(LEFT($K$47,4)),1,2))),
IF(YEAR($E90)&lt;=2015,$O90/12,0))</f>
        <v>0</v>
      </c>
      <c r="AG90" s="119">
        <f ca="1">+IF($E90=AG$47,SUM($M90:OFFSET($M90,0,IF(YEAR(AG$47)=VALUE(LEFT($K$47,4)),1,2))),
IF(YEAR($E90)&lt;=2015,$O90/12,0))</f>
        <v>0</v>
      </c>
      <c r="AH90" s="119">
        <f ca="1">+IF($E90=AH$47,SUM($M90:OFFSET($M90,0,IF(YEAR(AH$47)=VALUE(LEFT($K$47,4)),1,2))),
IF(YEAR($E90)&lt;=2015,$O90/12,0))</f>
        <v>0</v>
      </c>
      <c r="AI90" s="119">
        <f ca="1">+IF($E90=AI$47,SUM($M90:OFFSET($M90,0,IF(YEAR(AI$47)=VALUE(LEFT($K$47,4)),1,2))),
IF(YEAR($E90)&lt;=2015,$O90/12,0))</f>
        <v>0</v>
      </c>
      <c r="AJ90" s="119">
        <f ca="1">+IF($E90=AJ$47,SUM($M90:OFFSET($M90,0,IF(YEAR(AJ$47)=VALUE(LEFT($K$47,4)),1,2))),
IF(YEAR($E90)&lt;=2015,$O90/12,0))</f>
        <v>0</v>
      </c>
      <c r="AK90" s="119">
        <f ca="1">+IF($E90=AK$47,SUM($M90:OFFSET($M90,0,IF(YEAR(AK$47)=VALUE(LEFT($K$47,4)),1,2))),
IF(YEAR($E90)&lt;=2015,$O90/12,0))</f>
        <v>0</v>
      </c>
      <c r="AL90" s="119">
        <f ca="1">+IF($E90=AL$47,SUM($M90:OFFSET($M90,0,IF(YEAR(AL$47)=VALUE(LEFT($K$47,4)),1,2))),
IF(YEAR($E90)&lt;=2015,$O90/12,0))</f>
        <v>0</v>
      </c>
      <c r="AM90" s="119">
        <f ca="1">+IF($E90=AM$47,SUM($M90:OFFSET($M90,0,IF(YEAR(AM$47)=VALUE(LEFT($K$47,4)),1,2))),
IF(YEAR($E90)&lt;=2015,$O90/12,0))</f>
        <v>0</v>
      </c>
      <c r="AN90" s="120">
        <f ca="1">+IF($E90=AN$47,SUM($M90:OFFSET($M90,0,IF(YEAR(AN$47)=VALUE(LEFT($K$47,4)),1,2))),
IF(YEAR($E90)&lt;=2015,$O90/12,0))</f>
        <v>0</v>
      </c>
      <c r="AO90" s="121"/>
      <c r="AQ90" s="105"/>
      <c r="AR90" s="105"/>
    </row>
    <row r="91" spans="1:44" ht="15" x14ac:dyDescent="0.25">
      <c r="A91" s="96" t="s">
        <v>426</v>
      </c>
      <c r="B91" s="97" t="s">
        <v>427</v>
      </c>
      <c r="C91" s="98">
        <v>7243</v>
      </c>
      <c r="D91" s="99" t="s">
        <v>70</v>
      </c>
      <c r="E91" s="100">
        <v>42339</v>
      </c>
      <c r="F91" s="97" t="s">
        <v>78</v>
      </c>
      <c r="G91" s="101">
        <v>0</v>
      </c>
      <c r="H91" s="102">
        <v>1</v>
      </c>
      <c r="I91" s="263"/>
      <c r="J91" s="140">
        <v>3.1272300000000004</v>
      </c>
      <c r="K91" s="139">
        <v>40</v>
      </c>
      <c r="L91" s="119">
        <v>0</v>
      </c>
      <c r="M91" s="119">
        <f t="shared" si="13"/>
        <v>3.1272300000000004</v>
      </c>
      <c r="N91" s="121">
        <f t="shared" si="14"/>
        <v>40</v>
      </c>
      <c r="O91" s="120">
        <f t="shared" si="15"/>
        <v>0</v>
      </c>
      <c r="P91" s="121"/>
      <c r="Q91" s="122">
        <f ca="1">+IF($E91=Q$47,SUM($M91:OFFSET($M91,0,IF(YEAR(Q$47)=VALUE(LEFT($K$47,4)),1,2))),
IF(YEAR($E91)&lt;VALUE(LEFT($K$47,4)),($M91+$N91)/12,0))</f>
        <v>0</v>
      </c>
      <c r="R91" s="119">
        <f ca="1">+IF($E91=R$47,SUM($M91:OFFSET($M91,0,IF(YEAR(R$47)=VALUE(LEFT($K$47,4)),1,2))),
IF(YEAR($E91)&lt;VALUE(LEFT($K$47,4)),($M91+$N91)/12,0))</f>
        <v>0</v>
      </c>
      <c r="S91" s="119">
        <f ca="1">+IF($E91=S$47,SUM($M91:OFFSET($M91,0,IF(YEAR(S$47)=VALUE(LEFT($K$47,4)),1,2))),
IF(YEAR($E91)&lt;VALUE(LEFT($K$47,4)),($M91+$N91)/12,0))</f>
        <v>0</v>
      </c>
      <c r="T91" s="119">
        <f ca="1">+IF($E91=T$47,SUM($M91:OFFSET($M91,0,IF(YEAR(T$47)=VALUE(LEFT($K$47,4)),1,2))),
IF(YEAR($E91)&lt;VALUE(LEFT($K$47,4)),($M91+$N91)/12,0))</f>
        <v>0</v>
      </c>
      <c r="U91" s="119">
        <f ca="1">+IF($E91=U$47,SUM($M91:OFFSET($M91,0,IF(YEAR(U$47)=VALUE(LEFT($K$47,4)),1,2))),
IF(YEAR($E91)&lt;VALUE(LEFT($K$47,4)),($M91+$N91)/12,0))</f>
        <v>0</v>
      </c>
      <c r="V91" s="119">
        <f ca="1">+IF($E91=V$47,SUM($M91:OFFSET($M91,0,IF(YEAR(V$47)=VALUE(LEFT($K$47,4)),1,2))),
IF(YEAR($E91)&lt;VALUE(LEFT($K$47,4)),($M91+$N91)/12,0))</f>
        <v>0</v>
      </c>
      <c r="W91" s="119">
        <f ca="1">+IF($E91=W$47,SUM($M91:OFFSET($M91,0,IF(YEAR(W$47)=VALUE(LEFT($K$47,4)),1,2))),
IF(YEAR($E91)&lt;VALUE(LEFT($K$47,4)),($M91+$N91)/12,0))</f>
        <v>0</v>
      </c>
      <c r="X91" s="119">
        <f ca="1">+IF($E91=X$47,SUM($M91:OFFSET($M91,0,IF(YEAR(X$47)=VALUE(LEFT($K$47,4)),1,2))),
IF(YEAR($E91)&lt;VALUE(LEFT($K$47,4)),($M91+$N91)/12,0))</f>
        <v>0</v>
      </c>
      <c r="Y91" s="119">
        <f ca="1">+IF($E91=Y$47,SUM($M91:OFFSET($M91,0,IF(YEAR(Y$47)=VALUE(LEFT($K$47,4)),1,2))),
IF(YEAR($E91)&lt;VALUE(LEFT($K$47,4)),($M91+$N91)/12,0))</f>
        <v>0</v>
      </c>
      <c r="Z91" s="119">
        <f ca="1">+IF($E91=Z$47,SUM($M91:OFFSET($M91,0,IF(YEAR(Z$47)=VALUE(LEFT($K$47,4)),1,2))),
IF(YEAR($E91)&lt;VALUE(LEFT($K$47,4)),($M91+$N91)/12,0))</f>
        <v>0</v>
      </c>
      <c r="AA91" s="119">
        <f ca="1">+IF($E91=AA$47,SUM($M91:OFFSET($M91,0,IF(YEAR(AA$47)=VALUE(LEFT($K$47,4)),1,2))),
IF(YEAR($E91)&lt;VALUE(LEFT($K$47,4)),($M91+$N91)/12,0))</f>
        <v>0</v>
      </c>
      <c r="AB91" s="120">
        <f ca="1">+IF($E91=AB$47,SUM($M91:OFFSET($M91,0,IF(YEAR(AB$47)=VALUE(LEFT($K$47,4)),1,2))),
IF(YEAR($E91)&lt;VALUE(LEFT($K$47,4)),($M91+$N91)/12,0))</f>
        <v>43.127229999999997</v>
      </c>
      <c r="AC91" s="122">
        <f ca="1">+IF($E91=AC$47,SUM($M91:OFFSET($M91,0,IF(YEAR(AC$47)=VALUE(LEFT($K$47,4)),1,2))),
IF(YEAR($E91)&lt;=2015,$O91/12,0))</f>
        <v>0</v>
      </c>
      <c r="AD91" s="119">
        <f ca="1">+IF($E91=AD$47,SUM($M91:OFFSET($M91,0,IF(YEAR(AD$47)=VALUE(LEFT($K$47,4)),1,2))),
IF(YEAR($E91)&lt;=2015,$O91/12,0))</f>
        <v>0</v>
      </c>
      <c r="AE91" s="119">
        <f ca="1">+IF($E91=AE$47,SUM($M91:OFFSET($M91,0,IF(YEAR(AE$47)=VALUE(LEFT($K$47,4)),1,2))),
IF(YEAR($E91)&lt;=2015,$O91/12,0))</f>
        <v>0</v>
      </c>
      <c r="AF91" s="119">
        <f ca="1">+IF($E91=AF$47,SUM($M91:OFFSET($M91,0,IF(YEAR(AF$47)=VALUE(LEFT($K$47,4)),1,2))),
IF(YEAR($E91)&lt;=2015,$O91/12,0))</f>
        <v>0</v>
      </c>
      <c r="AG91" s="119">
        <f ca="1">+IF($E91=AG$47,SUM($M91:OFFSET($M91,0,IF(YEAR(AG$47)=VALUE(LEFT($K$47,4)),1,2))),
IF(YEAR($E91)&lt;=2015,$O91/12,0))</f>
        <v>0</v>
      </c>
      <c r="AH91" s="119">
        <f ca="1">+IF($E91=AH$47,SUM($M91:OFFSET($M91,0,IF(YEAR(AH$47)=VALUE(LEFT($K$47,4)),1,2))),
IF(YEAR($E91)&lt;=2015,$O91/12,0))</f>
        <v>0</v>
      </c>
      <c r="AI91" s="119">
        <f ca="1">+IF($E91=AI$47,SUM($M91:OFFSET($M91,0,IF(YEAR(AI$47)=VALUE(LEFT($K$47,4)),1,2))),
IF(YEAR($E91)&lt;=2015,$O91/12,0))</f>
        <v>0</v>
      </c>
      <c r="AJ91" s="119">
        <f ca="1">+IF($E91=AJ$47,SUM($M91:OFFSET($M91,0,IF(YEAR(AJ$47)=VALUE(LEFT($K$47,4)),1,2))),
IF(YEAR($E91)&lt;=2015,$O91/12,0))</f>
        <v>0</v>
      </c>
      <c r="AK91" s="119">
        <f ca="1">+IF($E91=AK$47,SUM($M91:OFFSET($M91,0,IF(YEAR(AK$47)=VALUE(LEFT($K$47,4)),1,2))),
IF(YEAR($E91)&lt;=2015,$O91/12,0))</f>
        <v>0</v>
      </c>
      <c r="AL91" s="119">
        <f ca="1">+IF($E91=AL$47,SUM($M91:OFFSET($M91,0,IF(YEAR(AL$47)=VALUE(LEFT($K$47,4)),1,2))),
IF(YEAR($E91)&lt;=2015,$O91/12,0))</f>
        <v>0</v>
      </c>
      <c r="AM91" s="119">
        <f ca="1">+IF($E91=AM$47,SUM($M91:OFFSET($M91,0,IF(YEAR(AM$47)=VALUE(LEFT($K$47,4)),1,2))),
IF(YEAR($E91)&lt;=2015,$O91/12,0))</f>
        <v>0</v>
      </c>
      <c r="AN91" s="120">
        <f ca="1">+IF($E91=AN$47,SUM($M91:OFFSET($M91,0,IF(YEAR(AN$47)=VALUE(LEFT($K$47,4)),1,2))),
IF(YEAR($E91)&lt;=2015,$O91/12,0))</f>
        <v>0</v>
      </c>
      <c r="AO91" s="121"/>
      <c r="AQ91" s="105"/>
      <c r="AR91" s="105"/>
    </row>
    <row r="92" spans="1:44" ht="15" x14ac:dyDescent="0.25">
      <c r="A92" s="96" t="s">
        <v>428</v>
      </c>
      <c r="B92" s="97" t="s">
        <v>429</v>
      </c>
      <c r="C92" s="98">
        <v>7645</v>
      </c>
      <c r="D92" s="99" t="s">
        <v>70</v>
      </c>
      <c r="E92" s="100">
        <v>42522</v>
      </c>
      <c r="F92" s="97" t="s">
        <v>71</v>
      </c>
      <c r="G92" s="101">
        <v>0</v>
      </c>
      <c r="H92" s="102">
        <v>1</v>
      </c>
      <c r="I92" s="263"/>
      <c r="J92" s="140">
        <v>1976.89564</v>
      </c>
      <c r="K92" s="139">
        <v>2000</v>
      </c>
      <c r="L92" s="119">
        <v>1000</v>
      </c>
      <c r="M92" s="119">
        <f t="shared" si="13"/>
        <v>1976.89564</v>
      </c>
      <c r="N92" s="121">
        <f t="shared" si="14"/>
        <v>2000</v>
      </c>
      <c r="O92" s="120">
        <f t="shared" si="15"/>
        <v>1000</v>
      </c>
      <c r="P92" s="121"/>
      <c r="Q92" s="122">
        <f ca="1">+IF($E92=Q$47,SUM($M92:OFFSET($M92,0,IF(YEAR(Q$47)=VALUE(LEFT($K$47,4)),1,2))),
IF(YEAR($E92)&lt;VALUE(LEFT($K$47,4)),($M92+$N92)/12,0))</f>
        <v>0</v>
      </c>
      <c r="R92" s="119">
        <f ca="1">+IF($E92=R$47,SUM($M92:OFFSET($M92,0,IF(YEAR(R$47)=VALUE(LEFT($K$47,4)),1,2))),
IF(YEAR($E92)&lt;VALUE(LEFT($K$47,4)),($M92+$N92)/12,0))</f>
        <v>0</v>
      </c>
      <c r="S92" s="119">
        <f ca="1">+IF($E92=S$47,SUM($M92:OFFSET($M92,0,IF(YEAR(S$47)=VALUE(LEFT($K$47,4)),1,2))),
IF(YEAR($E92)&lt;VALUE(LEFT($K$47,4)),($M92+$N92)/12,0))</f>
        <v>0</v>
      </c>
      <c r="T92" s="119">
        <f ca="1">+IF($E92=T$47,SUM($M92:OFFSET($M92,0,IF(YEAR(T$47)=VALUE(LEFT($K$47,4)),1,2))),
IF(YEAR($E92)&lt;VALUE(LEFT($K$47,4)),($M92+$N92)/12,0))</f>
        <v>0</v>
      </c>
      <c r="U92" s="119">
        <f ca="1">+IF($E92=U$47,SUM($M92:OFFSET($M92,0,IF(YEAR(U$47)=VALUE(LEFT($K$47,4)),1,2))),
IF(YEAR($E92)&lt;VALUE(LEFT($K$47,4)),($M92+$N92)/12,0))</f>
        <v>0</v>
      </c>
      <c r="V92" s="119">
        <f ca="1">+IF($E92=V$47,SUM($M92:OFFSET($M92,0,IF(YEAR(V$47)=VALUE(LEFT($K$47,4)),1,2))),
IF(YEAR($E92)&lt;VALUE(LEFT($K$47,4)),($M92+$N92)/12,0))</f>
        <v>0</v>
      </c>
      <c r="W92" s="119">
        <f ca="1">+IF($E92=W$47,SUM($M92:OFFSET($M92,0,IF(YEAR(W$47)=VALUE(LEFT($K$47,4)),1,2))),
IF(YEAR($E92)&lt;VALUE(LEFT($K$47,4)),($M92+$N92)/12,0))</f>
        <v>0</v>
      </c>
      <c r="X92" s="119">
        <f ca="1">+IF($E92=X$47,SUM($M92:OFFSET($M92,0,IF(YEAR(X$47)=VALUE(LEFT($K$47,4)),1,2))),
IF(YEAR($E92)&lt;VALUE(LEFT($K$47,4)),($M92+$N92)/12,0))</f>
        <v>0</v>
      </c>
      <c r="Y92" s="119">
        <f ca="1">+IF($E92=Y$47,SUM($M92:OFFSET($M92,0,IF(YEAR(Y$47)=VALUE(LEFT($K$47,4)),1,2))),
IF(YEAR($E92)&lt;VALUE(LEFT($K$47,4)),($M92+$N92)/12,0))</f>
        <v>0</v>
      </c>
      <c r="Z92" s="119">
        <f ca="1">+IF($E92=Z$47,SUM($M92:OFFSET($M92,0,IF(YEAR(Z$47)=VALUE(LEFT($K$47,4)),1,2))),
IF(YEAR($E92)&lt;VALUE(LEFT($K$47,4)),($M92+$N92)/12,0))</f>
        <v>0</v>
      </c>
      <c r="AA92" s="119">
        <f ca="1">+IF($E92=AA$47,SUM($M92:OFFSET($M92,0,IF(YEAR(AA$47)=VALUE(LEFT($K$47,4)),1,2))),
IF(YEAR($E92)&lt;VALUE(LEFT($K$47,4)),($M92+$N92)/12,0))</f>
        <v>0</v>
      </c>
      <c r="AB92" s="120">
        <f ca="1">+IF($E92=AB$47,SUM($M92:OFFSET($M92,0,IF(YEAR(AB$47)=VALUE(LEFT($K$47,4)),1,2))),
IF(YEAR($E92)&lt;VALUE(LEFT($K$47,4)),($M92+$N92)/12,0))</f>
        <v>0</v>
      </c>
      <c r="AC92" s="122">
        <f ca="1">+IF($E92=AC$47,SUM($M92:OFFSET($M92,0,IF(YEAR(AC$47)=VALUE(LEFT($K$47,4)),1,2))),
IF(YEAR($E92)&lt;=2015,$O92/12,0))</f>
        <v>0</v>
      </c>
      <c r="AD92" s="119">
        <f ca="1">+IF($E92=AD$47,SUM($M92:OFFSET($M92,0,IF(YEAR(AD$47)=VALUE(LEFT($K$47,4)),1,2))),
IF(YEAR($E92)&lt;=2015,$O92/12,0))</f>
        <v>0</v>
      </c>
      <c r="AE92" s="119">
        <f ca="1">+IF($E92=AE$47,SUM($M92:OFFSET($M92,0,IF(YEAR(AE$47)=VALUE(LEFT($K$47,4)),1,2))),
IF(YEAR($E92)&lt;=2015,$O92/12,0))</f>
        <v>0</v>
      </c>
      <c r="AF92" s="119">
        <f ca="1">+IF($E92=AF$47,SUM($M92:OFFSET($M92,0,IF(YEAR(AF$47)=VALUE(LEFT($K$47,4)),1,2))),
IF(YEAR($E92)&lt;=2015,$O92/12,0))</f>
        <v>0</v>
      </c>
      <c r="AG92" s="119">
        <f ca="1">+IF($E92=AG$47,SUM($M92:OFFSET($M92,0,IF(YEAR(AG$47)=VALUE(LEFT($K$47,4)),1,2))),
IF(YEAR($E92)&lt;=2015,$O92/12,0))</f>
        <v>0</v>
      </c>
      <c r="AH92" s="119">
        <f ca="1">+IF($E92=AH$47,SUM($M92:OFFSET($M92,0,IF(YEAR(AH$47)=VALUE(LEFT($K$47,4)),1,2))),
IF(YEAR($E92)&lt;=2015,$O92/12,0))</f>
        <v>4976.8956399999997</v>
      </c>
      <c r="AI92" s="119">
        <f ca="1">+IF($E92=AI$47,SUM($M92:OFFSET($M92,0,IF(YEAR(AI$47)=VALUE(LEFT($K$47,4)),1,2))),
IF(YEAR($E92)&lt;=2015,$O92/12,0))</f>
        <v>0</v>
      </c>
      <c r="AJ92" s="119">
        <f ca="1">+IF($E92=AJ$47,SUM($M92:OFFSET($M92,0,IF(YEAR(AJ$47)=VALUE(LEFT($K$47,4)),1,2))),
IF(YEAR($E92)&lt;=2015,$O92/12,0))</f>
        <v>0</v>
      </c>
      <c r="AK92" s="119">
        <f ca="1">+IF($E92=AK$47,SUM($M92:OFFSET($M92,0,IF(YEAR(AK$47)=VALUE(LEFT($K$47,4)),1,2))),
IF(YEAR($E92)&lt;=2015,$O92/12,0))</f>
        <v>0</v>
      </c>
      <c r="AL92" s="119">
        <f ca="1">+IF($E92=AL$47,SUM($M92:OFFSET($M92,0,IF(YEAR(AL$47)=VALUE(LEFT($K$47,4)),1,2))),
IF(YEAR($E92)&lt;=2015,$O92/12,0))</f>
        <v>0</v>
      </c>
      <c r="AM92" s="119">
        <f ca="1">+IF($E92=AM$47,SUM($M92:OFFSET($M92,0,IF(YEAR(AM$47)=VALUE(LEFT($K$47,4)),1,2))),
IF(YEAR($E92)&lt;=2015,$O92/12,0))</f>
        <v>0</v>
      </c>
      <c r="AN92" s="120">
        <f ca="1">+IF($E92=AN$47,SUM($M92:OFFSET($M92,0,IF(YEAR(AN$47)=VALUE(LEFT($K$47,4)),1,2))),
IF(YEAR($E92)&lt;=2015,$O92/12,0))</f>
        <v>0</v>
      </c>
      <c r="AO92" s="121"/>
      <c r="AQ92" s="105"/>
      <c r="AR92" s="105"/>
    </row>
    <row r="93" spans="1:44" ht="15" x14ac:dyDescent="0.25">
      <c r="A93" s="96" t="s">
        <v>430</v>
      </c>
      <c r="B93" s="97" t="s">
        <v>431</v>
      </c>
      <c r="C93" s="98">
        <v>7645</v>
      </c>
      <c r="D93" s="99" t="s">
        <v>70</v>
      </c>
      <c r="E93" s="100">
        <v>42522</v>
      </c>
      <c r="F93" s="97" t="s">
        <v>78</v>
      </c>
      <c r="G93" s="101">
        <v>0</v>
      </c>
      <c r="H93" s="102">
        <v>1</v>
      </c>
      <c r="I93" s="263"/>
      <c r="J93" s="140">
        <v>2.0802699999999992</v>
      </c>
      <c r="K93" s="139">
        <v>150</v>
      </c>
      <c r="L93" s="119">
        <v>50</v>
      </c>
      <c r="M93" s="119">
        <f t="shared" si="13"/>
        <v>2.0802699999999992</v>
      </c>
      <c r="N93" s="121">
        <f t="shared" si="14"/>
        <v>150</v>
      </c>
      <c r="O93" s="120">
        <f t="shared" si="15"/>
        <v>50</v>
      </c>
      <c r="P93" s="121"/>
      <c r="Q93" s="122">
        <f ca="1">+IF($E93=Q$47,SUM($M93:OFFSET($M93,0,IF(YEAR(Q$47)=VALUE(LEFT($K$47,4)),1,2))),
IF(YEAR($E93)&lt;VALUE(LEFT($K$47,4)),($M93+$N93)/12,0))</f>
        <v>0</v>
      </c>
      <c r="R93" s="119">
        <f ca="1">+IF($E93=R$47,SUM($M93:OFFSET($M93,0,IF(YEAR(R$47)=VALUE(LEFT($K$47,4)),1,2))),
IF(YEAR($E93)&lt;VALUE(LEFT($K$47,4)),($M93+$N93)/12,0))</f>
        <v>0</v>
      </c>
      <c r="S93" s="119">
        <f ca="1">+IF($E93=S$47,SUM($M93:OFFSET($M93,0,IF(YEAR(S$47)=VALUE(LEFT($K$47,4)),1,2))),
IF(YEAR($E93)&lt;VALUE(LEFT($K$47,4)),($M93+$N93)/12,0))</f>
        <v>0</v>
      </c>
      <c r="T93" s="119">
        <f ca="1">+IF($E93=T$47,SUM($M93:OFFSET($M93,0,IF(YEAR(T$47)=VALUE(LEFT($K$47,4)),1,2))),
IF(YEAR($E93)&lt;VALUE(LEFT($K$47,4)),($M93+$N93)/12,0))</f>
        <v>0</v>
      </c>
      <c r="U93" s="119">
        <f ca="1">+IF($E93=U$47,SUM($M93:OFFSET($M93,0,IF(YEAR(U$47)=VALUE(LEFT($K$47,4)),1,2))),
IF(YEAR($E93)&lt;VALUE(LEFT($K$47,4)),($M93+$N93)/12,0))</f>
        <v>0</v>
      </c>
      <c r="V93" s="119">
        <f ca="1">+IF($E93=V$47,SUM($M93:OFFSET($M93,0,IF(YEAR(V$47)=VALUE(LEFT($K$47,4)),1,2))),
IF(YEAR($E93)&lt;VALUE(LEFT($K$47,4)),($M93+$N93)/12,0))</f>
        <v>0</v>
      </c>
      <c r="W93" s="119">
        <f ca="1">+IF($E93=W$47,SUM($M93:OFFSET($M93,0,IF(YEAR(W$47)=VALUE(LEFT($K$47,4)),1,2))),
IF(YEAR($E93)&lt;VALUE(LEFT($K$47,4)),($M93+$N93)/12,0))</f>
        <v>0</v>
      </c>
      <c r="X93" s="119">
        <f ca="1">+IF($E93=X$47,SUM($M93:OFFSET($M93,0,IF(YEAR(X$47)=VALUE(LEFT($K$47,4)),1,2))),
IF(YEAR($E93)&lt;VALUE(LEFT($K$47,4)),($M93+$N93)/12,0))</f>
        <v>0</v>
      </c>
      <c r="Y93" s="119">
        <f ca="1">+IF($E93=Y$47,SUM($M93:OFFSET($M93,0,IF(YEAR(Y$47)=VALUE(LEFT($K$47,4)),1,2))),
IF(YEAR($E93)&lt;VALUE(LEFT($K$47,4)),($M93+$N93)/12,0))</f>
        <v>0</v>
      </c>
      <c r="Z93" s="119">
        <f ca="1">+IF($E93=Z$47,SUM($M93:OFFSET($M93,0,IF(YEAR(Z$47)=VALUE(LEFT($K$47,4)),1,2))),
IF(YEAR($E93)&lt;VALUE(LEFT($K$47,4)),($M93+$N93)/12,0))</f>
        <v>0</v>
      </c>
      <c r="AA93" s="119">
        <f ca="1">+IF($E93=AA$47,SUM($M93:OFFSET($M93,0,IF(YEAR(AA$47)=VALUE(LEFT($K$47,4)),1,2))),
IF(YEAR($E93)&lt;VALUE(LEFT($K$47,4)),($M93+$N93)/12,0))</f>
        <v>0</v>
      </c>
      <c r="AB93" s="120">
        <f ca="1">+IF($E93=AB$47,SUM($M93:OFFSET($M93,0,IF(YEAR(AB$47)=VALUE(LEFT($K$47,4)),1,2))),
IF(YEAR($E93)&lt;VALUE(LEFT($K$47,4)),($M93+$N93)/12,0))</f>
        <v>0</v>
      </c>
      <c r="AC93" s="122">
        <f ca="1">+IF($E93=AC$47,SUM($M93:OFFSET($M93,0,IF(YEAR(AC$47)=VALUE(LEFT($K$47,4)),1,2))),
IF(YEAR($E93)&lt;=2015,$O93/12,0))</f>
        <v>0</v>
      </c>
      <c r="AD93" s="119">
        <f ca="1">+IF($E93=AD$47,SUM($M93:OFFSET($M93,0,IF(YEAR(AD$47)=VALUE(LEFT($K$47,4)),1,2))),
IF(YEAR($E93)&lt;=2015,$O93/12,0))</f>
        <v>0</v>
      </c>
      <c r="AE93" s="119">
        <f ca="1">+IF($E93=AE$47,SUM($M93:OFFSET($M93,0,IF(YEAR(AE$47)=VALUE(LEFT($K$47,4)),1,2))),
IF(YEAR($E93)&lt;=2015,$O93/12,0))</f>
        <v>0</v>
      </c>
      <c r="AF93" s="119">
        <f ca="1">+IF($E93=AF$47,SUM($M93:OFFSET($M93,0,IF(YEAR(AF$47)=VALUE(LEFT($K$47,4)),1,2))),
IF(YEAR($E93)&lt;=2015,$O93/12,0))</f>
        <v>0</v>
      </c>
      <c r="AG93" s="119">
        <f ca="1">+IF($E93=AG$47,SUM($M93:OFFSET($M93,0,IF(YEAR(AG$47)=VALUE(LEFT($K$47,4)),1,2))),
IF(YEAR($E93)&lt;=2015,$O93/12,0))</f>
        <v>0</v>
      </c>
      <c r="AH93" s="119">
        <f ca="1">+IF($E93=AH$47,SUM($M93:OFFSET($M93,0,IF(YEAR(AH$47)=VALUE(LEFT($K$47,4)),1,2))),
IF(YEAR($E93)&lt;=2015,$O93/12,0))</f>
        <v>202.08027000000001</v>
      </c>
      <c r="AI93" s="119">
        <f ca="1">+IF($E93=AI$47,SUM($M93:OFFSET($M93,0,IF(YEAR(AI$47)=VALUE(LEFT($K$47,4)),1,2))),
IF(YEAR($E93)&lt;=2015,$O93/12,0))</f>
        <v>0</v>
      </c>
      <c r="AJ93" s="119">
        <f ca="1">+IF($E93=AJ$47,SUM($M93:OFFSET($M93,0,IF(YEAR(AJ$47)=VALUE(LEFT($K$47,4)),1,2))),
IF(YEAR($E93)&lt;=2015,$O93/12,0))</f>
        <v>0</v>
      </c>
      <c r="AK93" s="119">
        <f ca="1">+IF($E93=AK$47,SUM($M93:OFFSET($M93,0,IF(YEAR(AK$47)=VALUE(LEFT($K$47,4)),1,2))),
IF(YEAR($E93)&lt;=2015,$O93/12,0))</f>
        <v>0</v>
      </c>
      <c r="AL93" s="119">
        <f ca="1">+IF($E93=AL$47,SUM($M93:OFFSET($M93,0,IF(YEAR(AL$47)=VALUE(LEFT($K$47,4)),1,2))),
IF(YEAR($E93)&lt;=2015,$O93/12,0))</f>
        <v>0</v>
      </c>
      <c r="AM93" s="119">
        <f ca="1">+IF($E93=AM$47,SUM($M93:OFFSET($M93,0,IF(YEAR(AM$47)=VALUE(LEFT($K$47,4)),1,2))),
IF(YEAR($E93)&lt;=2015,$O93/12,0))</f>
        <v>0</v>
      </c>
      <c r="AN93" s="120">
        <f ca="1">+IF($E93=AN$47,SUM($M93:OFFSET($M93,0,IF(YEAR(AN$47)=VALUE(LEFT($K$47,4)),1,2))),
IF(YEAR($E93)&lt;=2015,$O93/12,0))</f>
        <v>0</v>
      </c>
      <c r="AO93" s="121"/>
      <c r="AQ93" s="105"/>
      <c r="AR93" s="105"/>
    </row>
    <row r="94" spans="1:44" ht="15" x14ac:dyDescent="0.25">
      <c r="A94" s="96" t="s">
        <v>432</v>
      </c>
      <c r="B94" s="97" t="s">
        <v>433</v>
      </c>
      <c r="C94" s="98">
        <v>7645</v>
      </c>
      <c r="D94" s="99" t="s">
        <v>70</v>
      </c>
      <c r="E94" s="100">
        <v>42522</v>
      </c>
      <c r="F94" s="97" t="s">
        <v>78</v>
      </c>
      <c r="G94" s="101">
        <v>0</v>
      </c>
      <c r="H94" s="102">
        <v>1</v>
      </c>
      <c r="I94" s="263"/>
      <c r="J94" s="140">
        <v>12.393919999999998</v>
      </c>
      <c r="K94" s="139">
        <v>150</v>
      </c>
      <c r="L94" s="119">
        <v>50</v>
      </c>
      <c r="M94" s="119">
        <f t="shared" si="13"/>
        <v>12.393919999999998</v>
      </c>
      <c r="N94" s="121">
        <f t="shared" si="14"/>
        <v>150</v>
      </c>
      <c r="O94" s="120">
        <f t="shared" si="15"/>
        <v>50</v>
      </c>
      <c r="P94" s="121"/>
      <c r="Q94" s="122">
        <f ca="1">+IF($E94=Q$47,SUM($M94:OFFSET($M94,0,IF(YEAR(Q$47)=VALUE(LEFT($K$47,4)),1,2))),
IF(YEAR($E94)&lt;VALUE(LEFT($K$47,4)),($M94+$N94)/12,0))</f>
        <v>0</v>
      </c>
      <c r="R94" s="119">
        <f ca="1">+IF($E94=R$47,SUM($M94:OFFSET($M94,0,IF(YEAR(R$47)=VALUE(LEFT($K$47,4)),1,2))),
IF(YEAR($E94)&lt;VALUE(LEFT($K$47,4)),($M94+$N94)/12,0))</f>
        <v>0</v>
      </c>
      <c r="S94" s="119">
        <f ca="1">+IF($E94=S$47,SUM($M94:OFFSET($M94,0,IF(YEAR(S$47)=VALUE(LEFT($K$47,4)),1,2))),
IF(YEAR($E94)&lt;VALUE(LEFT($K$47,4)),($M94+$N94)/12,0))</f>
        <v>0</v>
      </c>
      <c r="T94" s="119">
        <f ca="1">+IF($E94=T$47,SUM($M94:OFFSET($M94,0,IF(YEAR(T$47)=VALUE(LEFT($K$47,4)),1,2))),
IF(YEAR($E94)&lt;VALUE(LEFT($K$47,4)),($M94+$N94)/12,0))</f>
        <v>0</v>
      </c>
      <c r="U94" s="119">
        <f ca="1">+IF($E94=U$47,SUM($M94:OFFSET($M94,0,IF(YEAR(U$47)=VALUE(LEFT($K$47,4)),1,2))),
IF(YEAR($E94)&lt;VALUE(LEFT($K$47,4)),($M94+$N94)/12,0))</f>
        <v>0</v>
      </c>
      <c r="V94" s="119">
        <f ca="1">+IF($E94=V$47,SUM($M94:OFFSET($M94,0,IF(YEAR(V$47)=VALUE(LEFT($K$47,4)),1,2))),
IF(YEAR($E94)&lt;VALUE(LEFT($K$47,4)),($M94+$N94)/12,0))</f>
        <v>0</v>
      </c>
      <c r="W94" s="119">
        <f ca="1">+IF($E94=W$47,SUM($M94:OFFSET($M94,0,IF(YEAR(W$47)=VALUE(LEFT($K$47,4)),1,2))),
IF(YEAR($E94)&lt;VALUE(LEFT($K$47,4)),($M94+$N94)/12,0))</f>
        <v>0</v>
      </c>
      <c r="X94" s="119">
        <f ca="1">+IF($E94=X$47,SUM($M94:OFFSET($M94,0,IF(YEAR(X$47)=VALUE(LEFT($K$47,4)),1,2))),
IF(YEAR($E94)&lt;VALUE(LEFT($K$47,4)),($M94+$N94)/12,0))</f>
        <v>0</v>
      </c>
      <c r="Y94" s="119">
        <f ca="1">+IF($E94=Y$47,SUM($M94:OFFSET($M94,0,IF(YEAR(Y$47)=VALUE(LEFT($K$47,4)),1,2))),
IF(YEAR($E94)&lt;VALUE(LEFT($K$47,4)),($M94+$N94)/12,0))</f>
        <v>0</v>
      </c>
      <c r="Z94" s="119">
        <f ca="1">+IF($E94=Z$47,SUM($M94:OFFSET($M94,0,IF(YEAR(Z$47)=VALUE(LEFT($K$47,4)),1,2))),
IF(YEAR($E94)&lt;VALUE(LEFT($K$47,4)),($M94+$N94)/12,0))</f>
        <v>0</v>
      </c>
      <c r="AA94" s="119">
        <f ca="1">+IF($E94=AA$47,SUM($M94:OFFSET($M94,0,IF(YEAR(AA$47)=VALUE(LEFT($K$47,4)),1,2))),
IF(YEAR($E94)&lt;VALUE(LEFT($K$47,4)),($M94+$N94)/12,0))</f>
        <v>0</v>
      </c>
      <c r="AB94" s="120">
        <f ca="1">+IF($E94=AB$47,SUM($M94:OFFSET($M94,0,IF(YEAR(AB$47)=VALUE(LEFT($K$47,4)),1,2))),
IF(YEAR($E94)&lt;VALUE(LEFT($K$47,4)),($M94+$N94)/12,0))</f>
        <v>0</v>
      </c>
      <c r="AC94" s="122">
        <f ca="1">+IF($E94=AC$47,SUM($M94:OFFSET($M94,0,IF(YEAR(AC$47)=VALUE(LEFT($K$47,4)),1,2))),
IF(YEAR($E94)&lt;=2015,$O94/12,0))</f>
        <v>0</v>
      </c>
      <c r="AD94" s="119">
        <f ca="1">+IF($E94=AD$47,SUM($M94:OFFSET($M94,0,IF(YEAR(AD$47)=VALUE(LEFT($K$47,4)),1,2))),
IF(YEAR($E94)&lt;=2015,$O94/12,0))</f>
        <v>0</v>
      </c>
      <c r="AE94" s="119">
        <f ca="1">+IF($E94=AE$47,SUM($M94:OFFSET($M94,0,IF(YEAR(AE$47)=VALUE(LEFT($K$47,4)),1,2))),
IF(YEAR($E94)&lt;=2015,$O94/12,0))</f>
        <v>0</v>
      </c>
      <c r="AF94" s="119">
        <f ca="1">+IF($E94=AF$47,SUM($M94:OFFSET($M94,0,IF(YEAR(AF$47)=VALUE(LEFT($K$47,4)),1,2))),
IF(YEAR($E94)&lt;=2015,$O94/12,0))</f>
        <v>0</v>
      </c>
      <c r="AG94" s="119">
        <f ca="1">+IF($E94=AG$47,SUM($M94:OFFSET($M94,0,IF(YEAR(AG$47)=VALUE(LEFT($K$47,4)),1,2))),
IF(YEAR($E94)&lt;=2015,$O94/12,0))</f>
        <v>0</v>
      </c>
      <c r="AH94" s="119">
        <f ca="1">+IF($E94=AH$47,SUM($M94:OFFSET($M94,0,IF(YEAR(AH$47)=VALUE(LEFT($K$47,4)),1,2))),
IF(YEAR($E94)&lt;=2015,$O94/12,0))</f>
        <v>212.39392000000001</v>
      </c>
      <c r="AI94" s="119">
        <f ca="1">+IF($E94=AI$47,SUM($M94:OFFSET($M94,0,IF(YEAR(AI$47)=VALUE(LEFT($K$47,4)),1,2))),
IF(YEAR($E94)&lt;=2015,$O94/12,0))</f>
        <v>0</v>
      </c>
      <c r="AJ94" s="119">
        <f ca="1">+IF($E94=AJ$47,SUM($M94:OFFSET($M94,0,IF(YEAR(AJ$47)=VALUE(LEFT($K$47,4)),1,2))),
IF(YEAR($E94)&lt;=2015,$O94/12,0))</f>
        <v>0</v>
      </c>
      <c r="AK94" s="119">
        <f ca="1">+IF($E94=AK$47,SUM($M94:OFFSET($M94,0,IF(YEAR(AK$47)=VALUE(LEFT($K$47,4)),1,2))),
IF(YEAR($E94)&lt;=2015,$O94/12,0))</f>
        <v>0</v>
      </c>
      <c r="AL94" s="119">
        <f ca="1">+IF($E94=AL$47,SUM($M94:OFFSET($M94,0,IF(YEAR(AL$47)=VALUE(LEFT($K$47,4)),1,2))),
IF(YEAR($E94)&lt;=2015,$O94/12,0))</f>
        <v>0</v>
      </c>
      <c r="AM94" s="119">
        <f ca="1">+IF($E94=AM$47,SUM($M94:OFFSET($M94,0,IF(YEAR(AM$47)=VALUE(LEFT($K$47,4)),1,2))),
IF(YEAR($E94)&lt;=2015,$O94/12,0))</f>
        <v>0</v>
      </c>
      <c r="AN94" s="120">
        <f ca="1">+IF($E94=AN$47,SUM($M94:OFFSET($M94,0,IF(YEAR(AN$47)=VALUE(LEFT($K$47,4)),1,2))),
IF(YEAR($E94)&lt;=2015,$O94/12,0))</f>
        <v>0</v>
      </c>
      <c r="AO94" s="121"/>
      <c r="AQ94" s="105"/>
      <c r="AR94" s="105"/>
    </row>
    <row r="95" spans="1:44" ht="15" x14ac:dyDescent="0.25">
      <c r="A95" s="96" t="s">
        <v>434</v>
      </c>
      <c r="B95" s="97" t="s">
        <v>435</v>
      </c>
      <c r="C95" s="98">
        <v>7645</v>
      </c>
      <c r="D95" s="99" t="s">
        <v>70</v>
      </c>
      <c r="E95" s="100">
        <v>42522</v>
      </c>
      <c r="F95" s="97" t="s">
        <v>71</v>
      </c>
      <c r="G95" s="101">
        <v>0</v>
      </c>
      <c r="H95" s="102">
        <v>1</v>
      </c>
      <c r="I95" s="263"/>
      <c r="J95" s="140">
        <v>0.33527000000000001</v>
      </c>
      <c r="K95" s="139">
        <v>150</v>
      </c>
      <c r="L95" s="119">
        <v>50</v>
      </c>
      <c r="M95" s="119">
        <f t="shared" si="13"/>
        <v>0.33527000000000001</v>
      </c>
      <c r="N95" s="121">
        <f t="shared" si="14"/>
        <v>150</v>
      </c>
      <c r="O95" s="120">
        <f t="shared" si="15"/>
        <v>50</v>
      </c>
      <c r="P95" s="121"/>
      <c r="Q95" s="122">
        <f ca="1">+IF($E95=Q$47,SUM($M95:OFFSET($M95,0,IF(YEAR(Q$47)=VALUE(LEFT($K$47,4)),1,2))),
IF(YEAR($E95)&lt;VALUE(LEFT($K$47,4)),($M95+$N95)/12,0))</f>
        <v>0</v>
      </c>
      <c r="R95" s="119">
        <f ca="1">+IF($E95=R$47,SUM($M95:OFFSET($M95,0,IF(YEAR(R$47)=VALUE(LEFT($K$47,4)),1,2))),
IF(YEAR($E95)&lt;VALUE(LEFT($K$47,4)),($M95+$N95)/12,0))</f>
        <v>0</v>
      </c>
      <c r="S95" s="119">
        <f ca="1">+IF($E95=S$47,SUM($M95:OFFSET($M95,0,IF(YEAR(S$47)=VALUE(LEFT($K$47,4)),1,2))),
IF(YEAR($E95)&lt;VALUE(LEFT($K$47,4)),($M95+$N95)/12,0))</f>
        <v>0</v>
      </c>
      <c r="T95" s="119">
        <f ca="1">+IF($E95=T$47,SUM($M95:OFFSET($M95,0,IF(YEAR(T$47)=VALUE(LEFT($K$47,4)),1,2))),
IF(YEAR($E95)&lt;VALUE(LEFT($K$47,4)),($M95+$N95)/12,0))</f>
        <v>0</v>
      </c>
      <c r="U95" s="119">
        <f ca="1">+IF($E95=U$47,SUM($M95:OFFSET($M95,0,IF(YEAR(U$47)=VALUE(LEFT($K$47,4)),1,2))),
IF(YEAR($E95)&lt;VALUE(LEFT($K$47,4)),($M95+$N95)/12,0))</f>
        <v>0</v>
      </c>
      <c r="V95" s="119">
        <f ca="1">+IF($E95=V$47,SUM($M95:OFFSET($M95,0,IF(YEAR(V$47)=VALUE(LEFT($K$47,4)),1,2))),
IF(YEAR($E95)&lt;VALUE(LEFT($K$47,4)),($M95+$N95)/12,0))</f>
        <v>0</v>
      </c>
      <c r="W95" s="119">
        <f ca="1">+IF($E95=W$47,SUM($M95:OFFSET($M95,0,IF(YEAR(W$47)=VALUE(LEFT($K$47,4)),1,2))),
IF(YEAR($E95)&lt;VALUE(LEFT($K$47,4)),($M95+$N95)/12,0))</f>
        <v>0</v>
      </c>
      <c r="X95" s="119">
        <f ca="1">+IF($E95=X$47,SUM($M95:OFFSET($M95,0,IF(YEAR(X$47)=VALUE(LEFT($K$47,4)),1,2))),
IF(YEAR($E95)&lt;VALUE(LEFT($K$47,4)),($M95+$N95)/12,0))</f>
        <v>0</v>
      </c>
      <c r="Y95" s="119">
        <f ca="1">+IF($E95=Y$47,SUM($M95:OFFSET($M95,0,IF(YEAR(Y$47)=VALUE(LEFT($K$47,4)),1,2))),
IF(YEAR($E95)&lt;VALUE(LEFT($K$47,4)),($M95+$N95)/12,0))</f>
        <v>0</v>
      </c>
      <c r="Z95" s="119">
        <f ca="1">+IF($E95=Z$47,SUM($M95:OFFSET($M95,0,IF(YEAR(Z$47)=VALUE(LEFT($K$47,4)),1,2))),
IF(YEAR($E95)&lt;VALUE(LEFT($K$47,4)),($M95+$N95)/12,0))</f>
        <v>0</v>
      </c>
      <c r="AA95" s="119">
        <f ca="1">+IF($E95=AA$47,SUM($M95:OFFSET($M95,0,IF(YEAR(AA$47)=VALUE(LEFT($K$47,4)),1,2))),
IF(YEAR($E95)&lt;VALUE(LEFT($K$47,4)),($M95+$N95)/12,0))</f>
        <v>0</v>
      </c>
      <c r="AB95" s="120">
        <f ca="1">+IF($E95=AB$47,SUM($M95:OFFSET($M95,0,IF(YEAR(AB$47)=VALUE(LEFT($K$47,4)),1,2))),
IF(YEAR($E95)&lt;VALUE(LEFT($K$47,4)),($M95+$N95)/12,0))</f>
        <v>0</v>
      </c>
      <c r="AC95" s="122">
        <f ca="1">+IF($E95=AC$47,SUM($M95:OFFSET($M95,0,IF(YEAR(AC$47)=VALUE(LEFT($K$47,4)),1,2))),
IF(YEAR($E95)&lt;=2015,$O95/12,0))</f>
        <v>0</v>
      </c>
      <c r="AD95" s="119">
        <f ca="1">+IF($E95=AD$47,SUM($M95:OFFSET($M95,0,IF(YEAR(AD$47)=VALUE(LEFT($K$47,4)),1,2))),
IF(YEAR($E95)&lt;=2015,$O95/12,0))</f>
        <v>0</v>
      </c>
      <c r="AE95" s="119">
        <f ca="1">+IF($E95=AE$47,SUM($M95:OFFSET($M95,0,IF(YEAR(AE$47)=VALUE(LEFT($K$47,4)),1,2))),
IF(YEAR($E95)&lt;=2015,$O95/12,0))</f>
        <v>0</v>
      </c>
      <c r="AF95" s="119">
        <f ca="1">+IF($E95=AF$47,SUM($M95:OFFSET($M95,0,IF(YEAR(AF$47)=VALUE(LEFT($K$47,4)),1,2))),
IF(YEAR($E95)&lt;=2015,$O95/12,0))</f>
        <v>0</v>
      </c>
      <c r="AG95" s="119">
        <f ca="1">+IF($E95=AG$47,SUM($M95:OFFSET($M95,0,IF(YEAR(AG$47)=VALUE(LEFT($K$47,4)),1,2))),
IF(YEAR($E95)&lt;=2015,$O95/12,0))</f>
        <v>0</v>
      </c>
      <c r="AH95" s="119">
        <f ca="1">+IF($E95=AH$47,SUM($M95:OFFSET($M95,0,IF(YEAR(AH$47)=VALUE(LEFT($K$47,4)),1,2))),
IF(YEAR($E95)&lt;=2015,$O95/12,0))</f>
        <v>200.33527000000001</v>
      </c>
      <c r="AI95" s="119">
        <f ca="1">+IF($E95=AI$47,SUM($M95:OFFSET($M95,0,IF(YEAR(AI$47)=VALUE(LEFT($K$47,4)),1,2))),
IF(YEAR($E95)&lt;=2015,$O95/12,0))</f>
        <v>0</v>
      </c>
      <c r="AJ95" s="119">
        <f ca="1">+IF($E95=AJ$47,SUM($M95:OFFSET($M95,0,IF(YEAR(AJ$47)=VALUE(LEFT($K$47,4)),1,2))),
IF(YEAR($E95)&lt;=2015,$O95/12,0))</f>
        <v>0</v>
      </c>
      <c r="AK95" s="119">
        <f ca="1">+IF($E95=AK$47,SUM($M95:OFFSET($M95,0,IF(YEAR(AK$47)=VALUE(LEFT($K$47,4)),1,2))),
IF(YEAR($E95)&lt;=2015,$O95/12,0))</f>
        <v>0</v>
      </c>
      <c r="AL95" s="119">
        <f ca="1">+IF($E95=AL$47,SUM($M95:OFFSET($M95,0,IF(YEAR(AL$47)=VALUE(LEFT($K$47,4)),1,2))),
IF(YEAR($E95)&lt;=2015,$O95/12,0))</f>
        <v>0</v>
      </c>
      <c r="AM95" s="119">
        <f ca="1">+IF($E95=AM$47,SUM($M95:OFFSET($M95,0,IF(YEAR(AM$47)=VALUE(LEFT($K$47,4)),1,2))),
IF(YEAR($E95)&lt;=2015,$O95/12,0))</f>
        <v>0</v>
      </c>
      <c r="AN95" s="120">
        <f ca="1">+IF($E95=AN$47,SUM($M95:OFFSET($M95,0,IF(YEAR(AN$47)=VALUE(LEFT($K$47,4)),1,2))),
IF(YEAR($E95)&lt;=2015,$O95/12,0))</f>
        <v>0</v>
      </c>
      <c r="AO95" s="121"/>
      <c r="AQ95" s="105"/>
      <c r="AR95" s="105"/>
    </row>
    <row r="96" spans="1:44" ht="15" x14ac:dyDescent="0.25">
      <c r="A96" s="96" t="s">
        <v>436</v>
      </c>
      <c r="B96" s="97" t="s">
        <v>437</v>
      </c>
      <c r="C96" s="98">
        <v>7451</v>
      </c>
      <c r="D96" s="99" t="s">
        <v>96</v>
      </c>
      <c r="E96" s="100">
        <v>42339</v>
      </c>
      <c r="F96" s="97" t="s">
        <v>78</v>
      </c>
      <c r="G96" s="101">
        <v>0</v>
      </c>
      <c r="H96" s="102">
        <v>0.71</v>
      </c>
      <c r="I96" s="263"/>
      <c r="J96" s="140">
        <v>5999.802080000004</v>
      </c>
      <c r="K96" s="139">
        <v>5256.9059999999999</v>
      </c>
      <c r="L96" s="119">
        <v>1000</v>
      </c>
      <c r="M96" s="119">
        <f t="shared" si="13"/>
        <v>4259.859476800003</v>
      </c>
      <c r="N96" s="121">
        <f t="shared" si="14"/>
        <v>3732.4032599999996</v>
      </c>
      <c r="O96" s="120">
        <f t="shared" si="15"/>
        <v>710</v>
      </c>
      <c r="P96" s="121"/>
      <c r="Q96" s="122">
        <f ca="1">+IF($E96=Q$47,SUM($M96:OFFSET($M96,0,IF(YEAR(Q$47)=VALUE(LEFT($K$47,4)),1,2))),
IF(YEAR($E96)&lt;VALUE(LEFT($K$47,4)),($M96+$N96)/12,0))</f>
        <v>0</v>
      </c>
      <c r="R96" s="119">
        <f ca="1">+IF($E96=R$47,SUM($M96:OFFSET($M96,0,IF(YEAR(R$47)=VALUE(LEFT($K$47,4)),1,2))),
IF(YEAR($E96)&lt;VALUE(LEFT($K$47,4)),($M96+$N96)/12,0))</f>
        <v>0</v>
      </c>
      <c r="S96" s="119">
        <f ca="1">+IF($E96=S$47,SUM($M96:OFFSET($M96,0,IF(YEAR(S$47)=VALUE(LEFT($K$47,4)),1,2))),
IF(YEAR($E96)&lt;VALUE(LEFT($K$47,4)),($M96+$N96)/12,0))</f>
        <v>0</v>
      </c>
      <c r="T96" s="119">
        <f ca="1">+IF($E96=T$47,SUM($M96:OFFSET($M96,0,IF(YEAR(T$47)=VALUE(LEFT($K$47,4)),1,2))),
IF(YEAR($E96)&lt;VALUE(LEFT($K$47,4)),($M96+$N96)/12,0))</f>
        <v>0</v>
      </c>
      <c r="U96" s="119">
        <f ca="1">+IF($E96=U$47,SUM($M96:OFFSET($M96,0,IF(YEAR(U$47)=VALUE(LEFT($K$47,4)),1,2))),
IF(YEAR($E96)&lt;VALUE(LEFT($K$47,4)),($M96+$N96)/12,0))</f>
        <v>0</v>
      </c>
      <c r="V96" s="119">
        <f ca="1">+IF($E96=V$47,SUM($M96:OFFSET($M96,0,IF(YEAR(V$47)=VALUE(LEFT($K$47,4)),1,2))),
IF(YEAR($E96)&lt;VALUE(LEFT($K$47,4)),($M96+$N96)/12,0))</f>
        <v>0</v>
      </c>
      <c r="W96" s="119">
        <f ca="1">+IF($E96=W$47,SUM($M96:OFFSET($M96,0,IF(YEAR(W$47)=VALUE(LEFT($K$47,4)),1,2))),
IF(YEAR($E96)&lt;VALUE(LEFT($K$47,4)),($M96+$N96)/12,0))</f>
        <v>0</v>
      </c>
      <c r="X96" s="119">
        <f ca="1">+IF($E96=X$47,SUM($M96:OFFSET($M96,0,IF(YEAR(X$47)=VALUE(LEFT($K$47,4)),1,2))),
IF(YEAR($E96)&lt;VALUE(LEFT($K$47,4)),($M96+$N96)/12,0))</f>
        <v>0</v>
      </c>
      <c r="Y96" s="119">
        <f ca="1">+IF($E96=Y$47,SUM($M96:OFFSET($M96,0,IF(YEAR(Y$47)=VALUE(LEFT($K$47,4)),1,2))),
IF(YEAR($E96)&lt;VALUE(LEFT($K$47,4)),($M96+$N96)/12,0))</f>
        <v>0</v>
      </c>
      <c r="Z96" s="119">
        <f ca="1">+IF($E96=Z$47,SUM($M96:OFFSET($M96,0,IF(YEAR(Z$47)=VALUE(LEFT($K$47,4)),1,2))),
IF(YEAR($E96)&lt;VALUE(LEFT($K$47,4)),($M96+$N96)/12,0))</f>
        <v>0</v>
      </c>
      <c r="AA96" s="119">
        <f ca="1">+IF($E96=AA$47,SUM($M96:OFFSET($M96,0,IF(YEAR(AA$47)=VALUE(LEFT($K$47,4)),1,2))),
IF(YEAR($E96)&lt;VALUE(LEFT($K$47,4)),($M96+$N96)/12,0))</f>
        <v>0</v>
      </c>
      <c r="AB96" s="120">
        <f ca="1">+IF($E96=AB$47,SUM($M96:OFFSET($M96,0,IF(YEAR(AB$47)=VALUE(LEFT($K$47,4)),1,2))),
IF(YEAR($E96)&lt;VALUE(LEFT($K$47,4)),($M96+$N96)/12,0))</f>
        <v>7992.262736800003</v>
      </c>
      <c r="AC96" s="122">
        <f ca="1">+IF($E96=AC$47,SUM($M96:OFFSET($M96,0,IF(YEAR(AC$47)=VALUE(LEFT($K$47,4)),1,2))),
IF(YEAR($E96)&lt;=2015,$O96/12,0))</f>
        <v>59.166666666666664</v>
      </c>
      <c r="AD96" s="119">
        <f ca="1">+IF($E96=AD$47,SUM($M96:OFFSET($M96,0,IF(YEAR(AD$47)=VALUE(LEFT($K$47,4)),1,2))),
IF(YEAR($E96)&lt;=2015,$O96/12,0))</f>
        <v>59.166666666666664</v>
      </c>
      <c r="AE96" s="119">
        <f ca="1">+IF($E96=AE$47,SUM($M96:OFFSET($M96,0,IF(YEAR(AE$47)=VALUE(LEFT($K$47,4)),1,2))),
IF(YEAR($E96)&lt;=2015,$O96/12,0))</f>
        <v>59.166666666666664</v>
      </c>
      <c r="AF96" s="119">
        <f ca="1">+IF($E96=AF$47,SUM($M96:OFFSET($M96,0,IF(YEAR(AF$47)=VALUE(LEFT($K$47,4)),1,2))),
IF(YEAR($E96)&lt;=2015,$O96/12,0))</f>
        <v>59.166666666666664</v>
      </c>
      <c r="AG96" s="119">
        <f ca="1">+IF($E96=AG$47,SUM($M96:OFFSET($M96,0,IF(YEAR(AG$47)=VALUE(LEFT($K$47,4)),1,2))),
IF(YEAR($E96)&lt;=2015,$O96/12,0))</f>
        <v>59.166666666666664</v>
      </c>
      <c r="AH96" s="119">
        <f ca="1">+IF($E96=AH$47,SUM($M96:OFFSET($M96,0,IF(YEAR(AH$47)=VALUE(LEFT($K$47,4)),1,2))),
IF(YEAR($E96)&lt;=2015,$O96/12,0))</f>
        <v>59.166666666666664</v>
      </c>
      <c r="AI96" s="119">
        <f ca="1">+IF($E96=AI$47,SUM($M96:OFFSET($M96,0,IF(YEAR(AI$47)=VALUE(LEFT($K$47,4)),1,2))),
IF(YEAR($E96)&lt;=2015,$O96/12,0))</f>
        <v>59.166666666666664</v>
      </c>
      <c r="AJ96" s="119">
        <f ca="1">+IF($E96=AJ$47,SUM($M96:OFFSET($M96,0,IF(YEAR(AJ$47)=VALUE(LEFT($K$47,4)),1,2))),
IF(YEAR($E96)&lt;=2015,$O96/12,0))</f>
        <v>59.166666666666664</v>
      </c>
      <c r="AK96" s="119">
        <f ca="1">+IF($E96=AK$47,SUM($M96:OFFSET($M96,0,IF(YEAR(AK$47)=VALUE(LEFT($K$47,4)),1,2))),
IF(YEAR($E96)&lt;=2015,$O96/12,0))</f>
        <v>59.166666666666664</v>
      </c>
      <c r="AL96" s="119">
        <f ca="1">+IF($E96=AL$47,SUM($M96:OFFSET($M96,0,IF(YEAR(AL$47)=VALUE(LEFT($K$47,4)),1,2))),
IF(YEAR($E96)&lt;=2015,$O96/12,0))</f>
        <v>59.166666666666664</v>
      </c>
      <c r="AM96" s="119">
        <f ca="1">+IF($E96=AM$47,SUM($M96:OFFSET($M96,0,IF(YEAR(AM$47)=VALUE(LEFT($K$47,4)),1,2))),
IF(YEAR($E96)&lt;=2015,$O96/12,0))</f>
        <v>59.166666666666664</v>
      </c>
      <c r="AN96" s="120">
        <f ca="1">+IF($E96=AN$47,SUM($M96:OFFSET($M96,0,IF(YEAR(AN$47)=VALUE(LEFT($K$47,4)),1,2))),
IF(YEAR($E96)&lt;=2015,$O96/12,0))</f>
        <v>59.166666666666664</v>
      </c>
      <c r="AO96" s="121"/>
      <c r="AQ96" s="105"/>
      <c r="AR96" s="105"/>
    </row>
    <row r="97" spans="1:44" ht="15" x14ac:dyDescent="0.25">
      <c r="A97" s="96" t="s">
        <v>243</v>
      </c>
      <c r="B97" s="97" t="s">
        <v>438</v>
      </c>
      <c r="C97" s="98">
        <v>7451</v>
      </c>
      <c r="D97" s="99" t="s">
        <v>70</v>
      </c>
      <c r="E97" s="100">
        <v>42705</v>
      </c>
      <c r="F97" s="97" t="s">
        <v>78</v>
      </c>
      <c r="G97" s="101">
        <v>0</v>
      </c>
      <c r="H97" s="102">
        <v>1</v>
      </c>
      <c r="I97" s="263"/>
      <c r="J97" s="140">
        <v>0</v>
      </c>
      <c r="K97" s="139">
        <v>75</v>
      </c>
      <c r="L97" s="119">
        <v>325</v>
      </c>
      <c r="M97" s="119">
        <f t="shared" si="13"/>
        <v>0</v>
      </c>
      <c r="N97" s="121">
        <f t="shared" si="14"/>
        <v>75</v>
      </c>
      <c r="O97" s="120">
        <f t="shared" si="15"/>
        <v>325</v>
      </c>
      <c r="P97" s="121"/>
      <c r="Q97" s="122">
        <f ca="1">+IF($E97=Q$47,SUM($M97:OFFSET($M97,0,IF(YEAR(Q$47)=VALUE(LEFT($K$47,4)),1,2))),
IF(YEAR($E97)&lt;VALUE(LEFT($K$47,4)),($M97+$N97)/12,0))</f>
        <v>0</v>
      </c>
      <c r="R97" s="119">
        <f ca="1">+IF($E97=R$47,SUM($M97:OFFSET($M97,0,IF(YEAR(R$47)=VALUE(LEFT($K$47,4)),1,2))),
IF(YEAR($E97)&lt;VALUE(LEFT($K$47,4)),($M97+$N97)/12,0))</f>
        <v>0</v>
      </c>
      <c r="S97" s="119">
        <f ca="1">+IF($E97=S$47,SUM($M97:OFFSET($M97,0,IF(YEAR(S$47)=VALUE(LEFT($K$47,4)),1,2))),
IF(YEAR($E97)&lt;VALUE(LEFT($K$47,4)),($M97+$N97)/12,0))</f>
        <v>0</v>
      </c>
      <c r="T97" s="119">
        <f ca="1">+IF($E97=T$47,SUM($M97:OFFSET($M97,0,IF(YEAR(T$47)=VALUE(LEFT($K$47,4)),1,2))),
IF(YEAR($E97)&lt;VALUE(LEFT($K$47,4)),($M97+$N97)/12,0))</f>
        <v>0</v>
      </c>
      <c r="U97" s="119">
        <f ca="1">+IF($E97=U$47,SUM($M97:OFFSET($M97,0,IF(YEAR(U$47)=VALUE(LEFT($K$47,4)),1,2))),
IF(YEAR($E97)&lt;VALUE(LEFT($K$47,4)),($M97+$N97)/12,0))</f>
        <v>0</v>
      </c>
      <c r="V97" s="119">
        <f ca="1">+IF($E97=V$47,SUM($M97:OFFSET($M97,0,IF(YEAR(V$47)=VALUE(LEFT($K$47,4)),1,2))),
IF(YEAR($E97)&lt;VALUE(LEFT($K$47,4)),($M97+$N97)/12,0))</f>
        <v>0</v>
      </c>
      <c r="W97" s="119">
        <f ca="1">+IF($E97=W$47,SUM($M97:OFFSET($M97,0,IF(YEAR(W$47)=VALUE(LEFT($K$47,4)),1,2))),
IF(YEAR($E97)&lt;VALUE(LEFT($K$47,4)),($M97+$N97)/12,0))</f>
        <v>0</v>
      </c>
      <c r="X97" s="119">
        <f ca="1">+IF($E97=X$47,SUM($M97:OFFSET($M97,0,IF(YEAR(X$47)=VALUE(LEFT($K$47,4)),1,2))),
IF(YEAR($E97)&lt;VALUE(LEFT($K$47,4)),($M97+$N97)/12,0))</f>
        <v>0</v>
      </c>
      <c r="Y97" s="119">
        <f ca="1">+IF($E97=Y$47,SUM($M97:OFFSET($M97,0,IF(YEAR(Y$47)=VALUE(LEFT($K$47,4)),1,2))),
IF(YEAR($E97)&lt;VALUE(LEFT($K$47,4)),($M97+$N97)/12,0))</f>
        <v>0</v>
      </c>
      <c r="Z97" s="119">
        <f ca="1">+IF($E97=Z$47,SUM($M97:OFFSET($M97,0,IF(YEAR(Z$47)=VALUE(LEFT($K$47,4)),1,2))),
IF(YEAR($E97)&lt;VALUE(LEFT($K$47,4)),($M97+$N97)/12,0))</f>
        <v>0</v>
      </c>
      <c r="AA97" s="119">
        <f ca="1">+IF($E97=AA$47,SUM($M97:OFFSET($M97,0,IF(YEAR(AA$47)=VALUE(LEFT($K$47,4)),1,2))),
IF(YEAR($E97)&lt;VALUE(LEFT($K$47,4)),($M97+$N97)/12,0))</f>
        <v>0</v>
      </c>
      <c r="AB97" s="120">
        <f ca="1">+IF($E97=AB$47,SUM($M97:OFFSET($M97,0,IF(YEAR(AB$47)=VALUE(LEFT($K$47,4)),1,2))),
IF(YEAR($E97)&lt;VALUE(LEFT($K$47,4)),($M97+$N97)/12,0))</f>
        <v>0</v>
      </c>
      <c r="AC97" s="122">
        <f ca="1">+IF($E97=AC$47,SUM($M97:OFFSET($M97,0,IF(YEAR(AC$47)=VALUE(LEFT($K$47,4)),1,2))),
IF(YEAR($E97)&lt;=2015,$O97/12,0))</f>
        <v>0</v>
      </c>
      <c r="AD97" s="119">
        <f ca="1">+IF($E97=AD$47,SUM($M97:OFFSET($M97,0,IF(YEAR(AD$47)=VALUE(LEFT($K$47,4)),1,2))),
IF(YEAR($E97)&lt;=2015,$O97/12,0))</f>
        <v>0</v>
      </c>
      <c r="AE97" s="119">
        <f ca="1">+IF($E97=AE$47,SUM($M97:OFFSET($M97,0,IF(YEAR(AE$47)=VALUE(LEFT($K$47,4)),1,2))),
IF(YEAR($E97)&lt;=2015,$O97/12,0))</f>
        <v>0</v>
      </c>
      <c r="AF97" s="119">
        <f ca="1">+IF($E97=AF$47,SUM($M97:OFFSET($M97,0,IF(YEAR(AF$47)=VALUE(LEFT($K$47,4)),1,2))),
IF(YEAR($E97)&lt;=2015,$O97/12,0))</f>
        <v>0</v>
      </c>
      <c r="AG97" s="119">
        <f ca="1">+IF($E97=AG$47,SUM($M97:OFFSET($M97,0,IF(YEAR(AG$47)=VALUE(LEFT($K$47,4)),1,2))),
IF(YEAR($E97)&lt;=2015,$O97/12,0))</f>
        <v>0</v>
      </c>
      <c r="AH97" s="119">
        <f ca="1">+IF($E97=AH$47,SUM($M97:OFFSET($M97,0,IF(YEAR(AH$47)=VALUE(LEFT($K$47,4)),1,2))),
IF(YEAR($E97)&lt;=2015,$O97/12,0))</f>
        <v>0</v>
      </c>
      <c r="AI97" s="119">
        <f ca="1">+IF($E97=AI$47,SUM($M97:OFFSET($M97,0,IF(YEAR(AI$47)=VALUE(LEFT($K$47,4)),1,2))),
IF(YEAR($E97)&lt;=2015,$O97/12,0))</f>
        <v>0</v>
      </c>
      <c r="AJ97" s="119">
        <f ca="1">+IF($E97=AJ$47,SUM($M97:OFFSET($M97,0,IF(YEAR(AJ$47)=VALUE(LEFT($K$47,4)),1,2))),
IF(YEAR($E97)&lt;=2015,$O97/12,0))</f>
        <v>0</v>
      </c>
      <c r="AK97" s="119">
        <f ca="1">+IF($E97=AK$47,SUM($M97:OFFSET($M97,0,IF(YEAR(AK$47)=VALUE(LEFT($K$47,4)),1,2))),
IF(YEAR($E97)&lt;=2015,$O97/12,0))</f>
        <v>0</v>
      </c>
      <c r="AL97" s="119">
        <f ca="1">+IF($E97=AL$47,SUM($M97:OFFSET($M97,0,IF(YEAR(AL$47)=VALUE(LEFT($K$47,4)),1,2))),
IF(YEAR($E97)&lt;=2015,$O97/12,0))</f>
        <v>0</v>
      </c>
      <c r="AM97" s="119">
        <f ca="1">+IF($E97=AM$47,SUM($M97:OFFSET($M97,0,IF(YEAR(AM$47)=VALUE(LEFT($K$47,4)),1,2))),
IF(YEAR($E97)&lt;=2015,$O97/12,0))</f>
        <v>0</v>
      </c>
      <c r="AN97" s="120">
        <f ca="1">+IF($E97=AN$47,SUM($M97:OFFSET($M97,0,IF(YEAR(AN$47)=VALUE(LEFT($K$47,4)),1,2))),
IF(YEAR($E97)&lt;=2015,$O97/12,0))</f>
        <v>400</v>
      </c>
      <c r="AO97" s="121"/>
      <c r="AQ97" s="105"/>
      <c r="AR97" s="105"/>
    </row>
    <row r="98" spans="1:44" ht="15" x14ac:dyDescent="0.25">
      <c r="A98" s="96" t="s">
        <v>439</v>
      </c>
      <c r="B98" s="97" t="s">
        <v>440</v>
      </c>
      <c r="C98" s="98">
        <v>7763</v>
      </c>
      <c r="D98" s="99" t="s">
        <v>70</v>
      </c>
      <c r="E98" s="100">
        <v>42705</v>
      </c>
      <c r="F98" s="97" t="s">
        <v>78</v>
      </c>
      <c r="G98" s="101">
        <v>0</v>
      </c>
      <c r="H98" s="102">
        <v>1</v>
      </c>
      <c r="I98" s="263"/>
      <c r="J98" s="140">
        <v>0</v>
      </c>
      <c r="K98" s="139">
        <v>202.2</v>
      </c>
      <c r="L98" s="119">
        <v>802.2</v>
      </c>
      <c r="M98" s="119">
        <f t="shared" si="13"/>
        <v>0</v>
      </c>
      <c r="N98" s="121">
        <f t="shared" si="14"/>
        <v>202.2</v>
      </c>
      <c r="O98" s="120">
        <f t="shared" si="15"/>
        <v>802.2</v>
      </c>
      <c r="P98" s="121"/>
      <c r="Q98" s="122">
        <f ca="1">+IF($E98=Q$47,SUM($M98:OFFSET($M98,0,IF(YEAR(Q$47)=VALUE(LEFT($K$47,4)),1,2))),
IF(YEAR($E98)&lt;VALUE(LEFT($K$47,4)),($M98+$N98)/12,0))</f>
        <v>0</v>
      </c>
      <c r="R98" s="119">
        <f ca="1">+IF($E98=R$47,SUM($M98:OFFSET($M98,0,IF(YEAR(R$47)=VALUE(LEFT($K$47,4)),1,2))),
IF(YEAR($E98)&lt;VALUE(LEFT($K$47,4)),($M98+$N98)/12,0))</f>
        <v>0</v>
      </c>
      <c r="S98" s="119">
        <f ca="1">+IF($E98=S$47,SUM($M98:OFFSET($M98,0,IF(YEAR(S$47)=VALUE(LEFT($K$47,4)),1,2))),
IF(YEAR($E98)&lt;VALUE(LEFT($K$47,4)),($M98+$N98)/12,0))</f>
        <v>0</v>
      </c>
      <c r="T98" s="119">
        <f ca="1">+IF($E98=T$47,SUM($M98:OFFSET($M98,0,IF(YEAR(T$47)=VALUE(LEFT($K$47,4)),1,2))),
IF(YEAR($E98)&lt;VALUE(LEFT($K$47,4)),($M98+$N98)/12,0))</f>
        <v>0</v>
      </c>
      <c r="U98" s="119">
        <f ca="1">+IF($E98=U$47,SUM($M98:OFFSET($M98,0,IF(YEAR(U$47)=VALUE(LEFT($K$47,4)),1,2))),
IF(YEAR($E98)&lt;VALUE(LEFT($K$47,4)),($M98+$N98)/12,0))</f>
        <v>0</v>
      </c>
      <c r="V98" s="119">
        <f ca="1">+IF($E98=V$47,SUM($M98:OFFSET($M98,0,IF(YEAR(V$47)=VALUE(LEFT($K$47,4)),1,2))),
IF(YEAR($E98)&lt;VALUE(LEFT($K$47,4)),($M98+$N98)/12,0))</f>
        <v>0</v>
      </c>
      <c r="W98" s="119">
        <f ca="1">+IF($E98=W$47,SUM($M98:OFFSET($M98,0,IF(YEAR(W$47)=VALUE(LEFT($K$47,4)),1,2))),
IF(YEAR($E98)&lt;VALUE(LEFT($K$47,4)),($M98+$N98)/12,0))</f>
        <v>0</v>
      </c>
      <c r="X98" s="119">
        <f ca="1">+IF($E98=X$47,SUM($M98:OFFSET($M98,0,IF(YEAR(X$47)=VALUE(LEFT($K$47,4)),1,2))),
IF(YEAR($E98)&lt;VALUE(LEFT($K$47,4)),($M98+$N98)/12,0))</f>
        <v>0</v>
      </c>
      <c r="Y98" s="119">
        <f ca="1">+IF($E98=Y$47,SUM($M98:OFFSET($M98,0,IF(YEAR(Y$47)=VALUE(LEFT($K$47,4)),1,2))),
IF(YEAR($E98)&lt;VALUE(LEFT($K$47,4)),($M98+$N98)/12,0))</f>
        <v>0</v>
      </c>
      <c r="Z98" s="119">
        <f ca="1">+IF($E98=Z$47,SUM($M98:OFFSET($M98,0,IF(YEAR(Z$47)=VALUE(LEFT($K$47,4)),1,2))),
IF(YEAR($E98)&lt;VALUE(LEFT($K$47,4)),($M98+$N98)/12,0))</f>
        <v>0</v>
      </c>
      <c r="AA98" s="119">
        <f ca="1">+IF($E98=AA$47,SUM($M98:OFFSET($M98,0,IF(YEAR(AA$47)=VALUE(LEFT($K$47,4)),1,2))),
IF(YEAR($E98)&lt;VALUE(LEFT($K$47,4)),($M98+$N98)/12,0))</f>
        <v>0</v>
      </c>
      <c r="AB98" s="120">
        <f ca="1">+IF($E98=AB$47,SUM($M98:OFFSET($M98,0,IF(YEAR(AB$47)=VALUE(LEFT($K$47,4)),1,2))),
IF(YEAR($E98)&lt;VALUE(LEFT($K$47,4)),($M98+$N98)/12,0))</f>
        <v>0</v>
      </c>
      <c r="AC98" s="122">
        <f ca="1">+IF($E98=AC$47,SUM($M98:OFFSET($M98,0,IF(YEAR(AC$47)=VALUE(LEFT($K$47,4)),1,2))),
IF(YEAR($E98)&lt;=2015,$O98/12,0))</f>
        <v>0</v>
      </c>
      <c r="AD98" s="119">
        <f ca="1">+IF($E98=AD$47,SUM($M98:OFFSET($M98,0,IF(YEAR(AD$47)=VALUE(LEFT($K$47,4)),1,2))),
IF(YEAR($E98)&lt;=2015,$O98/12,0))</f>
        <v>0</v>
      </c>
      <c r="AE98" s="119">
        <f ca="1">+IF($E98=AE$47,SUM($M98:OFFSET($M98,0,IF(YEAR(AE$47)=VALUE(LEFT($K$47,4)),1,2))),
IF(YEAR($E98)&lt;=2015,$O98/12,0))</f>
        <v>0</v>
      </c>
      <c r="AF98" s="119">
        <f ca="1">+IF($E98=AF$47,SUM($M98:OFFSET($M98,0,IF(YEAR(AF$47)=VALUE(LEFT($K$47,4)),1,2))),
IF(YEAR($E98)&lt;=2015,$O98/12,0))</f>
        <v>0</v>
      </c>
      <c r="AG98" s="119">
        <f ca="1">+IF($E98=AG$47,SUM($M98:OFFSET($M98,0,IF(YEAR(AG$47)=VALUE(LEFT($K$47,4)),1,2))),
IF(YEAR($E98)&lt;=2015,$O98/12,0))</f>
        <v>0</v>
      </c>
      <c r="AH98" s="119">
        <f ca="1">+IF($E98=AH$47,SUM($M98:OFFSET($M98,0,IF(YEAR(AH$47)=VALUE(LEFT($K$47,4)),1,2))),
IF(YEAR($E98)&lt;=2015,$O98/12,0))</f>
        <v>0</v>
      </c>
      <c r="AI98" s="119">
        <f ca="1">+IF($E98=AI$47,SUM($M98:OFFSET($M98,0,IF(YEAR(AI$47)=VALUE(LEFT($K$47,4)),1,2))),
IF(YEAR($E98)&lt;=2015,$O98/12,0))</f>
        <v>0</v>
      </c>
      <c r="AJ98" s="119">
        <f ca="1">+IF($E98=AJ$47,SUM($M98:OFFSET($M98,0,IF(YEAR(AJ$47)=VALUE(LEFT($K$47,4)),1,2))),
IF(YEAR($E98)&lt;=2015,$O98/12,0))</f>
        <v>0</v>
      </c>
      <c r="AK98" s="119">
        <f ca="1">+IF($E98=AK$47,SUM($M98:OFFSET($M98,0,IF(YEAR(AK$47)=VALUE(LEFT($K$47,4)),1,2))),
IF(YEAR($E98)&lt;=2015,$O98/12,0))</f>
        <v>0</v>
      </c>
      <c r="AL98" s="119">
        <f ca="1">+IF($E98=AL$47,SUM($M98:OFFSET($M98,0,IF(YEAR(AL$47)=VALUE(LEFT($K$47,4)),1,2))),
IF(YEAR($E98)&lt;=2015,$O98/12,0))</f>
        <v>0</v>
      </c>
      <c r="AM98" s="119">
        <f ca="1">+IF($E98=AM$47,SUM($M98:OFFSET($M98,0,IF(YEAR(AM$47)=VALUE(LEFT($K$47,4)),1,2))),
IF(YEAR($E98)&lt;=2015,$O98/12,0))</f>
        <v>0</v>
      </c>
      <c r="AN98" s="120">
        <f ca="1">+IF($E98=AN$47,SUM($M98:OFFSET($M98,0,IF(YEAR(AN$47)=VALUE(LEFT($K$47,4)),1,2))),
IF(YEAR($E98)&lt;=2015,$O98/12,0))</f>
        <v>1004.4000000000001</v>
      </c>
      <c r="AO98" s="121"/>
      <c r="AQ98" s="105"/>
      <c r="AR98" s="105"/>
    </row>
    <row r="99" spans="1:44" ht="15" x14ac:dyDescent="0.25">
      <c r="A99" s="96" t="s">
        <v>441</v>
      </c>
      <c r="B99" s="97" t="s">
        <v>442</v>
      </c>
      <c r="C99" s="98">
        <v>7763</v>
      </c>
      <c r="D99" s="99" t="s">
        <v>70</v>
      </c>
      <c r="E99" s="100">
        <v>42705</v>
      </c>
      <c r="F99" s="97" t="s">
        <v>78</v>
      </c>
      <c r="G99" s="101">
        <v>0</v>
      </c>
      <c r="H99" s="102">
        <v>1</v>
      </c>
      <c r="I99" s="263"/>
      <c r="J99" s="140">
        <v>0</v>
      </c>
      <c r="K99" s="139">
        <v>234.22499999999999</v>
      </c>
      <c r="L99" s="119">
        <v>234.22499999999999</v>
      </c>
      <c r="M99" s="119">
        <f t="shared" si="13"/>
        <v>0</v>
      </c>
      <c r="N99" s="121">
        <f t="shared" si="14"/>
        <v>234.22499999999999</v>
      </c>
      <c r="O99" s="120">
        <f t="shared" si="15"/>
        <v>234.22499999999999</v>
      </c>
      <c r="P99" s="121"/>
      <c r="Q99" s="122">
        <f ca="1">+IF($E99=Q$47,SUM($M99:OFFSET($M99,0,IF(YEAR(Q$47)=VALUE(LEFT($K$47,4)),1,2))),
IF(YEAR($E99)&lt;VALUE(LEFT($K$47,4)),($M99+$N99)/12,0))</f>
        <v>0</v>
      </c>
      <c r="R99" s="119">
        <f ca="1">+IF($E99=R$47,SUM($M99:OFFSET($M99,0,IF(YEAR(R$47)=VALUE(LEFT($K$47,4)),1,2))),
IF(YEAR($E99)&lt;VALUE(LEFT($K$47,4)),($M99+$N99)/12,0))</f>
        <v>0</v>
      </c>
      <c r="S99" s="119">
        <f ca="1">+IF($E99=S$47,SUM($M99:OFFSET($M99,0,IF(YEAR(S$47)=VALUE(LEFT($K$47,4)),1,2))),
IF(YEAR($E99)&lt;VALUE(LEFT($K$47,4)),($M99+$N99)/12,0))</f>
        <v>0</v>
      </c>
      <c r="T99" s="119">
        <f ca="1">+IF($E99=T$47,SUM($M99:OFFSET($M99,0,IF(YEAR(T$47)=VALUE(LEFT($K$47,4)),1,2))),
IF(YEAR($E99)&lt;VALUE(LEFT($K$47,4)),($M99+$N99)/12,0))</f>
        <v>0</v>
      </c>
      <c r="U99" s="119">
        <f ca="1">+IF($E99=U$47,SUM($M99:OFFSET($M99,0,IF(YEAR(U$47)=VALUE(LEFT($K$47,4)),1,2))),
IF(YEAR($E99)&lt;VALUE(LEFT($K$47,4)),($M99+$N99)/12,0))</f>
        <v>0</v>
      </c>
      <c r="V99" s="119">
        <f ca="1">+IF($E99=V$47,SUM($M99:OFFSET($M99,0,IF(YEAR(V$47)=VALUE(LEFT($K$47,4)),1,2))),
IF(YEAR($E99)&lt;VALUE(LEFT($K$47,4)),($M99+$N99)/12,0))</f>
        <v>0</v>
      </c>
      <c r="W99" s="119">
        <f ca="1">+IF($E99=W$47,SUM($M99:OFFSET($M99,0,IF(YEAR(W$47)=VALUE(LEFT($K$47,4)),1,2))),
IF(YEAR($E99)&lt;VALUE(LEFT($K$47,4)),($M99+$N99)/12,0))</f>
        <v>0</v>
      </c>
      <c r="X99" s="119">
        <f ca="1">+IF($E99=X$47,SUM($M99:OFFSET($M99,0,IF(YEAR(X$47)=VALUE(LEFT($K$47,4)),1,2))),
IF(YEAR($E99)&lt;VALUE(LEFT($K$47,4)),($M99+$N99)/12,0))</f>
        <v>0</v>
      </c>
      <c r="Y99" s="119">
        <f ca="1">+IF($E99=Y$47,SUM($M99:OFFSET($M99,0,IF(YEAR(Y$47)=VALUE(LEFT($K$47,4)),1,2))),
IF(YEAR($E99)&lt;VALUE(LEFT($K$47,4)),($M99+$N99)/12,0))</f>
        <v>0</v>
      </c>
      <c r="Z99" s="119">
        <f ca="1">+IF($E99=Z$47,SUM($M99:OFFSET($M99,0,IF(YEAR(Z$47)=VALUE(LEFT($K$47,4)),1,2))),
IF(YEAR($E99)&lt;VALUE(LEFT($K$47,4)),($M99+$N99)/12,0))</f>
        <v>0</v>
      </c>
      <c r="AA99" s="119">
        <f ca="1">+IF($E99=AA$47,SUM($M99:OFFSET($M99,0,IF(YEAR(AA$47)=VALUE(LEFT($K$47,4)),1,2))),
IF(YEAR($E99)&lt;VALUE(LEFT($K$47,4)),($M99+$N99)/12,0))</f>
        <v>0</v>
      </c>
      <c r="AB99" s="120">
        <f ca="1">+IF($E99=AB$47,SUM($M99:OFFSET($M99,0,IF(YEAR(AB$47)=VALUE(LEFT($K$47,4)),1,2))),
IF(YEAR($E99)&lt;VALUE(LEFT($K$47,4)),($M99+$N99)/12,0))</f>
        <v>0</v>
      </c>
      <c r="AC99" s="122">
        <f ca="1">+IF($E99=AC$47,SUM($M99:OFFSET($M99,0,IF(YEAR(AC$47)=VALUE(LEFT($K$47,4)),1,2))),
IF(YEAR($E99)&lt;=2015,$O99/12,0))</f>
        <v>0</v>
      </c>
      <c r="AD99" s="119">
        <f ca="1">+IF($E99=AD$47,SUM($M99:OFFSET($M99,0,IF(YEAR(AD$47)=VALUE(LEFT($K$47,4)),1,2))),
IF(YEAR($E99)&lt;=2015,$O99/12,0))</f>
        <v>0</v>
      </c>
      <c r="AE99" s="119">
        <f ca="1">+IF($E99=AE$47,SUM($M99:OFFSET($M99,0,IF(YEAR(AE$47)=VALUE(LEFT($K$47,4)),1,2))),
IF(YEAR($E99)&lt;=2015,$O99/12,0))</f>
        <v>0</v>
      </c>
      <c r="AF99" s="119">
        <f ca="1">+IF($E99=AF$47,SUM($M99:OFFSET($M99,0,IF(YEAR(AF$47)=VALUE(LEFT($K$47,4)),1,2))),
IF(YEAR($E99)&lt;=2015,$O99/12,0))</f>
        <v>0</v>
      </c>
      <c r="AG99" s="119">
        <f ca="1">+IF($E99=AG$47,SUM($M99:OFFSET($M99,0,IF(YEAR(AG$47)=VALUE(LEFT($K$47,4)),1,2))),
IF(YEAR($E99)&lt;=2015,$O99/12,0))</f>
        <v>0</v>
      </c>
      <c r="AH99" s="119">
        <f ca="1">+IF($E99=AH$47,SUM($M99:OFFSET($M99,0,IF(YEAR(AH$47)=VALUE(LEFT($K$47,4)),1,2))),
IF(YEAR($E99)&lt;=2015,$O99/12,0))</f>
        <v>0</v>
      </c>
      <c r="AI99" s="119">
        <f ca="1">+IF($E99=AI$47,SUM($M99:OFFSET($M99,0,IF(YEAR(AI$47)=VALUE(LEFT($K$47,4)),1,2))),
IF(YEAR($E99)&lt;=2015,$O99/12,0))</f>
        <v>0</v>
      </c>
      <c r="AJ99" s="119">
        <f ca="1">+IF($E99=AJ$47,SUM($M99:OFFSET($M99,0,IF(YEAR(AJ$47)=VALUE(LEFT($K$47,4)),1,2))),
IF(YEAR($E99)&lt;=2015,$O99/12,0))</f>
        <v>0</v>
      </c>
      <c r="AK99" s="119">
        <f ca="1">+IF($E99=AK$47,SUM($M99:OFFSET($M99,0,IF(YEAR(AK$47)=VALUE(LEFT($K$47,4)),1,2))),
IF(YEAR($E99)&lt;=2015,$O99/12,0))</f>
        <v>0</v>
      </c>
      <c r="AL99" s="119">
        <f ca="1">+IF($E99=AL$47,SUM($M99:OFFSET($M99,0,IF(YEAR(AL$47)=VALUE(LEFT($K$47,4)),1,2))),
IF(YEAR($E99)&lt;=2015,$O99/12,0))</f>
        <v>0</v>
      </c>
      <c r="AM99" s="119">
        <f ca="1">+IF($E99=AM$47,SUM($M99:OFFSET($M99,0,IF(YEAR(AM$47)=VALUE(LEFT($K$47,4)),1,2))),
IF(YEAR($E99)&lt;=2015,$O99/12,0))</f>
        <v>0</v>
      </c>
      <c r="AN99" s="120">
        <f ca="1">+IF($E99=AN$47,SUM($M99:OFFSET($M99,0,IF(YEAR(AN$47)=VALUE(LEFT($K$47,4)),1,2))),
IF(YEAR($E99)&lt;=2015,$O99/12,0))</f>
        <v>468.45</v>
      </c>
      <c r="AO99" s="121"/>
      <c r="AQ99" s="105"/>
      <c r="AR99" s="105"/>
    </row>
    <row r="100" spans="1:44" ht="15" x14ac:dyDescent="0.25">
      <c r="A100" s="96" t="s">
        <v>443</v>
      </c>
      <c r="B100" s="97" t="s">
        <v>444</v>
      </c>
      <c r="C100" s="98">
        <v>7763</v>
      </c>
      <c r="D100" s="99" t="s">
        <v>70</v>
      </c>
      <c r="E100" s="100">
        <v>42705</v>
      </c>
      <c r="F100" s="97" t="s">
        <v>78</v>
      </c>
      <c r="G100" s="101">
        <v>0</v>
      </c>
      <c r="H100" s="102">
        <v>1</v>
      </c>
      <c r="I100" s="263"/>
      <c r="J100" s="140">
        <v>0</v>
      </c>
      <c r="K100" s="139">
        <v>166.72499999999999</v>
      </c>
      <c r="L100" s="119">
        <v>166.72499999999999</v>
      </c>
      <c r="M100" s="119">
        <f t="shared" si="13"/>
        <v>0</v>
      </c>
      <c r="N100" s="121">
        <f t="shared" si="14"/>
        <v>166.72499999999999</v>
      </c>
      <c r="O100" s="120">
        <f t="shared" si="15"/>
        <v>166.72499999999999</v>
      </c>
      <c r="P100" s="121"/>
      <c r="Q100" s="122">
        <f ca="1">+IF($E100=Q$47,SUM($M100:OFFSET($M100,0,IF(YEAR(Q$47)=VALUE(LEFT($K$47,4)),1,2))),
IF(YEAR($E100)&lt;VALUE(LEFT($K$47,4)),($M100+$N100)/12,0))</f>
        <v>0</v>
      </c>
      <c r="R100" s="119">
        <f ca="1">+IF($E100=R$47,SUM($M100:OFFSET($M100,0,IF(YEAR(R$47)=VALUE(LEFT($K$47,4)),1,2))),
IF(YEAR($E100)&lt;VALUE(LEFT($K$47,4)),($M100+$N100)/12,0))</f>
        <v>0</v>
      </c>
      <c r="S100" s="119">
        <f ca="1">+IF($E100=S$47,SUM($M100:OFFSET($M100,0,IF(YEAR(S$47)=VALUE(LEFT($K$47,4)),1,2))),
IF(YEAR($E100)&lt;VALUE(LEFT($K$47,4)),($M100+$N100)/12,0))</f>
        <v>0</v>
      </c>
      <c r="T100" s="119">
        <f ca="1">+IF($E100=T$47,SUM($M100:OFFSET($M100,0,IF(YEAR(T$47)=VALUE(LEFT($K$47,4)),1,2))),
IF(YEAR($E100)&lt;VALUE(LEFT($K$47,4)),($M100+$N100)/12,0))</f>
        <v>0</v>
      </c>
      <c r="U100" s="119">
        <f ca="1">+IF($E100=U$47,SUM($M100:OFFSET($M100,0,IF(YEAR(U$47)=VALUE(LEFT($K$47,4)),1,2))),
IF(YEAR($E100)&lt;VALUE(LEFT($K$47,4)),($M100+$N100)/12,0))</f>
        <v>0</v>
      </c>
      <c r="V100" s="119">
        <f ca="1">+IF($E100=V$47,SUM($M100:OFFSET($M100,0,IF(YEAR(V$47)=VALUE(LEFT($K$47,4)),1,2))),
IF(YEAR($E100)&lt;VALUE(LEFT($K$47,4)),($M100+$N100)/12,0))</f>
        <v>0</v>
      </c>
      <c r="W100" s="119">
        <f ca="1">+IF($E100=W$47,SUM($M100:OFFSET($M100,0,IF(YEAR(W$47)=VALUE(LEFT($K$47,4)),1,2))),
IF(YEAR($E100)&lt;VALUE(LEFT($K$47,4)),($M100+$N100)/12,0))</f>
        <v>0</v>
      </c>
      <c r="X100" s="119">
        <f ca="1">+IF($E100=X$47,SUM($M100:OFFSET($M100,0,IF(YEAR(X$47)=VALUE(LEFT($K$47,4)),1,2))),
IF(YEAR($E100)&lt;VALUE(LEFT($K$47,4)),($M100+$N100)/12,0))</f>
        <v>0</v>
      </c>
      <c r="Y100" s="119">
        <f ca="1">+IF($E100=Y$47,SUM($M100:OFFSET($M100,0,IF(YEAR(Y$47)=VALUE(LEFT($K$47,4)),1,2))),
IF(YEAR($E100)&lt;VALUE(LEFT($K$47,4)),($M100+$N100)/12,0))</f>
        <v>0</v>
      </c>
      <c r="Z100" s="119">
        <f ca="1">+IF($E100=Z$47,SUM($M100:OFFSET($M100,0,IF(YEAR(Z$47)=VALUE(LEFT($K$47,4)),1,2))),
IF(YEAR($E100)&lt;VALUE(LEFT($K$47,4)),($M100+$N100)/12,0))</f>
        <v>0</v>
      </c>
      <c r="AA100" s="119">
        <f ca="1">+IF($E100=AA$47,SUM($M100:OFFSET($M100,0,IF(YEAR(AA$47)=VALUE(LEFT($K$47,4)),1,2))),
IF(YEAR($E100)&lt;VALUE(LEFT($K$47,4)),($M100+$N100)/12,0))</f>
        <v>0</v>
      </c>
      <c r="AB100" s="120">
        <f ca="1">+IF($E100=AB$47,SUM($M100:OFFSET($M100,0,IF(YEAR(AB$47)=VALUE(LEFT($K$47,4)),1,2))),
IF(YEAR($E100)&lt;VALUE(LEFT($K$47,4)),($M100+$N100)/12,0))</f>
        <v>0</v>
      </c>
      <c r="AC100" s="122">
        <f ca="1">+IF($E100=AC$47,SUM($M100:OFFSET($M100,0,IF(YEAR(AC$47)=VALUE(LEFT($K$47,4)),1,2))),
IF(YEAR($E100)&lt;=2015,$O100/12,0))</f>
        <v>0</v>
      </c>
      <c r="AD100" s="119">
        <f ca="1">+IF($E100=AD$47,SUM($M100:OFFSET($M100,0,IF(YEAR(AD$47)=VALUE(LEFT($K$47,4)),1,2))),
IF(YEAR($E100)&lt;=2015,$O100/12,0))</f>
        <v>0</v>
      </c>
      <c r="AE100" s="119">
        <f ca="1">+IF($E100=AE$47,SUM($M100:OFFSET($M100,0,IF(YEAR(AE$47)=VALUE(LEFT($K$47,4)),1,2))),
IF(YEAR($E100)&lt;=2015,$O100/12,0))</f>
        <v>0</v>
      </c>
      <c r="AF100" s="119">
        <f ca="1">+IF($E100=AF$47,SUM($M100:OFFSET($M100,0,IF(YEAR(AF$47)=VALUE(LEFT($K$47,4)),1,2))),
IF(YEAR($E100)&lt;=2015,$O100/12,0))</f>
        <v>0</v>
      </c>
      <c r="AG100" s="119">
        <f ca="1">+IF($E100=AG$47,SUM($M100:OFFSET($M100,0,IF(YEAR(AG$47)=VALUE(LEFT($K$47,4)),1,2))),
IF(YEAR($E100)&lt;=2015,$O100/12,0))</f>
        <v>0</v>
      </c>
      <c r="AH100" s="119">
        <f ca="1">+IF($E100=AH$47,SUM($M100:OFFSET($M100,0,IF(YEAR(AH$47)=VALUE(LEFT($K$47,4)),1,2))),
IF(YEAR($E100)&lt;=2015,$O100/12,0))</f>
        <v>0</v>
      </c>
      <c r="AI100" s="119">
        <f ca="1">+IF($E100=AI$47,SUM($M100:OFFSET($M100,0,IF(YEAR(AI$47)=VALUE(LEFT($K$47,4)),1,2))),
IF(YEAR($E100)&lt;=2015,$O100/12,0))</f>
        <v>0</v>
      </c>
      <c r="AJ100" s="119">
        <f ca="1">+IF($E100=AJ$47,SUM($M100:OFFSET($M100,0,IF(YEAR(AJ$47)=VALUE(LEFT($K$47,4)),1,2))),
IF(YEAR($E100)&lt;=2015,$O100/12,0))</f>
        <v>0</v>
      </c>
      <c r="AK100" s="119">
        <f ca="1">+IF($E100=AK$47,SUM($M100:OFFSET($M100,0,IF(YEAR(AK$47)=VALUE(LEFT($K$47,4)),1,2))),
IF(YEAR($E100)&lt;=2015,$O100/12,0))</f>
        <v>0</v>
      </c>
      <c r="AL100" s="119">
        <f ca="1">+IF($E100=AL$47,SUM($M100:OFFSET($M100,0,IF(YEAR(AL$47)=VALUE(LEFT($K$47,4)),1,2))),
IF(YEAR($E100)&lt;=2015,$O100/12,0))</f>
        <v>0</v>
      </c>
      <c r="AM100" s="119">
        <f ca="1">+IF($E100=AM$47,SUM($M100:OFFSET($M100,0,IF(YEAR(AM$47)=VALUE(LEFT($K$47,4)),1,2))),
IF(YEAR($E100)&lt;=2015,$O100/12,0))</f>
        <v>0</v>
      </c>
      <c r="AN100" s="120">
        <f ca="1">+IF($E100=AN$47,SUM($M100:OFFSET($M100,0,IF(YEAR(AN$47)=VALUE(LEFT($K$47,4)),1,2))),
IF(YEAR($E100)&lt;=2015,$O100/12,0))</f>
        <v>333.45</v>
      </c>
      <c r="AO100" s="121"/>
      <c r="AQ100" s="105"/>
      <c r="AR100" s="105"/>
    </row>
    <row r="101" spans="1:44" ht="15" x14ac:dyDescent="0.25">
      <c r="A101" s="96" t="s">
        <v>445</v>
      </c>
      <c r="B101" s="97" t="s">
        <v>446</v>
      </c>
      <c r="C101" s="98">
        <v>6468</v>
      </c>
      <c r="D101" s="99" t="s">
        <v>70</v>
      </c>
      <c r="E101" s="100">
        <v>42522</v>
      </c>
      <c r="F101" s="97" t="s">
        <v>78</v>
      </c>
      <c r="G101" s="101">
        <v>0</v>
      </c>
      <c r="H101" s="102">
        <v>1</v>
      </c>
      <c r="I101" s="263"/>
      <c r="J101" s="140">
        <v>1025.67848</v>
      </c>
      <c r="K101" s="139">
        <v>150</v>
      </c>
      <c r="L101" s="119">
        <v>50</v>
      </c>
      <c r="M101" s="119">
        <f t="shared" si="13"/>
        <v>1025.67848</v>
      </c>
      <c r="N101" s="121">
        <f t="shared" si="14"/>
        <v>150</v>
      </c>
      <c r="O101" s="120">
        <f t="shared" si="15"/>
        <v>50</v>
      </c>
      <c r="P101" s="121"/>
      <c r="Q101" s="122">
        <f ca="1">+IF($E101=Q$47,SUM($M101:OFFSET($M101,0,IF(YEAR(Q$47)=VALUE(LEFT($K$47,4)),1,2))),
IF(YEAR($E101)&lt;VALUE(LEFT($K$47,4)),($M101+$N101)/12,0))</f>
        <v>0</v>
      </c>
      <c r="R101" s="119">
        <f ca="1">+IF($E101=R$47,SUM($M101:OFFSET($M101,0,IF(YEAR(R$47)=VALUE(LEFT($K$47,4)),1,2))),
IF(YEAR($E101)&lt;VALUE(LEFT($K$47,4)),($M101+$N101)/12,0))</f>
        <v>0</v>
      </c>
      <c r="S101" s="119">
        <f ca="1">+IF($E101=S$47,SUM($M101:OFFSET($M101,0,IF(YEAR(S$47)=VALUE(LEFT($K$47,4)),1,2))),
IF(YEAR($E101)&lt;VALUE(LEFT($K$47,4)),($M101+$N101)/12,0))</f>
        <v>0</v>
      </c>
      <c r="T101" s="119">
        <f ca="1">+IF($E101=T$47,SUM($M101:OFFSET($M101,0,IF(YEAR(T$47)=VALUE(LEFT($K$47,4)),1,2))),
IF(YEAR($E101)&lt;VALUE(LEFT($K$47,4)),($M101+$N101)/12,0))</f>
        <v>0</v>
      </c>
      <c r="U101" s="119">
        <f ca="1">+IF($E101=U$47,SUM($M101:OFFSET($M101,0,IF(YEAR(U$47)=VALUE(LEFT($K$47,4)),1,2))),
IF(YEAR($E101)&lt;VALUE(LEFT($K$47,4)),($M101+$N101)/12,0))</f>
        <v>0</v>
      </c>
      <c r="V101" s="119">
        <f ca="1">+IF($E101=V$47,SUM($M101:OFFSET($M101,0,IF(YEAR(V$47)=VALUE(LEFT($K$47,4)),1,2))),
IF(YEAR($E101)&lt;VALUE(LEFT($K$47,4)),($M101+$N101)/12,0))</f>
        <v>0</v>
      </c>
      <c r="W101" s="119">
        <f ca="1">+IF($E101=W$47,SUM($M101:OFFSET($M101,0,IF(YEAR(W$47)=VALUE(LEFT($K$47,4)),1,2))),
IF(YEAR($E101)&lt;VALUE(LEFT($K$47,4)),($M101+$N101)/12,0))</f>
        <v>0</v>
      </c>
      <c r="X101" s="119">
        <f ca="1">+IF($E101=X$47,SUM($M101:OFFSET($M101,0,IF(YEAR(X$47)=VALUE(LEFT($K$47,4)),1,2))),
IF(YEAR($E101)&lt;VALUE(LEFT($K$47,4)),($M101+$N101)/12,0))</f>
        <v>0</v>
      </c>
      <c r="Y101" s="119">
        <f ca="1">+IF($E101=Y$47,SUM($M101:OFFSET($M101,0,IF(YEAR(Y$47)=VALUE(LEFT($K$47,4)),1,2))),
IF(YEAR($E101)&lt;VALUE(LEFT($K$47,4)),($M101+$N101)/12,0))</f>
        <v>0</v>
      </c>
      <c r="Z101" s="119">
        <f ca="1">+IF($E101=Z$47,SUM($M101:OFFSET($M101,0,IF(YEAR(Z$47)=VALUE(LEFT($K$47,4)),1,2))),
IF(YEAR($E101)&lt;VALUE(LEFT($K$47,4)),($M101+$N101)/12,0))</f>
        <v>0</v>
      </c>
      <c r="AA101" s="119">
        <f ca="1">+IF($E101=AA$47,SUM($M101:OFFSET($M101,0,IF(YEAR(AA$47)=VALUE(LEFT($K$47,4)),1,2))),
IF(YEAR($E101)&lt;VALUE(LEFT($K$47,4)),($M101+$N101)/12,0))</f>
        <v>0</v>
      </c>
      <c r="AB101" s="120">
        <f ca="1">+IF($E101=AB$47,SUM($M101:OFFSET($M101,0,IF(YEAR(AB$47)=VALUE(LEFT($K$47,4)),1,2))),
IF(YEAR($E101)&lt;VALUE(LEFT($K$47,4)),($M101+$N101)/12,0))</f>
        <v>0</v>
      </c>
      <c r="AC101" s="122">
        <f ca="1">+IF($E101=AC$47,SUM($M101:OFFSET($M101,0,IF(YEAR(AC$47)=VALUE(LEFT($K$47,4)),1,2))),
IF(YEAR($E101)&lt;=2015,$O101/12,0))</f>
        <v>0</v>
      </c>
      <c r="AD101" s="119">
        <f ca="1">+IF($E101=AD$47,SUM($M101:OFFSET($M101,0,IF(YEAR(AD$47)=VALUE(LEFT($K$47,4)),1,2))),
IF(YEAR($E101)&lt;=2015,$O101/12,0))</f>
        <v>0</v>
      </c>
      <c r="AE101" s="119">
        <f ca="1">+IF($E101=AE$47,SUM($M101:OFFSET($M101,0,IF(YEAR(AE$47)=VALUE(LEFT($K$47,4)),1,2))),
IF(YEAR($E101)&lt;=2015,$O101/12,0))</f>
        <v>0</v>
      </c>
      <c r="AF101" s="119">
        <f ca="1">+IF($E101=AF$47,SUM($M101:OFFSET($M101,0,IF(YEAR(AF$47)=VALUE(LEFT($K$47,4)),1,2))),
IF(YEAR($E101)&lt;=2015,$O101/12,0))</f>
        <v>0</v>
      </c>
      <c r="AG101" s="119">
        <f ca="1">+IF($E101=AG$47,SUM($M101:OFFSET($M101,0,IF(YEAR(AG$47)=VALUE(LEFT($K$47,4)),1,2))),
IF(YEAR($E101)&lt;=2015,$O101/12,0))</f>
        <v>0</v>
      </c>
      <c r="AH101" s="119">
        <f ca="1">+IF($E101=AH$47,SUM($M101:OFFSET($M101,0,IF(YEAR(AH$47)=VALUE(LEFT($K$47,4)),1,2))),
IF(YEAR($E101)&lt;=2015,$O101/12,0))</f>
        <v>1225.67848</v>
      </c>
      <c r="AI101" s="119">
        <f ca="1">+IF($E101=AI$47,SUM($M101:OFFSET($M101,0,IF(YEAR(AI$47)=VALUE(LEFT($K$47,4)),1,2))),
IF(YEAR($E101)&lt;=2015,$O101/12,0))</f>
        <v>0</v>
      </c>
      <c r="AJ101" s="119">
        <f ca="1">+IF($E101=AJ$47,SUM($M101:OFFSET($M101,0,IF(YEAR(AJ$47)=VALUE(LEFT($K$47,4)),1,2))),
IF(YEAR($E101)&lt;=2015,$O101/12,0))</f>
        <v>0</v>
      </c>
      <c r="AK101" s="119">
        <f ca="1">+IF($E101=AK$47,SUM($M101:OFFSET($M101,0,IF(YEAR(AK$47)=VALUE(LEFT($K$47,4)),1,2))),
IF(YEAR($E101)&lt;=2015,$O101/12,0))</f>
        <v>0</v>
      </c>
      <c r="AL101" s="119">
        <f ca="1">+IF($E101=AL$47,SUM($M101:OFFSET($M101,0,IF(YEAR(AL$47)=VALUE(LEFT($K$47,4)),1,2))),
IF(YEAR($E101)&lt;=2015,$O101/12,0))</f>
        <v>0</v>
      </c>
      <c r="AM101" s="119">
        <f ca="1">+IF($E101=AM$47,SUM($M101:OFFSET($M101,0,IF(YEAR(AM$47)=VALUE(LEFT($K$47,4)),1,2))),
IF(YEAR($E101)&lt;=2015,$O101/12,0))</f>
        <v>0</v>
      </c>
      <c r="AN101" s="120">
        <f ca="1">+IF($E101=AN$47,SUM($M101:OFFSET($M101,0,IF(YEAR(AN$47)=VALUE(LEFT($K$47,4)),1,2))),
IF(YEAR($E101)&lt;=2015,$O101/12,0))</f>
        <v>0</v>
      </c>
      <c r="AO101" s="121"/>
      <c r="AQ101" s="105"/>
      <c r="AR101" s="105"/>
    </row>
    <row r="102" spans="1:44" ht="15" x14ac:dyDescent="0.25">
      <c r="A102" s="96" t="s">
        <v>447</v>
      </c>
      <c r="B102" s="97" t="s">
        <v>448</v>
      </c>
      <c r="C102" s="98">
        <v>7112</v>
      </c>
      <c r="D102" s="99" t="s">
        <v>70</v>
      </c>
      <c r="E102" s="100">
        <v>42705</v>
      </c>
      <c r="F102" s="97" t="s">
        <v>78</v>
      </c>
      <c r="G102" s="101">
        <v>0</v>
      </c>
      <c r="H102" s="102">
        <v>1</v>
      </c>
      <c r="I102" s="263"/>
      <c r="J102" s="140">
        <v>616.5031299999996</v>
      </c>
      <c r="K102" s="139">
        <v>770</v>
      </c>
      <c r="L102" s="119">
        <v>1950</v>
      </c>
      <c r="M102" s="119">
        <f t="shared" si="13"/>
        <v>616.5031299999996</v>
      </c>
      <c r="N102" s="121">
        <f t="shared" si="14"/>
        <v>770</v>
      </c>
      <c r="O102" s="120">
        <f t="shared" si="15"/>
        <v>1950</v>
      </c>
      <c r="P102" s="121"/>
      <c r="Q102" s="122">
        <f ca="1">+IF($E102=Q$47,SUM($M102:OFFSET($M102,0,IF(YEAR(Q$47)=VALUE(LEFT($K$47,4)),1,2))),
IF(YEAR($E102)&lt;VALUE(LEFT($K$47,4)),($M102+$N102)/12,0))</f>
        <v>0</v>
      </c>
      <c r="R102" s="119">
        <f ca="1">+IF($E102=R$47,SUM($M102:OFFSET($M102,0,IF(YEAR(R$47)=VALUE(LEFT($K$47,4)),1,2))),
IF(YEAR($E102)&lt;VALUE(LEFT($K$47,4)),($M102+$N102)/12,0))</f>
        <v>0</v>
      </c>
      <c r="S102" s="119">
        <f ca="1">+IF($E102=S$47,SUM($M102:OFFSET($M102,0,IF(YEAR(S$47)=VALUE(LEFT($K$47,4)),1,2))),
IF(YEAR($E102)&lt;VALUE(LEFT($K$47,4)),($M102+$N102)/12,0))</f>
        <v>0</v>
      </c>
      <c r="T102" s="119">
        <f ca="1">+IF($E102=T$47,SUM($M102:OFFSET($M102,0,IF(YEAR(T$47)=VALUE(LEFT($K$47,4)),1,2))),
IF(YEAR($E102)&lt;VALUE(LEFT($K$47,4)),($M102+$N102)/12,0))</f>
        <v>0</v>
      </c>
      <c r="U102" s="119">
        <f ca="1">+IF($E102=U$47,SUM($M102:OFFSET($M102,0,IF(YEAR(U$47)=VALUE(LEFT($K$47,4)),1,2))),
IF(YEAR($E102)&lt;VALUE(LEFT($K$47,4)),($M102+$N102)/12,0))</f>
        <v>0</v>
      </c>
      <c r="V102" s="119">
        <f ca="1">+IF($E102=V$47,SUM($M102:OFFSET($M102,0,IF(YEAR(V$47)=VALUE(LEFT($K$47,4)),1,2))),
IF(YEAR($E102)&lt;VALUE(LEFT($K$47,4)),($M102+$N102)/12,0))</f>
        <v>0</v>
      </c>
      <c r="W102" s="119">
        <f ca="1">+IF($E102=W$47,SUM($M102:OFFSET($M102,0,IF(YEAR(W$47)=VALUE(LEFT($K$47,4)),1,2))),
IF(YEAR($E102)&lt;VALUE(LEFT($K$47,4)),($M102+$N102)/12,0))</f>
        <v>0</v>
      </c>
      <c r="X102" s="119">
        <f ca="1">+IF($E102=X$47,SUM($M102:OFFSET($M102,0,IF(YEAR(X$47)=VALUE(LEFT($K$47,4)),1,2))),
IF(YEAR($E102)&lt;VALUE(LEFT($K$47,4)),($M102+$N102)/12,0))</f>
        <v>0</v>
      </c>
      <c r="Y102" s="119">
        <f ca="1">+IF($E102=Y$47,SUM($M102:OFFSET($M102,0,IF(YEAR(Y$47)=VALUE(LEFT($K$47,4)),1,2))),
IF(YEAR($E102)&lt;VALUE(LEFT($K$47,4)),($M102+$N102)/12,0))</f>
        <v>0</v>
      </c>
      <c r="Z102" s="119">
        <f ca="1">+IF($E102=Z$47,SUM($M102:OFFSET($M102,0,IF(YEAR(Z$47)=VALUE(LEFT($K$47,4)),1,2))),
IF(YEAR($E102)&lt;VALUE(LEFT($K$47,4)),($M102+$N102)/12,0))</f>
        <v>0</v>
      </c>
      <c r="AA102" s="119">
        <f ca="1">+IF($E102=AA$47,SUM($M102:OFFSET($M102,0,IF(YEAR(AA$47)=VALUE(LEFT($K$47,4)),1,2))),
IF(YEAR($E102)&lt;VALUE(LEFT($K$47,4)),($M102+$N102)/12,0))</f>
        <v>0</v>
      </c>
      <c r="AB102" s="120">
        <f ca="1">+IF($E102=AB$47,SUM($M102:OFFSET($M102,0,IF(YEAR(AB$47)=VALUE(LEFT($K$47,4)),1,2))),
IF(YEAR($E102)&lt;VALUE(LEFT($K$47,4)),($M102+$N102)/12,0))</f>
        <v>0</v>
      </c>
      <c r="AC102" s="122">
        <f ca="1">+IF($E102=AC$47,SUM($M102:OFFSET($M102,0,IF(YEAR(AC$47)=VALUE(LEFT($K$47,4)),1,2))),
IF(YEAR($E102)&lt;=2015,$O102/12,0))</f>
        <v>0</v>
      </c>
      <c r="AD102" s="119">
        <f ca="1">+IF($E102=AD$47,SUM($M102:OFFSET($M102,0,IF(YEAR(AD$47)=VALUE(LEFT($K$47,4)),1,2))),
IF(YEAR($E102)&lt;=2015,$O102/12,0))</f>
        <v>0</v>
      </c>
      <c r="AE102" s="119">
        <f ca="1">+IF($E102=AE$47,SUM($M102:OFFSET($M102,0,IF(YEAR(AE$47)=VALUE(LEFT($K$47,4)),1,2))),
IF(YEAR($E102)&lt;=2015,$O102/12,0))</f>
        <v>0</v>
      </c>
      <c r="AF102" s="119">
        <f ca="1">+IF($E102=AF$47,SUM($M102:OFFSET($M102,0,IF(YEAR(AF$47)=VALUE(LEFT($K$47,4)),1,2))),
IF(YEAR($E102)&lt;=2015,$O102/12,0))</f>
        <v>0</v>
      </c>
      <c r="AG102" s="119">
        <f ca="1">+IF($E102=AG$47,SUM($M102:OFFSET($M102,0,IF(YEAR(AG$47)=VALUE(LEFT($K$47,4)),1,2))),
IF(YEAR($E102)&lt;=2015,$O102/12,0))</f>
        <v>0</v>
      </c>
      <c r="AH102" s="119">
        <f ca="1">+IF($E102=AH$47,SUM($M102:OFFSET($M102,0,IF(YEAR(AH$47)=VALUE(LEFT($K$47,4)),1,2))),
IF(YEAR($E102)&lt;=2015,$O102/12,0))</f>
        <v>0</v>
      </c>
      <c r="AI102" s="119">
        <f ca="1">+IF($E102=AI$47,SUM($M102:OFFSET($M102,0,IF(YEAR(AI$47)=VALUE(LEFT($K$47,4)),1,2))),
IF(YEAR($E102)&lt;=2015,$O102/12,0))</f>
        <v>0</v>
      </c>
      <c r="AJ102" s="119">
        <f ca="1">+IF($E102=AJ$47,SUM($M102:OFFSET($M102,0,IF(YEAR(AJ$47)=VALUE(LEFT($K$47,4)),1,2))),
IF(YEAR($E102)&lt;=2015,$O102/12,0))</f>
        <v>0</v>
      </c>
      <c r="AK102" s="119">
        <f ca="1">+IF($E102=AK$47,SUM($M102:OFFSET($M102,0,IF(YEAR(AK$47)=VALUE(LEFT($K$47,4)),1,2))),
IF(YEAR($E102)&lt;=2015,$O102/12,0))</f>
        <v>0</v>
      </c>
      <c r="AL102" s="119">
        <f ca="1">+IF($E102=AL$47,SUM($M102:OFFSET($M102,0,IF(YEAR(AL$47)=VALUE(LEFT($K$47,4)),1,2))),
IF(YEAR($E102)&lt;=2015,$O102/12,0))</f>
        <v>0</v>
      </c>
      <c r="AM102" s="119">
        <f ca="1">+IF($E102=AM$47,SUM($M102:OFFSET($M102,0,IF(YEAR(AM$47)=VALUE(LEFT($K$47,4)),1,2))),
IF(YEAR($E102)&lt;=2015,$O102/12,0))</f>
        <v>0</v>
      </c>
      <c r="AN102" s="120">
        <f ca="1">+IF($E102=AN$47,SUM($M102:OFFSET($M102,0,IF(YEAR(AN$47)=VALUE(LEFT($K$47,4)),1,2))),
IF(YEAR($E102)&lt;=2015,$O102/12,0))</f>
        <v>3336.5031299999996</v>
      </c>
      <c r="AO102" s="121"/>
      <c r="AQ102" s="105"/>
      <c r="AR102" s="105"/>
    </row>
    <row r="103" spans="1:44" ht="15" x14ac:dyDescent="0.25">
      <c r="A103" s="96" t="s">
        <v>449</v>
      </c>
      <c r="B103" s="97" t="s">
        <v>450</v>
      </c>
      <c r="C103" s="98">
        <v>7113</v>
      </c>
      <c r="D103" s="99" t="s">
        <v>70</v>
      </c>
      <c r="E103" s="100">
        <v>42705</v>
      </c>
      <c r="F103" s="97" t="s">
        <v>78</v>
      </c>
      <c r="G103" s="101">
        <v>0</v>
      </c>
      <c r="H103" s="102">
        <v>1</v>
      </c>
      <c r="I103" s="263"/>
      <c r="J103" s="140">
        <v>18.740330000000007</v>
      </c>
      <c r="K103" s="139">
        <v>2000</v>
      </c>
      <c r="L103" s="119">
        <v>3000</v>
      </c>
      <c r="M103" s="119">
        <f t="shared" si="13"/>
        <v>18.740330000000007</v>
      </c>
      <c r="N103" s="121">
        <f t="shared" si="14"/>
        <v>2000</v>
      </c>
      <c r="O103" s="120">
        <f t="shared" si="15"/>
        <v>3000</v>
      </c>
      <c r="P103" s="121"/>
      <c r="Q103" s="122">
        <f ca="1">+IF($E103=Q$47,SUM($M103:OFFSET($M103,0,IF(YEAR(Q$47)=VALUE(LEFT($K$47,4)),1,2))),
IF(YEAR($E103)&lt;VALUE(LEFT($K$47,4)),($M103+$N103)/12,0))</f>
        <v>0</v>
      </c>
      <c r="R103" s="119">
        <f ca="1">+IF($E103=R$47,SUM($M103:OFFSET($M103,0,IF(YEAR(R$47)=VALUE(LEFT($K$47,4)),1,2))),
IF(YEAR($E103)&lt;VALUE(LEFT($K$47,4)),($M103+$N103)/12,0))</f>
        <v>0</v>
      </c>
      <c r="S103" s="119">
        <f ca="1">+IF($E103=S$47,SUM($M103:OFFSET($M103,0,IF(YEAR(S$47)=VALUE(LEFT($K$47,4)),1,2))),
IF(YEAR($E103)&lt;VALUE(LEFT($K$47,4)),($M103+$N103)/12,0))</f>
        <v>0</v>
      </c>
      <c r="T103" s="119">
        <f ca="1">+IF($E103=T$47,SUM($M103:OFFSET($M103,0,IF(YEAR(T$47)=VALUE(LEFT($K$47,4)),1,2))),
IF(YEAR($E103)&lt;VALUE(LEFT($K$47,4)),($M103+$N103)/12,0))</f>
        <v>0</v>
      </c>
      <c r="U103" s="119">
        <f ca="1">+IF($E103=U$47,SUM($M103:OFFSET($M103,0,IF(YEAR(U$47)=VALUE(LEFT($K$47,4)),1,2))),
IF(YEAR($E103)&lt;VALUE(LEFT($K$47,4)),($M103+$N103)/12,0))</f>
        <v>0</v>
      </c>
      <c r="V103" s="119">
        <f ca="1">+IF($E103=V$47,SUM($M103:OFFSET($M103,0,IF(YEAR(V$47)=VALUE(LEFT($K$47,4)),1,2))),
IF(YEAR($E103)&lt;VALUE(LEFT($K$47,4)),($M103+$N103)/12,0))</f>
        <v>0</v>
      </c>
      <c r="W103" s="119">
        <f ca="1">+IF($E103=W$47,SUM($M103:OFFSET($M103,0,IF(YEAR(W$47)=VALUE(LEFT($K$47,4)),1,2))),
IF(YEAR($E103)&lt;VALUE(LEFT($K$47,4)),($M103+$N103)/12,0))</f>
        <v>0</v>
      </c>
      <c r="X103" s="119">
        <f ca="1">+IF($E103=X$47,SUM($M103:OFFSET($M103,0,IF(YEAR(X$47)=VALUE(LEFT($K$47,4)),1,2))),
IF(YEAR($E103)&lt;VALUE(LEFT($K$47,4)),($M103+$N103)/12,0))</f>
        <v>0</v>
      </c>
      <c r="Y103" s="119">
        <f ca="1">+IF($E103=Y$47,SUM($M103:OFFSET($M103,0,IF(YEAR(Y$47)=VALUE(LEFT($K$47,4)),1,2))),
IF(YEAR($E103)&lt;VALUE(LEFT($K$47,4)),($M103+$N103)/12,0))</f>
        <v>0</v>
      </c>
      <c r="Z103" s="119">
        <f ca="1">+IF($E103=Z$47,SUM($M103:OFFSET($M103,0,IF(YEAR(Z$47)=VALUE(LEFT($K$47,4)),1,2))),
IF(YEAR($E103)&lt;VALUE(LEFT($K$47,4)),($M103+$N103)/12,0))</f>
        <v>0</v>
      </c>
      <c r="AA103" s="119">
        <f ca="1">+IF($E103=AA$47,SUM($M103:OFFSET($M103,0,IF(YEAR(AA$47)=VALUE(LEFT($K$47,4)),1,2))),
IF(YEAR($E103)&lt;VALUE(LEFT($K$47,4)),($M103+$N103)/12,0))</f>
        <v>0</v>
      </c>
      <c r="AB103" s="120">
        <f ca="1">+IF($E103=AB$47,SUM($M103:OFFSET($M103,0,IF(YEAR(AB$47)=VALUE(LEFT($K$47,4)),1,2))),
IF(YEAR($E103)&lt;VALUE(LEFT($K$47,4)),($M103+$N103)/12,0))</f>
        <v>0</v>
      </c>
      <c r="AC103" s="122">
        <f ca="1">+IF($E103=AC$47,SUM($M103:OFFSET($M103,0,IF(YEAR(AC$47)=VALUE(LEFT($K$47,4)),1,2))),
IF(YEAR($E103)&lt;=2015,$O103/12,0))</f>
        <v>0</v>
      </c>
      <c r="AD103" s="119">
        <f ca="1">+IF($E103=AD$47,SUM($M103:OFFSET($M103,0,IF(YEAR(AD$47)=VALUE(LEFT($K$47,4)),1,2))),
IF(YEAR($E103)&lt;=2015,$O103/12,0))</f>
        <v>0</v>
      </c>
      <c r="AE103" s="119">
        <f ca="1">+IF($E103=AE$47,SUM($M103:OFFSET($M103,0,IF(YEAR(AE$47)=VALUE(LEFT($K$47,4)),1,2))),
IF(YEAR($E103)&lt;=2015,$O103/12,0))</f>
        <v>0</v>
      </c>
      <c r="AF103" s="119">
        <f ca="1">+IF($E103=AF$47,SUM($M103:OFFSET($M103,0,IF(YEAR(AF$47)=VALUE(LEFT($K$47,4)),1,2))),
IF(YEAR($E103)&lt;=2015,$O103/12,0))</f>
        <v>0</v>
      </c>
      <c r="AG103" s="119">
        <f ca="1">+IF($E103=AG$47,SUM($M103:OFFSET($M103,0,IF(YEAR(AG$47)=VALUE(LEFT($K$47,4)),1,2))),
IF(YEAR($E103)&lt;=2015,$O103/12,0))</f>
        <v>0</v>
      </c>
      <c r="AH103" s="119">
        <f ca="1">+IF($E103=AH$47,SUM($M103:OFFSET($M103,0,IF(YEAR(AH$47)=VALUE(LEFT($K$47,4)),1,2))),
IF(YEAR($E103)&lt;=2015,$O103/12,0))</f>
        <v>0</v>
      </c>
      <c r="AI103" s="119">
        <f ca="1">+IF($E103=AI$47,SUM($M103:OFFSET($M103,0,IF(YEAR(AI$47)=VALUE(LEFT($K$47,4)),1,2))),
IF(YEAR($E103)&lt;=2015,$O103/12,0))</f>
        <v>0</v>
      </c>
      <c r="AJ103" s="119">
        <f ca="1">+IF($E103=AJ$47,SUM($M103:OFFSET($M103,0,IF(YEAR(AJ$47)=VALUE(LEFT($K$47,4)),1,2))),
IF(YEAR($E103)&lt;=2015,$O103/12,0))</f>
        <v>0</v>
      </c>
      <c r="AK103" s="119">
        <f ca="1">+IF($E103=AK$47,SUM($M103:OFFSET($M103,0,IF(YEAR(AK$47)=VALUE(LEFT($K$47,4)),1,2))),
IF(YEAR($E103)&lt;=2015,$O103/12,0))</f>
        <v>0</v>
      </c>
      <c r="AL103" s="119">
        <f ca="1">+IF($E103=AL$47,SUM($M103:OFFSET($M103,0,IF(YEAR(AL$47)=VALUE(LEFT($K$47,4)),1,2))),
IF(YEAR($E103)&lt;=2015,$O103/12,0))</f>
        <v>0</v>
      </c>
      <c r="AM103" s="119">
        <f ca="1">+IF($E103=AM$47,SUM($M103:OFFSET($M103,0,IF(YEAR(AM$47)=VALUE(LEFT($K$47,4)),1,2))),
IF(YEAR($E103)&lt;=2015,$O103/12,0))</f>
        <v>0</v>
      </c>
      <c r="AN103" s="120">
        <f ca="1">+IF($E103=AN$47,SUM($M103:OFFSET($M103,0,IF(YEAR(AN$47)=VALUE(LEFT($K$47,4)),1,2))),
IF(YEAR($E103)&lt;=2015,$O103/12,0))</f>
        <v>5018.7403300000005</v>
      </c>
      <c r="AO103" s="121"/>
      <c r="AQ103" s="105"/>
      <c r="AR103" s="105"/>
    </row>
    <row r="104" spans="1:44" ht="15" x14ac:dyDescent="0.25">
      <c r="A104" s="96" t="s">
        <v>145</v>
      </c>
      <c r="B104" s="97" t="s">
        <v>146</v>
      </c>
      <c r="C104" s="98">
        <v>7116</v>
      </c>
      <c r="D104" s="99" t="s">
        <v>70</v>
      </c>
      <c r="E104" s="100">
        <v>42339</v>
      </c>
      <c r="F104" s="97" t="s">
        <v>78</v>
      </c>
      <c r="G104" s="101">
        <v>0</v>
      </c>
      <c r="H104" s="102">
        <v>1</v>
      </c>
      <c r="I104" s="263"/>
      <c r="J104" s="140">
        <v>4871.6619100000025</v>
      </c>
      <c r="K104" s="139">
        <v>1500</v>
      </c>
      <c r="L104" s="119">
        <v>0</v>
      </c>
      <c r="M104" s="119">
        <f t="shared" si="13"/>
        <v>4871.6619100000025</v>
      </c>
      <c r="N104" s="121">
        <f t="shared" si="14"/>
        <v>1500</v>
      </c>
      <c r="O104" s="120">
        <f t="shared" si="15"/>
        <v>0</v>
      </c>
      <c r="P104" s="121"/>
      <c r="Q104" s="122">
        <f ca="1">+IF($E104=Q$47,SUM($M104:OFFSET($M104,0,IF(YEAR(Q$47)=VALUE(LEFT($K$47,4)),1,2))),
IF(YEAR($E104)&lt;VALUE(LEFT($K$47,4)),($M104+$N104)/12,0))</f>
        <v>0</v>
      </c>
      <c r="R104" s="119">
        <f ca="1">+IF($E104=R$47,SUM($M104:OFFSET($M104,0,IF(YEAR(R$47)=VALUE(LEFT($K$47,4)),1,2))),
IF(YEAR($E104)&lt;VALUE(LEFT($K$47,4)),($M104+$N104)/12,0))</f>
        <v>0</v>
      </c>
      <c r="S104" s="119">
        <f ca="1">+IF($E104=S$47,SUM($M104:OFFSET($M104,0,IF(YEAR(S$47)=VALUE(LEFT($K$47,4)),1,2))),
IF(YEAR($E104)&lt;VALUE(LEFT($K$47,4)),($M104+$N104)/12,0))</f>
        <v>0</v>
      </c>
      <c r="T104" s="119">
        <f ca="1">+IF($E104=T$47,SUM($M104:OFFSET($M104,0,IF(YEAR(T$47)=VALUE(LEFT($K$47,4)),1,2))),
IF(YEAR($E104)&lt;VALUE(LEFT($K$47,4)),($M104+$N104)/12,0))</f>
        <v>0</v>
      </c>
      <c r="U104" s="119">
        <f ca="1">+IF($E104=U$47,SUM($M104:OFFSET($M104,0,IF(YEAR(U$47)=VALUE(LEFT($K$47,4)),1,2))),
IF(YEAR($E104)&lt;VALUE(LEFT($K$47,4)),($M104+$N104)/12,0))</f>
        <v>0</v>
      </c>
      <c r="V104" s="119">
        <f ca="1">+IF($E104=V$47,SUM($M104:OFFSET($M104,0,IF(YEAR(V$47)=VALUE(LEFT($K$47,4)),1,2))),
IF(YEAR($E104)&lt;VALUE(LEFT($K$47,4)),($M104+$N104)/12,0))</f>
        <v>0</v>
      </c>
      <c r="W104" s="119">
        <f ca="1">+IF($E104=W$47,SUM($M104:OFFSET($M104,0,IF(YEAR(W$47)=VALUE(LEFT($K$47,4)),1,2))),
IF(YEAR($E104)&lt;VALUE(LEFT($K$47,4)),($M104+$N104)/12,0))</f>
        <v>0</v>
      </c>
      <c r="X104" s="119">
        <f ca="1">+IF($E104=X$47,SUM($M104:OFFSET($M104,0,IF(YEAR(X$47)=VALUE(LEFT($K$47,4)),1,2))),
IF(YEAR($E104)&lt;VALUE(LEFT($K$47,4)),($M104+$N104)/12,0))</f>
        <v>0</v>
      </c>
      <c r="Y104" s="119">
        <f ca="1">+IF($E104=Y$47,SUM($M104:OFFSET($M104,0,IF(YEAR(Y$47)=VALUE(LEFT($K$47,4)),1,2))),
IF(YEAR($E104)&lt;VALUE(LEFT($K$47,4)),($M104+$N104)/12,0))</f>
        <v>0</v>
      </c>
      <c r="Z104" s="119">
        <f ca="1">+IF($E104=Z$47,SUM($M104:OFFSET($M104,0,IF(YEAR(Z$47)=VALUE(LEFT($K$47,4)),1,2))),
IF(YEAR($E104)&lt;VALUE(LEFT($K$47,4)),($M104+$N104)/12,0))</f>
        <v>0</v>
      </c>
      <c r="AA104" s="119">
        <f ca="1">+IF($E104=AA$47,SUM($M104:OFFSET($M104,0,IF(YEAR(AA$47)=VALUE(LEFT($K$47,4)),1,2))),
IF(YEAR($E104)&lt;VALUE(LEFT($K$47,4)),($M104+$N104)/12,0))</f>
        <v>0</v>
      </c>
      <c r="AB104" s="120">
        <f ca="1">+IF($E104=AB$47,SUM($M104:OFFSET($M104,0,IF(YEAR(AB$47)=VALUE(LEFT($K$47,4)),1,2))),
IF(YEAR($E104)&lt;VALUE(LEFT($K$47,4)),($M104+$N104)/12,0))</f>
        <v>6371.6619100000025</v>
      </c>
      <c r="AC104" s="122">
        <f ca="1">+IF($E104=AC$47,SUM($M104:OFFSET($M104,0,IF(YEAR(AC$47)=VALUE(LEFT($K$47,4)),1,2))),
IF(YEAR($E104)&lt;=2015,$O104/12,0))</f>
        <v>0</v>
      </c>
      <c r="AD104" s="119">
        <f ca="1">+IF($E104=AD$47,SUM($M104:OFFSET($M104,0,IF(YEAR(AD$47)=VALUE(LEFT($K$47,4)),1,2))),
IF(YEAR($E104)&lt;=2015,$O104/12,0))</f>
        <v>0</v>
      </c>
      <c r="AE104" s="119">
        <f ca="1">+IF($E104=AE$47,SUM($M104:OFFSET($M104,0,IF(YEAR(AE$47)=VALUE(LEFT($K$47,4)),1,2))),
IF(YEAR($E104)&lt;=2015,$O104/12,0))</f>
        <v>0</v>
      </c>
      <c r="AF104" s="119">
        <f ca="1">+IF($E104=AF$47,SUM($M104:OFFSET($M104,0,IF(YEAR(AF$47)=VALUE(LEFT($K$47,4)),1,2))),
IF(YEAR($E104)&lt;=2015,$O104/12,0))</f>
        <v>0</v>
      </c>
      <c r="AG104" s="119">
        <f ca="1">+IF($E104=AG$47,SUM($M104:OFFSET($M104,0,IF(YEAR(AG$47)=VALUE(LEFT($K$47,4)),1,2))),
IF(YEAR($E104)&lt;=2015,$O104/12,0))</f>
        <v>0</v>
      </c>
      <c r="AH104" s="119">
        <f ca="1">+IF($E104=AH$47,SUM($M104:OFFSET($M104,0,IF(YEAR(AH$47)=VALUE(LEFT($K$47,4)),1,2))),
IF(YEAR($E104)&lt;=2015,$O104/12,0))</f>
        <v>0</v>
      </c>
      <c r="AI104" s="119">
        <f ca="1">+IF($E104=AI$47,SUM($M104:OFFSET($M104,0,IF(YEAR(AI$47)=VALUE(LEFT($K$47,4)),1,2))),
IF(YEAR($E104)&lt;=2015,$O104/12,0))</f>
        <v>0</v>
      </c>
      <c r="AJ104" s="119">
        <f ca="1">+IF($E104=AJ$47,SUM($M104:OFFSET($M104,0,IF(YEAR(AJ$47)=VALUE(LEFT($K$47,4)),1,2))),
IF(YEAR($E104)&lt;=2015,$O104/12,0))</f>
        <v>0</v>
      </c>
      <c r="AK104" s="119">
        <f ca="1">+IF($E104=AK$47,SUM($M104:OFFSET($M104,0,IF(YEAR(AK$47)=VALUE(LEFT($K$47,4)),1,2))),
IF(YEAR($E104)&lt;=2015,$O104/12,0))</f>
        <v>0</v>
      </c>
      <c r="AL104" s="119">
        <f ca="1">+IF($E104=AL$47,SUM($M104:OFFSET($M104,0,IF(YEAR(AL$47)=VALUE(LEFT($K$47,4)),1,2))),
IF(YEAR($E104)&lt;=2015,$O104/12,0))</f>
        <v>0</v>
      </c>
      <c r="AM104" s="119">
        <f ca="1">+IF($E104=AM$47,SUM($M104:OFFSET($M104,0,IF(YEAR(AM$47)=VALUE(LEFT($K$47,4)),1,2))),
IF(YEAR($E104)&lt;=2015,$O104/12,0))</f>
        <v>0</v>
      </c>
      <c r="AN104" s="120">
        <f ca="1">+IF($E104=AN$47,SUM($M104:OFFSET($M104,0,IF(YEAR(AN$47)=VALUE(LEFT($K$47,4)),1,2))),
IF(YEAR($E104)&lt;=2015,$O104/12,0))</f>
        <v>0</v>
      </c>
      <c r="AO104" s="121"/>
      <c r="AQ104" s="105"/>
      <c r="AR104" s="105"/>
    </row>
    <row r="105" spans="1:44" ht="15" x14ac:dyDescent="0.25">
      <c r="A105" s="96" t="s">
        <v>147</v>
      </c>
      <c r="B105" s="97" t="s">
        <v>148</v>
      </c>
      <c r="C105" s="98">
        <v>7117</v>
      </c>
      <c r="D105" s="99" t="s">
        <v>70</v>
      </c>
      <c r="E105" s="100">
        <v>42339</v>
      </c>
      <c r="F105" s="97" t="s">
        <v>78</v>
      </c>
      <c r="G105" s="101">
        <v>0</v>
      </c>
      <c r="H105" s="102">
        <v>1</v>
      </c>
      <c r="I105" s="263"/>
      <c r="J105" s="140">
        <v>4585.5711699999983</v>
      </c>
      <c r="K105" s="139">
        <v>800</v>
      </c>
      <c r="L105" s="119">
        <v>0</v>
      </c>
      <c r="M105" s="119">
        <f t="shared" si="13"/>
        <v>4585.5711699999983</v>
      </c>
      <c r="N105" s="121">
        <f t="shared" si="14"/>
        <v>800</v>
      </c>
      <c r="O105" s="120">
        <f t="shared" si="15"/>
        <v>0</v>
      </c>
      <c r="P105" s="121"/>
      <c r="Q105" s="122">
        <f ca="1">+IF($E105=Q$47,SUM($M105:OFFSET($M105,0,IF(YEAR(Q$47)=VALUE(LEFT($K$47,4)),1,2))),
IF(YEAR($E105)&lt;VALUE(LEFT($K$47,4)),($M105+$N105)/12,0))</f>
        <v>0</v>
      </c>
      <c r="R105" s="119">
        <f ca="1">+IF($E105=R$47,SUM($M105:OFFSET($M105,0,IF(YEAR(R$47)=VALUE(LEFT($K$47,4)),1,2))),
IF(YEAR($E105)&lt;VALUE(LEFT($K$47,4)),($M105+$N105)/12,0))</f>
        <v>0</v>
      </c>
      <c r="S105" s="119">
        <f ca="1">+IF($E105=S$47,SUM($M105:OFFSET($M105,0,IF(YEAR(S$47)=VALUE(LEFT($K$47,4)),1,2))),
IF(YEAR($E105)&lt;VALUE(LEFT($K$47,4)),($M105+$N105)/12,0))</f>
        <v>0</v>
      </c>
      <c r="T105" s="119">
        <f ca="1">+IF($E105=T$47,SUM($M105:OFFSET($M105,0,IF(YEAR(T$47)=VALUE(LEFT($K$47,4)),1,2))),
IF(YEAR($E105)&lt;VALUE(LEFT($K$47,4)),($M105+$N105)/12,0))</f>
        <v>0</v>
      </c>
      <c r="U105" s="119">
        <f ca="1">+IF($E105=U$47,SUM($M105:OFFSET($M105,0,IF(YEAR(U$47)=VALUE(LEFT($K$47,4)),1,2))),
IF(YEAR($E105)&lt;VALUE(LEFT($K$47,4)),($M105+$N105)/12,0))</f>
        <v>0</v>
      </c>
      <c r="V105" s="119">
        <f ca="1">+IF($E105=V$47,SUM($M105:OFFSET($M105,0,IF(YEAR(V$47)=VALUE(LEFT($K$47,4)),1,2))),
IF(YEAR($E105)&lt;VALUE(LEFT($K$47,4)),($M105+$N105)/12,0))</f>
        <v>0</v>
      </c>
      <c r="W105" s="119">
        <f ca="1">+IF($E105=W$47,SUM($M105:OFFSET($M105,0,IF(YEAR(W$47)=VALUE(LEFT($K$47,4)),1,2))),
IF(YEAR($E105)&lt;VALUE(LEFT($K$47,4)),($M105+$N105)/12,0))</f>
        <v>0</v>
      </c>
      <c r="X105" s="119">
        <f ca="1">+IF($E105=X$47,SUM($M105:OFFSET($M105,0,IF(YEAR(X$47)=VALUE(LEFT($K$47,4)),1,2))),
IF(YEAR($E105)&lt;VALUE(LEFT($K$47,4)),($M105+$N105)/12,0))</f>
        <v>0</v>
      </c>
      <c r="Y105" s="119">
        <f ca="1">+IF($E105=Y$47,SUM($M105:OFFSET($M105,0,IF(YEAR(Y$47)=VALUE(LEFT($K$47,4)),1,2))),
IF(YEAR($E105)&lt;VALUE(LEFT($K$47,4)),($M105+$N105)/12,0))</f>
        <v>0</v>
      </c>
      <c r="Z105" s="119">
        <f ca="1">+IF($E105=Z$47,SUM($M105:OFFSET($M105,0,IF(YEAR(Z$47)=VALUE(LEFT($K$47,4)),1,2))),
IF(YEAR($E105)&lt;VALUE(LEFT($K$47,4)),($M105+$N105)/12,0))</f>
        <v>0</v>
      </c>
      <c r="AA105" s="119">
        <f ca="1">+IF($E105=AA$47,SUM($M105:OFFSET($M105,0,IF(YEAR(AA$47)=VALUE(LEFT($K$47,4)),1,2))),
IF(YEAR($E105)&lt;VALUE(LEFT($K$47,4)),($M105+$N105)/12,0))</f>
        <v>0</v>
      </c>
      <c r="AB105" s="120">
        <f ca="1">+IF($E105=AB$47,SUM($M105:OFFSET($M105,0,IF(YEAR(AB$47)=VALUE(LEFT($K$47,4)),1,2))),
IF(YEAR($E105)&lt;VALUE(LEFT($K$47,4)),($M105+$N105)/12,0))</f>
        <v>5385.5711699999983</v>
      </c>
      <c r="AC105" s="122">
        <f ca="1">+IF($E105=AC$47,SUM($M105:OFFSET($M105,0,IF(YEAR(AC$47)=VALUE(LEFT($K$47,4)),1,2))),
IF(YEAR($E105)&lt;=2015,$O105/12,0))</f>
        <v>0</v>
      </c>
      <c r="AD105" s="119">
        <f ca="1">+IF($E105=AD$47,SUM($M105:OFFSET($M105,0,IF(YEAR(AD$47)=VALUE(LEFT($K$47,4)),1,2))),
IF(YEAR($E105)&lt;=2015,$O105/12,0))</f>
        <v>0</v>
      </c>
      <c r="AE105" s="119">
        <f ca="1">+IF($E105=AE$47,SUM($M105:OFFSET($M105,0,IF(YEAR(AE$47)=VALUE(LEFT($K$47,4)),1,2))),
IF(YEAR($E105)&lt;=2015,$O105/12,0))</f>
        <v>0</v>
      </c>
      <c r="AF105" s="119">
        <f ca="1">+IF($E105=AF$47,SUM($M105:OFFSET($M105,0,IF(YEAR(AF$47)=VALUE(LEFT($K$47,4)),1,2))),
IF(YEAR($E105)&lt;=2015,$O105/12,0))</f>
        <v>0</v>
      </c>
      <c r="AG105" s="119">
        <f ca="1">+IF($E105=AG$47,SUM($M105:OFFSET($M105,0,IF(YEAR(AG$47)=VALUE(LEFT($K$47,4)),1,2))),
IF(YEAR($E105)&lt;=2015,$O105/12,0))</f>
        <v>0</v>
      </c>
      <c r="AH105" s="119">
        <f ca="1">+IF($E105=AH$47,SUM($M105:OFFSET($M105,0,IF(YEAR(AH$47)=VALUE(LEFT($K$47,4)),1,2))),
IF(YEAR($E105)&lt;=2015,$O105/12,0))</f>
        <v>0</v>
      </c>
      <c r="AI105" s="119">
        <f ca="1">+IF($E105=AI$47,SUM($M105:OFFSET($M105,0,IF(YEAR(AI$47)=VALUE(LEFT($K$47,4)),1,2))),
IF(YEAR($E105)&lt;=2015,$O105/12,0))</f>
        <v>0</v>
      </c>
      <c r="AJ105" s="119">
        <f ca="1">+IF($E105=AJ$47,SUM($M105:OFFSET($M105,0,IF(YEAR(AJ$47)=VALUE(LEFT($K$47,4)),1,2))),
IF(YEAR($E105)&lt;=2015,$O105/12,0))</f>
        <v>0</v>
      </c>
      <c r="AK105" s="119">
        <f ca="1">+IF($E105=AK$47,SUM($M105:OFFSET($M105,0,IF(YEAR(AK$47)=VALUE(LEFT($K$47,4)),1,2))),
IF(YEAR($E105)&lt;=2015,$O105/12,0))</f>
        <v>0</v>
      </c>
      <c r="AL105" s="119">
        <f ca="1">+IF($E105=AL$47,SUM($M105:OFFSET($M105,0,IF(YEAR(AL$47)=VALUE(LEFT($K$47,4)),1,2))),
IF(YEAR($E105)&lt;=2015,$O105/12,0))</f>
        <v>0</v>
      </c>
      <c r="AM105" s="119">
        <f ca="1">+IF($E105=AM$47,SUM($M105:OFFSET($M105,0,IF(YEAR(AM$47)=VALUE(LEFT($K$47,4)),1,2))),
IF(YEAR($E105)&lt;=2015,$O105/12,0))</f>
        <v>0</v>
      </c>
      <c r="AN105" s="120">
        <f ca="1">+IF($E105=AN$47,SUM($M105:OFFSET($M105,0,IF(YEAR(AN$47)=VALUE(LEFT($K$47,4)),1,2))),
IF(YEAR($E105)&lt;=2015,$O105/12,0))</f>
        <v>0</v>
      </c>
      <c r="AO105" s="121"/>
      <c r="AQ105" s="105"/>
      <c r="AR105" s="105"/>
    </row>
    <row r="106" spans="1:44" ht="15" x14ac:dyDescent="0.25">
      <c r="A106" s="96" t="s">
        <v>451</v>
      </c>
      <c r="B106" s="97" t="s">
        <v>452</v>
      </c>
      <c r="C106" s="98">
        <v>7119</v>
      </c>
      <c r="D106" s="99" t="s">
        <v>70</v>
      </c>
      <c r="E106" s="100">
        <v>42705</v>
      </c>
      <c r="F106" s="97" t="s">
        <v>78</v>
      </c>
      <c r="G106" s="101">
        <v>0</v>
      </c>
      <c r="H106" s="102">
        <v>1</v>
      </c>
      <c r="I106" s="263"/>
      <c r="J106" s="140">
        <v>78.209789999999998</v>
      </c>
      <c r="K106" s="139">
        <v>30</v>
      </c>
      <c r="L106" s="119">
        <v>50</v>
      </c>
      <c r="M106" s="119">
        <f t="shared" si="13"/>
        <v>78.209789999999998</v>
      </c>
      <c r="N106" s="121">
        <f t="shared" si="14"/>
        <v>30</v>
      </c>
      <c r="O106" s="120">
        <f t="shared" si="15"/>
        <v>50</v>
      </c>
      <c r="P106" s="121"/>
      <c r="Q106" s="122">
        <f ca="1">+IF($E106=Q$47,SUM($M106:OFFSET($M106,0,IF(YEAR(Q$47)=VALUE(LEFT($K$47,4)),1,2))),
IF(YEAR($E106)&lt;VALUE(LEFT($K$47,4)),($M106+$N106)/12,0))</f>
        <v>0</v>
      </c>
      <c r="R106" s="119">
        <f ca="1">+IF($E106=R$47,SUM($M106:OFFSET($M106,0,IF(YEAR(R$47)=VALUE(LEFT($K$47,4)),1,2))),
IF(YEAR($E106)&lt;VALUE(LEFT($K$47,4)),($M106+$N106)/12,0))</f>
        <v>0</v>
      </c>
      <c r="S106" s="119">
        <f ca="1">+IF($E106=S$47,SUM($M106:OFFSET($M106,0,IF(YEAR(S$47)=VALUE(LEFT($K$47,4)),1,2))),
IF(YEAR($E106)&lt;VALUE(LEFT($K$47,4)),($M106+$N106)/12,0))</f>
        <v>0</v>
      </c>
      <c r="T106" s="119">
        <f ca="1">+IF($E106=T$47,SUM($M106:OFFSET($M106,0,IF(YEAR(T$47)=VALUE(LEFT($K$47,4)),1,2))),
IF(YEAR($E106)&lt;VALUE(LEFT($K$47,4)),($M106+$N106)/12,0))</f>
        <v>0</v>
      </c>
      <c r="U106" s="119">
        <f ca="1">+IF($E106=U$47,SUM($M106:OFFSET($M106,0,IF(YEAR(U$47)=VALUE(LEFT($K$47,4)),1,2))),
IF(YEAR($E106)&lt;VALUE(LEFT($K$47,4)),($M106+$N106)/12,0))</f>
        <v>0</v>
      </c>
      <c r="V106" s="119">
        <f ca="1">+IF($E106=V$47,SUM($M106:OFFSET($M106,0,IF(YEAR(V$47)=VALUE(LEFT($K$47,4)),1,2))),
IF(YEAR($E106)&lt;VALUE(LEFT($K$47,4)),($M106+$N106)/12,0))</f>
        <v>0</v>
      </c>
      <c r="W106" s="119">
        <f ca="1">+IF($E106=W$47,SUM($M106:OFFSET($M106,0,IF(YEAR(W$47)=VALUE(LEFT($K$47,4)),1,2))),
IF(YEAR($E106)&lt;VALUE(LEFT($K$47,4)),($M106+$N106)/12,0))</f>
        <v>0</v>
      </c>
      <c r="X106" s="119">
        <f ca="1">+IF($E106=X$47,SUM($M106:OFFSET($M106,0,IF(YEAR(X$47)=VALUE(LEFT($K$47,4)),1,2))),
IF(YEAR($E106)&lt;VALUE(LEFT($K$47,4)),($M106+$N106)/12,0))</f>
        <v>0</v>
      </c>
      <c r="Y106" s="119">
        <f ca="1">+IF($E106=Y$47,SUM($M106:OFFSET($M106,0,IF(YEAR(Y$47)=VALUE(LEFT($K$47,4)),1,2))),
IF(YEAR($E106)&lt;VALUE(LEFT($K$47,4)),($M106+$N106)/12,0))</f>
        <v>0</v>
      </c>
      <c r="Z106" s="119">
        <f ca="1">+IF($E106=Z$47,SUM($M106:OFFSET($M106,0,IF(YEAR(Z$47)=VALUE(LEFT($K$47,4)),1,2))),
IF(YEAR($E106)&lt;VALUE(LEFT($K$47,4)),($M106+$N106)/12,0))</f>
        <v>0</v>
      </c>
      <c r="AA106" s="119">
        <f ca="1">+IF($E106=AA$47,SUM($M106:OFFSET($M106,0,IF(YEAR(AA$47)=VALUE(LEFT($K$47,4)),1,2))),
IF(YEAR($E106)&lt;VALUE(LEFT($K$47,4)),($M106+$N106)/12,0))</f>
        <v>0</v>
      </c>
      <c r="AB106" s="120">
        <f ca="1">+IF($E106=AB$47,SUM($M106:OFFSET($M106,0,IF(YEAR(AB$47)=VALUE(LEFT($K$47,4)),1,2))),
IF(YEAR($E106)&lt;VALUE(LEFT($K$47,4)),($M106+$N106)/12,0))</f>
        <v>0</v>
      </c>
      <c r="AC106" s="122">
        <f ca="1">+IF($E106=AC$47,SUM($M106:OFFSET($M106,0,IF(YEAR(AC$47)=VALUE(LEFT($K$47,4)),1,2))),
IF(YEAR($E106)&lt;=2015,$O106/12,0))</f>
        <v>0</v>
      </c>
      <c r="AD106" s="119">
        <f ca="1">+IF($E106=AD$47,SUM($M106:OFFSET($M106,0,IF(YEAR(AD$47)=VALUE(LEFT($K$47,4)),1,2))),
IF(YEAR($E106)&lt;=2015,$O106/12,0))</f>
        <v>0</v>
      </c>
      <c r="AE106" s="119">
        <f ca="1">+IF($E106=AE$47,SUM($M106:OFFSET($M106,0,IF(YEAR(AE$47)=VALUE(LEFT($K$47,4)),1,2))),
IF(YEAR($E106)&lt;=2015,$O106/12,0))</f>
        <v>0</v>
      </c>
      <c r="AF106" s="119">
        <f ca="1">+IF($E106=AF$47,SUM($M106:OFFSET($M106,0,IF(YEAR(AF$47)=VALUE(LEFT($K$47,4)),1,2))),
IF(YEAR($E106)&lt;=2015,$O106/12,0))</f>
        <v>0</v>
      </c>
      <c r="AG106" s="119">
        <f ca="1">+IF($E106=AG$47,SUM($M106:OFFSET($M106,0,IF(YEAR(AG$47)=VALUE(LEFT($K$47,4)),1,2))),
IF(YEAR($E106)&lt;=2015,$O106/12,0))</f>
        <v>0</v>
      </c>
      <c r="AH106" s="119">
        <f ca="1">+IF($E106=AH$47,SUM($M106:OFFSET($M106,0,IF(YEAR(AH$47)=VALUE(LEFT($K$47,4)),1,2))),
IF(YEAR($E106)&lt;=2015,$O106/12,0))</f>
        <v>0</v>
      </c>
      <c r="AI106" s="119">
        <f ca="1">+IF($E106=AI$47,SUM($M106:OFFSET($M106,0,IF(YEAR(AI$47)=VALUE(LEFT($K$47,4)),1,2))),
IF(YEAR($E106)&lt;=2015,$O106/12,0))</f>
        <v>0</v>
      </c>
      <c r="AJ106" s="119">
        <f ca="1">+IF($E106=AJ$47,SUM($M106:OFFSET($M106,0,IF(YEAR(AJ$47)=VALUE(LEFT($K$47,4)),1,2))),
IF(YEAR($E106)&lt;=2015,$O106/12,0))</f>
        <v>0</v>
      </c>
      <c r="AK106" s="119">
        <f ca="1">+IF($E106=AK$47,SUM($M106:OFFSET($M106,0,IF(YEAR(AK$47)=VALUE(LEFT($K$47,4)),1,2))),
IF(YEAR($E106)&lt;=2015,$O106/12,0))</f>
        <v>0</v>
      </c>
      <c r="AL106" s="119">
        <f ca="1">+IF($E106=AL$47,SUM($M106:OFFSET($M106,0,IF(YEAR(AL$47)=VALUE(LEFT($K$47,4)),1,2))),
IF(YEAR($E106)&lt;=2015,$O106/12,0))</f>
        <v>0</v>
      </c>
      <c r="AM106" s="119">
        <f ca="1">+IF($E106=AM$47,SUM($M106:OFFSET($M106,0,IF(YEAR(AM$47)=VALUE(LEFT($K$47,4)),1,2))),
IF(YEAR($E106)&lt;=2015,$O106/12,0))</f>
        <v>0</v>
      </c>
      <c r="AN106" s="120">
        <f ca="1">+IF($E106=AN$47,SUM($M106:OFFSET($M106,0,IF(YEAR(AN$47)=VALUE(LEFT($K$47,4)),1,2))),
IF(YEAR($E106)&lt;=2015,$O106/12,0))</f>
        <v>158.20979</v>
      </c>
      <c r="AO106" s="121"/>
      <c r="AQ106" s="105"/>
      <c r="AR106" s="105"/>
    </row>
    <row r="107" spans="1:44" ht="15" x14ac:dyDescent="0.25">
      <c r="A107" s="96" t="s">
        <v>149</v>
      </c>
      <c r="B107" s="97" t="s">
        <v>150</v>
      </c>
      <c r="C107" s="98">
        <v>7121</v>
      </c>
      <c r="D107" s="99" t="s">
        <v>70</v>
      </c>
      <c r="E107" s="100">
        <v>41974</v>
      </c>
      <c r="F107" s="97" t="s">
        <v>78</v>
      </c>
      <c r="G107" s="101">
        <v>0</v>
      </c>
      <c r="H107" s="102">
        <v>0.6</v>
      </c>
      <c r="I107" s="263" t="s">
        <v>478</v>
      </c>
      <c r="J107" s="140">
        <v>6412.0549499999997</v>
      </c>
      <c r="K107" s="139">
        <v>700</v>
      </c>
      <c r="L107" s="119">
        <v>0</v>
      </c>
      <c r="M107" s="119">
        <f t="shared" si="13"/>
        <v>3847.2329699999996</v>
      </c>
      <c r="N107" s="121">
        <f t="shared" si="14"/>
        <v>420</v>
      </c>
      <c r="O107" s="120">
        <f t="shared" si="15"/>
        <v>0</v>
      </c>
      <c r="P107" s="121"/>
      <c r="Q107" s="122">
        <f ca="1">+IF($E107=Q$47,SUM($M107:OFFSET($M107,0,IF(YEAR(Q$47)=VALUE(LEFT($K$47,4)),1,2))),
IF(YEAR($E107)&lt;VALUE(LEFT($K$47,4)),($M107+$N107)/12,0))</f>
        <v>355.60274749999991</v>
      </c>
      <c r="R107" s="119">
        <f ca="1">+IF($E107=R$47,SUM($M107:OFFSET($M107,0,IF(YEAR(R$47)=VALUE(LEFT($K$47,4)),1,2))),
IF(YEAR($E107)&lt;VALUE(LEFT($K$47,4)),($M107+$N107)/12,0))</f>
        <v>355.60274749999991</v>
      </c>
      <c r="S107" s="119">
        <f ca="1">+IF($E107=S$47,SUM($M107:OFFSET($M107,0,IF(YEAR(S$47)=VALUE(LEFT($K$47,4)),1,2))),
IF(YEAR($E107)&lt;VALUE(LEFT($K$47,4)),($M107+$N107)/12,0))</f>
        <v>355.60274749999991</v>
      </c>
      <c r="T107" s="119">
        <f ca="1">+IF($E107=T$47,SUM($M107:OFFSET($M107,0,IF(YEAR(T$47)=VALUE(LEFT($K$47,4)),1,2))),
IF(YEAR($E107)&lt;VALUE(LEFT($K$47,4)),($M107+$N107)/12,0))</f>
        <v>355.60274749999991</v>
      </c>
      <c r="U107" s="119">
        <f ca="1">+IF($E107=U$47,SUM($M107:OFFSET($M107,0,IF(YEAR(U$47)=VALUE(LEFT($K$47,4)),1,2))),
IF(YEAR($E107)&lt;VALUE(LEFT($K$47,4)),($M107+$N107)/12,0))</f>
        <v>355.60274749999991</v>
      </c>
      <c r="V107" s="119">
        <f ca="1">+IF($E107=V$47,SUM($M107:OFFSET($M107,0,IF(YEAR(V$47)=VALUE(LEFT($K$47,4)),1,2))),
IF(YEAR($E107)&lt;VALUE(LEFT($K$47,4)),($M107+$N107)/12,0))</f>
        <v>355.60274749999991</v>
      </c>
      <c r="W107" s="119">
        <f ca="1">+IF($E107=W$47,SUM($M107:OFFSET($M107,0,IF(YEAR(W$47)=VALUE(LEFT($K$47,4)),1,2))),
IF(YEAR($E107)&lt;VALUE(LEFT($K$47,4)),($M107+$N107)/12,0))</f>
        <v>355.60274749999991</v>
      </c>
      <c r="X107" s="119">
        <f ca="1">+IF($E107=X$47,SUM($M107:OFFSET($M107,0,IF(YEAR(X$47)=VALUE(LEFT($K$47,4)),1,2))),
IF(YEAR($E107)&lt;VALUE(LEFT($K$47,4)),($M107+$N107)/12,0))</f>
        <v>355.60274749999991</v>
      </c>
      <c r="Y107" s="119">
        <f ca="1">+IF($E107=Y$47,SUM($M107:OFFSET($M107,0,IF(YEAR(Y$47)=VALUE(LEFT($K$47,4)),1,2))),
IF(YEAR($E107)&lt;VALUE(LEFT($K$47,4)),($M107+$N107)/12,0))</f>
        <v>355.60274749999991</v>
      </c>
      <c r="Z107" s="119">
        <f ca="1">+IF($E107=Z$47,SUM($M107:OFFSET($M107,0,IF(YEAR(Z$47)=VALUE(LEFT($K$47,4)),1,2))),
IF(YEAR($E107)&lt;VALUE(LEFT($K$47,4)),($M107+$N107)/12,0))</f>
        <v>355.60274749999991</v>
      </c>
      <c r="AA107" s="119">
        <f ca="1">+IF($E107=AA$47,SUM($M107:OFFSET($M107,0,IF(YEAR(AA$47)=VALUE(LEFT($K$47,4)),1,2))),
IF(YEAR($E107)&lt;VALUE(LEFT($K$47,4)),($M107+$N107)/12,0))</f>
        <v>355.60274749999991</v>
      </c>
      <c r="AB107" s="120">
        <f ca="1">+IF($E107=AB$47,SUM($M107:OFFSET($M107,0,IF(YEAR(AB$47)=VALUE(LEFT($K$47,4)),1,2))),
IF(YEAR($E107)&lt;VALUE(LEFT($K$47,4)),($M107+$N107)/12,0))</f>
        <v>355.60274749999991</v>
      </c>
      <c r="AC107" s="122">
        <f ca="1">+IF($E107=AC$47,SUM($M107:OFFSET($M107,0,IF(YEAR(AC$47)=VALUE(LEFT($K$47,4)),1,2))),
IF(YEAR($E107)&lt;=2015,$O107/12,0))</f>
        <v>0</v>
      </c>
      <c r="AD107" s="119">
        <f ca="1">+IF($E107=AD$47,SUM($M107:OFFSET($M107,0,IF(YEAR(AD$47)=VALUE(LEFT($K$47,4)),1,2))),
IF(YEAR($E107)&lt;=2015,$O107/12,0))</f>
        <v>0</v>
      </c>
      <c r="AE107" s="119">
        <f ca="1">+IF($E107=AE$47,SUM($M107:OFFSET($M107,0,IF(YEAR(AE$47)=VALUE(LEFT($K$47,4)),1,2))),
IF(YEAR($E107)&lt;=2015,$O107/12,0))</f>
        <v>0</v>
      </c>
      <c r="AF107" s="119">
        <f ca="1">+IF($E107=AF$47,SUM($M107:OFFSET($M107,0,IF(YEAR(AF$47)=VALUE(LEFT($K$47,4)),1,2))),
IF(YEAR($E107)&lt;=2015,$O107/12,0))</f>
        <v>0</v>
      </c>
      <c r="AG107" s="119">
        <f ca="1">+IF($E107=AG$47,SUM($M107:OFFSET($M107,0,IF(YEAR(AG$47)=VALUE(LEFT($K$47,4)),1,2))),
IF(YEAR($E107)&lt;=2015,$O107/12,0))</f>
        <v>0</v>
      </c>
      <c r="AH107" s="119">
        <f ca="1">+IF($E107=AH$47,SUM($M107:OFFSET($M107,0,IF(YEAR(AH$47)=VALUE(LEFT($K$47,4)),1,2))),
IF(YEAR($E107)&lt;=2015,$O107/12,0))</f>
        <v>0</v>
      </c>
      <c r="AI107" s="119">
        <f ca="1">+IF($E107=AI$47,SUM($M107:OFFSET($M107,0,IF(YEAR(AI$47)=VALUE(LEFT($K$47,4)),1,2))),
IF(YEAR($E107)&lt;=2015,$O107/12,0))</f>
        <v>0</v>
      </c>
      <c r="AJ107" s="119">
        <f ca="1">+IF($E107=AJ$47,SUM($M107:OFFSET($M107,0,IF(YEAR(AJ$47)=VALUE(LEFT($K$47,4)),1,2))),
IF(YEAR($E107)&lt;=2015,$O107/12,0))</f>
        <v>0</v>
      </c>
      <c r="AK107" s="119">
        <f ca="1">+IF($E107=AK$47,SUM($M107:OFFSET($M107,0,IF(YEAR(AK$47)=VALUE(LEFT($K$47,4)),1,2))),
IF(YEAR($E107)&lt;=2015,$O107/12,0))</f>
        <v>0</v>
      </c>
      <c r="AL107" s="119">
        <f ca="1">+IF($E107=AL$47,SUM($M107:OFFSET($M107,0,IF(YEAR(AL$47)=VALUE(LEFT($K$47,4)),1,2))),
IF(YEAR($E107)&lt;=2015,$O107/12,0))</f>
        <v>0</v>
      </c>
      <c r="AM107" s="119">
        <f ca="1">+IF($E107=AM$47,SUM($M107:OFFSET($M107,0,IF(YEAR(AM$47)=VALUE(LEFT($K$47,4)),1,2))),
IF(YEAR($E107)&lt;=2015,$O107/12,0))</f>
        <v>0</v>
      </c>
      <c r="AN107" s="120">
        <f ca="1">+IF($E107=AN$47,SUM($M107:OFFSET($M107,0,IF(YEAR(AN$47)=VALUE(LEFT($K$47,4)),1,2))),
IF(YEAR($E107)&lt;=2015,$O107/12,0))</f>
        <v>0</v>
      </c>
      <c r="AO107" s="121"/>
      <c r="AQ107" s="105"/>
      <c r="AR107" s="105"/>
    </row>
    <row r="108" spans="1:44" ht="15" x14ac:dyDescent="0.25">
      <c r="A108" s="96" t="s">
        <v>151</v>
      </c>
      <c r="B108" s="97" t="s">
        <v>453</v>
      </c>
      <c r="C108" s="98">
        <v>6792</v>
      </c>
      <c r="D108" s="99" t="s">
        <v>70</v>
      </c>
      <c r="E108" s="100">
        <v>41913</v>
      </c>
      <c r="F108" s="97" t="s">
        <v>78</v>
      </c>
      <c r="G108" s="101">
        <v>0</v>
      </c>
      <c r="H108" s="102">
        <v>1</v>
      </c>
      <c r="I108" s="263" t="s">
        <v>478</v>
      </c>
      <c r="J108" s="140">
        <v>121.79565000000004</v>
      </c>
      <c r="K108" s="139">
        <v>1000</v>
      </c>
      <c r="L108" s="119">
        <v>0</v>
      </c>
      <c r="M108" s="119">
        <f t="shared" si="13"/>
        <v>121.79565000000004</v>
      </c>
      <c r="N108" s="121">
        <f t="shared" si="14"/>
        <v>1000</v>
      </c>
      <c r="O108" s="120">
        <f t="shared" si="15"/>
        <v>0</v>
      </c>
      <c r="P108" s="121"/>
      <c r="Q108" s="122">
        <f ca="1">+IF($E108=Q$47,SUM($M108:OFFSET($M108,0,IF(YEAR(Q$47)=VALUE(LEFT($K$47,4)),1,2))),
IF(YEAR($E108)&lt;VALUE(LEFT($K$47,4)),($M108+$N108)/12,0))</f>
        <v>93.48297083333334</v>
      </c>
      <c r="R108" s="119">
        <f ca="1">+IF($E108=R$47,SUM($M108:OFFSET($M108,0,IF(YEAR(R$47)=VALUE(LEFT($K$47,4)),1,2))),
IF(YEAR($E108)&lt;VALUE(LEFT($K$47,4)),($M108+$N108)/12,0))</f>
        <v>93.48297083333334</v>
      </c>
      <c r="S108" s="119">
        <f ca="1">+IF($E108=S$47,SUM($M108:OFFSET($M108,0,IF(YEAR(S$47)=VALUE(LEFT($K$47,4)),1,2))),
IF(YEAR($E108)&lt;VALUE(LEFT($K$47,4)),($M108+$N108)/12,0))</f>
        <v>93.48297083333334</v>
      </c>
      <c r="T108" s="119">
        <f ca="1">+IF($E108=T$47,SUM($M108:OFFSET($M108,0,IF(YEAR(T$47)=VALUE(LEFT($K$47,4)),1,2))),
IF(YEAR($E108)&lt;VALUE(LEFT($K$47,4)),($M108+$N108)/12,0))</f>
        <v>93.48297083333334</v>
      </c>
      <c r="U108" s="119">
        <f ca="1">+IF($E108=U$47,SUM($M108:OFFSET($M108,0,IF(YEAR(U$47)=VALUE(LEFT($K$47,4)),1,2))),
IF(YEAR($E108)&lt;VALUE(LEFT($K$47,4)),($M108+$N108)/12,0))</f>
        <v>93.48297083333334</v>
      </c>
      <c r="V108" s="119">
        <f ca="1">+IF($E108=V$47,SUM($M108:OFFSET($M108,0,IF(YEAR(V$47)=VALUE(LEFT($K$47,4)),1,2))),
IF(YEAR($E108)&lt;VALUE(LEFT($K$47,4)),($M108+$N108)/12,0))</f>
        <v>93.48297083333334</v>
      </c>
      <c r="W108" s="119">
        <f ca="1">+IF($E108=W$47,SUM($M108:OFFSET($M108,0,IF(YEAR(W$47)=VALUE(LEFT($K$47,4)),1,2))),
IF(YEAR($E108)&lt;VALUE(LEFT($K$47,4)),($M108+$N108)/12,0))</f>
        <v>93.48297083333334</v>
      </c>
      <c r="X108" s="119">
        <f ca="1">+IF($E108=X$47,SUM($M108:OFFSET($M108,0,IF(YEAR(X$47)=VALUE(LEFT($K$47,4)),1,2))),
IF(YEAR($E108)&lt;VALUE(LEFT($K$47,4)),($M108+$N108)/12,0))</f>
        <v>93.48297083333334</v>
      </c>
      <c r="Y108" s="119">
        <f ca="1">+IF($E108=Y$47,SUM($M108:OFFSET($M108,0,IF(YEAR(Y$47)=VALUE(LEFT($K$47,4)),1,2))),
IF(YEAR($E108)&lt;VALUE(LEFT($K$47,4)),($M108+$N108)/12,0))</f>
        <v>93.48297083333334</v>
      </c>
      <c r="Z108" s="119">
        <f ca="1">+IF($E108=Z$47,SUM($M108:OFFSET($M108,0,IF(YEAR(Z$47)=VALUE(LEFT($K$47,4)),1,2))),
IF(YEAR($E108)&lt;VALUE(LEFT($K$47,4)),($M108+$N108)/12,0))</f>
        <v>93.48297083333334</v>
      </c>
      <c r="AA108" s="119">
        <f ca="1">+IF($E108=AA$47,SUM($M108:OFFSET($M108,0,IF(YEAR(AA$47)=VALUE(LEFT($K$47,4)),1,2))),
IF(YEAR($E108)&lt;VALUE(LEFT($K$47,4)),($M108+$N108)/12,0))</f>
        <v>93.48297083333334</v>
      </c>
      <c r="AB108" s="120">
        <f ca="1">+IF($E108=AB$47,SUM($M108:OFFSET($M108,0,IF(YEAR(AB$47)=VALUE(LEFT($K$47,4)),1,2))),
IF(YEAR($E108)&lt;VALUE(LEFT($K$47,4)),($M108+$N108)/12,0))</f>
        <v>93.48297083333334</v>
      </c>
      <c r="AC108" s="122">
        <f ca="1">+IF($E108=AC$47,SUM($M108:OFFSET($M108,0,IF(YEAR(AC$47)=VALUE(LEFT($K$47,4)),1,2))),
IF(YEAR($E108)&lt;=2015,$O108/12,0))</f>
        <v>0</v>
      </c>
      <c r="AD108" s="119">
        <f ca="1">+IF($E108=AD$47,SUM($M108:OFFSET($M108,0,IF(YEAR(AD$47)=VALUE(LEFT($K$47,4)),1,2))),
IF(YEAR($E108)&lt;=2015,$O108/12,0))</f>
        <v>0</v>
      </c>
      <c r="AE108" s="119">
        <f ca="1">+IF($E108=AE$47,SUM($M108:OFFSET($M108,0,IF(YEAR(AE$47)=VALUE(LEFT($K$47,4)),1,2))),
IF(YEAR($E108)&lt;=2015,$O108/12,0))</f>
        <v>0</v>
      </c>
      <c r="AF108" s="119">
        <f ca="1">+IF($E108=AF$47,SUM($M108:OFFSET($M108,0,IF(YEAR(AF$47)=VALUE(LEFT($K$47,4)),1,2))),
IF(YEAR($E108)&lt;=2015,$O108/12,0))</f>
        <v>0</v>
      </c>
      <c r="AG108" s="119">
        <f ca="1">+IF($E108=AG$47,SUM($M108:OFFSET($M108,0,IF(YEAR(AG$47)=VALUE(LEFT($K$47,4)),1,2))),
IF(YEAR($E108)&lt;=2015,$O108/12,0))</f>
        <v>0</v>
      </c>
      <c r="AH108" s="119">
        <f ca="1">+IF($E108=AH$47,SUM($M108:OFFSET($M108,0,IF(YEAR(AH$47)=VALUE(LEFT($K$47,4)),1,2))),
IF(YEAR($E108)&lt;=2015,$O108/12,0))</f>
        <v>0</v>
      </c>
      <c r="AI108" s="119">
        <f ca="1">+IF($E108=AI$47,SUM($M108:OFFSET($M108,0,IF(YEAR(AI$47)=VALUE(LEFT($K$47,4)),1,2))),
IF(YEAR($E108)&lt;=2015,$O108/12,0))</f>
        <v>0</v>
      </c>
      <c r="AJ108" s="119">
        <f ca="1">+IF($E108=AJ$47,SUM($M108:OFFSET($M108,0,IF(YEAR(AJ$47)=VALUE(LEFT($K$47,4)),1,2))),
IF(YEAR($E108)&lt;=2015,$O108/12,0))</f>
        <v>0</v>
      </c>
      <c r="AK108" s="119">
        <f ca="1">+IF($E108=AK$47,SUM($M108:OFFSET($M108,0,IF(YEAR(AK$47)=VALUE(LEFT($K$47,4)),1,2))),
IF(YEAR($E108)&lt;=2015,$O108/12,0))</f>
        <v>0</v>
      </c>
      <c r="AL108" s="119">
        <f ca="1">+IF($E108=AL$47,SUM($M108:OFFSET($M108,0,IF(YEAR(AL$47)=VALUE(LEFT($K$47,4)),1,2))),
IF(YEAR($E108)&lt;=2015,$O108/12,0))</f>
        <v>0</v>
      </c>
      <c r="AM108" s="119">
        <f ca="1">+IF($E108=AM$47,SUM($M108:OFFSET($M108,0,IF(YEAR(AM$47)=VALUE(LEFT($K$47,4)),1,2))),
IF(YEAR($E108)&lt;=2015,$O108/12,0))</f>
        <v>0</v>
      </c>
      <c r="AN108" s="120">
        <f ca="1">+IF($E108=AN$47,SUM($M108:OFFSET($M108,0,IF(YEAR(AN$47)=VALUE(LEFT($K$47,4)),1,2))),
IF(YEAR($E108)&lt;=2015,$O108/12,0))</f>
        <v>0</v>
      </c>
      <c r="AO108" s="121"/>
      <c r="AQ108" s="105"/>
      <c r="AR108" s="105"/>
    </row>
    <row r="109" spans="1:44" ht="15" x14ac:dyDescent="0.25">
      <c r="A109" s="96" t="s">
        <v>454</v>
      </c>
      <c r="B109" s="97" t="s">
        <v>455</v>
      </c>
      <c r="C109" s="98">
        <v>7466</v>
      </c>
      <c r="D109" s="99" t="s">
        <v>70</v>
      </c>
      <c r="E109" s="100">
        <v>41974</v>
      </c>
      <c r="F109" s="97" t="s">
        <v>78</v>
      </c>
      <c r="G109" s="101">
        <v>0</v>
      </c>
      <c r="H109" s="102">
        <v>0.87</v>
      </c>
      <c r="I109" s="263" t="s">
        <v>478</v>
      </c>
      <c r="J109" s="140">
        <v>0</v>
      </c>
      <c r="K109" s="139">
        <v>100</v>
      </c>
      <c r="L109" s="119">
        <v>0</v>
      </c>
      <c r="M109" s="119">
        <f t="shared" si="13"/>
        <v>0</v>
      </c>
      <c r="N109" s="121">
        <f t="shared" si="14"/>
        <v>87</v>
      </c>
      <c r="O109" s="120">
        <f t="shared" si="15"/>
        <v>0</v>
      </c>
      <c r="P109" s="121"/>
      <c r="Q109" s="122">
        <f ca="1">+IF($E109=Q$47,SUM($M109:OFFSET($M109,0,IF(YEAR(Q$47)=VALUE(LEFT($K$47,4)),1,2))),
IF(YEAR($E109)&lt;VALUE(LEFT($K$47,4)),($M109+$N109)/12,0))</f>
        <v>7.25</v>
      </c>
      <c r="R109" s="119">
        <f ca="1">+IF($E109=R$47,SUM($M109:OFFSET($M109,0,IF(YEAR(R$47)=VALUE(LEFT($K$47,4)),1,2))),
IF(YEAR($E109)&lt;VALUE(LEFT($K$47,4)),($M109+$N109)/12,0))</f>
        <v>7.25</v>
      </c>
      <c r="S109" s="119">
        <f ca="1">+IF($E109=S$47,SUM($M109:OFFSET($M109,0,IF(YEAR(S$47)=VALUE(LEFT($K$47,4)),1,2))),
IF(YEAR($E109)&lt;VALUE(LEFT($K$47,4)),($M109+$N109)/12,0))</f>
        <v>7.25</v>
      </c>
      <c r="T109" s="119">
        <f ca="1">+IF($E109=T$47,SUM($M109:OFFSET($M109,0,IF(YEAR(T$47)=VALUE(LEFT($K$47,4)),1,2))),
IF(YEAR($E109)&lt;VALUE(LEFT($K$47,4)),($M109+$N109)/12,0))</f>
        <v>7.25</v>
      </c>
      <c r="U109" s="119">
        <f ca="1">+IF($E109=U$47,SUM($M109:OFFSET($M109,0,IF(YEAR(U$47)=VALUE(LEFT($K$47,4)),1,2))),
IF(YEAR($E109)&lt;VALUE(LEFT($K$47,4)),($M109+$N109)/12,0))</f>
        <v>7.25</v>
      </c>
      <c r="V109" s="119">
        <f ca="1">+IF($E109=V$47,SUM($M109:OFFSET($M109,0,IF(YEAR(V$47)=VALUE(LEFT($K$47,4)),1,2))),
IF(YEAR($E109)&lt;VALUE(LEFT($K$47,4)),($M109+$N109)/12,0))</f>
        <v>7.25</v>
      </c>
      <c r="W109" s="119">
        <f ca="1">+IF($E109=W$47,SUM($M109:OFFSET($M109,0,IF(YEAR(W$47)=VALUE(LEFT($K$47,4)),1,2))),
IF(YEAR($E109)&lt;VALUE(LEFT($K$47,4)),($M109+$N109)/12,0))</f>
        <v>7.25</v>
      </c>
      <c r="X109" s="119">
        <f ca="1">+IF($E109=X$47,SUM($M109:OFFSET($M109,0,IF(YEAR(X$47)=VALUE(LEFT($K$47,4)),1,2))),
IF(YEAR($E109)&lt;VALUE(LEFT($K$47,4)),($M109+$N109)/12,0))</f>
        <v>7.25</v>
      </c>
      <c r="Y109" s="119">
        <f ca="1">+IF($E109=Y$47,SUM($M109:OFFSET($M109,0,IF(YEAR(Y$47)=VALUE(LEFT($K$47,4)),1,2))),
IF(YEAR($E109)&lt;VALUE(LEFT($K$47,4)),($M109+$N109)/12,0))</f>
        <v>7.25</v>
      </c>
      <c r="Z109" s="119">
        <f ca="1">+IF($E109=Z$47,SUM($M109:OFFSET($M109,0,IF(YEAR(Z$47)=VALUE(LEFT($K$47,4)),1,2))),
IF(YEAR($E109)&lt;VALUE(LEFT($K$47,4)),($M109+$N109)/12,0))</f>
        <v>7.25</v>
      </c>
      <c r="AA109" s="119">
        <f ca="1">+IF($E109=AA$47,SUM($M109:OFFSET($M109,0,IF(YEAR(AA$47)=VALUE(LEFT($K$47,4)),1,2))),
IF(YEAR($E109)&lt;VALUE(LEFT($K$47,4)),($M109+$N109)/12,0))</f>
        <v>7.25</v>
      </c>
      <c r="AB109" s="120">
        <f ca="1">+IF($E109=AB$47,SUM($M109:OFFSET($M109,0,IF(YEAR(AB$47)=VALUE(LEFT($K$47,4)),1,2))),
IF(YEAR($E109)&lt;VALUE(LEFT($K$47,4)),($M109+$N109)/12,0))</f>
        <v>7.25</v>
      </c>
      <c r="AC109" s="122">
        <f ca="1">+IF($E109=AC$47,SUM($M109:OFFSET($M109,0,IF(YEAR(AC$47)=VALUE(LEFT($K$47,4)),1,2))),
IF(YEAR($E109)&lt;=2015,$O109/12,0))</f>
        <v>0</v>
      </c>
      <c r="AD109" s="119">
        <f ca="1">+IF($E109=AD$47,SUM($M109:OFFSET($M109,0,IF(YEAR(AD$47)=VALUE(LEFT($K$47,4)),1,2))),
IF(YEAR($E109)&lt;=2015,$O109/12,0))</f>
        <v>0</v>
      </c>
      <c r="AE109" s="119">
        <f ca="1">+IF($E109=AE$47,SUM($M109:OFFSET($M109,0,IF(YEAR(AE$47)=VALUE(LEFT($K$47,4)),1,2))),
IF(YEAR($E109)&lt;=2015,$O109/12,0))</f>
        <v>0</v>
      </c>
      <c r="AF109" s="119">
        <f ca="1">+IF($E109=AF$47,SUM($M109:OFFSET($M109,0,IF(YEAR(AF$47)=VALUE(LEFT($K$47,4)),1,2))),
IF(YEAR($E109)&lt;=2015,$O109/12,0))</f>
        <v>0</v>
      </c>
      <c r="AG109" s="119">
        <f ca="1">+IF($E109=AG$47,SUM($M109:OFFSET($M109,0,IF(YEAR(AG$47)=VALUE(LEFT($K$47,4)),1,2))),
IF(YEAR($E109)&lt;=2015,$O109/12,0))</f>
        <v>0</v>
      </c>
      <c r="AH109" s="119">
        <f ca="1">+IF($E109=AH$47,SUM($M109:OFFSET($M109,0,IF(YEAR(AH$47)=VALUE(LEFT($K$47,4)),1,2))),
IF(YEAR($E109)&lt;=2015,$O109/12,0))</f>
        <v>0</v>
      </c>
      <c r="AI109" s="119">
        <f ca="1">+IF($E109=AI$47,SUM($M109:OFFSET($M109,0,IF(YEAR(AI$47)=VALUE(LEFT($K$47,4)),1,2))),
IF(YEAR($E109)&lt;=2015,$O109/12,0))</f>
        <v>0</v>
      </c>
      <c r="AJ109" s="119">
        <f ca="1">+IF($E109=AJ$47,SUM($M109:OFFSET($M109,0,IF(YEAR(AJ$47)=VALUE(LEFT($K$47,4)),1,2))),
IF(YEAR($E109)&lt;=2015,$O109/12,0))</f>
        <v>0</v>
      </c>
      <c r="AK109" s="119">
        <f ca="1">+IF($E109=AK$47,SUM($M109:OFFSET($M109,0,IF(YEAR(AK$47)=VALUE(LEFT($K$47,4)),1,2))),
IF(YEAR($E109)&lt;=2015,$O109/12,0))</f>
        <v>0</v>
      </c>
      <c r="AL109" s="119">
        <f ca="1">+IF($E109=AL$47,SUM($M109:OFFSET($M109,0,IF(YEAR(AL$47)=VALUE(LEFT($K$47,4)),1,2))),
IF(YEAR($E109)&lt;=2015,$O109/12,0))</f>
        <v>0</v>
      </c>
      <c r="AM109" s="119">
        <f ca="1">+IF($E109=AM$47,SUM($M109:OFFSET($M109,0,IF(YEAR(AM$47)=VALUE(LEFT($K$47,4)),1,2))),
IF(YEAR($E109)&lt;=2015,$O109/12,0))</f>
        <v>0</v>
      </c>
      <c r="AN109" s="120">
        <f ca="1">+IF($E109=AN$47,SUM($M109:OFFSET($M109,0,IF(YEAR(AN$47)=VALUE(LEFT($K$47,4)),1,2))),
IF(YEAR($E109)&lt;=2015,$O109/12,0))</f>
        <v>0</v>
      </c>
      <c r="AO109" s="121"/>
      <c r="AQ109" s="105"/>
      <c r="AR109" s="105"/>
    </row>
    <row r="110" spans="1:44" ht="15" x14ac:dyDescent="0.25">
      <c r="A110" s="96" t="s">
        <v>456</v>
      </c>
      <c r="B110" s="97" t="s">
        <v>457</v>
      </c>
      <c r="C110" s="98">
        <v>7518</v>
      </c>
      <c r="D110" s="99" t="s">
        <v>70</v>
      </c>
      <c r="E110" s="100">
        <v>42522</v>
      </c>
      <c r="F110" s="97" t="s">
        <v>78</v>
      </c>
      <c r="G110" s="101">
        <v>0</v>
      </c>
      <c r="H110" s="102">
        <v>0.8</v>
      </c>
      <c r="I110" s="263"/>
      <c r="J110" s="140">
        <v>1152.3746600000004</v>
      </c>
      <c r="K110" s="139">
        <v>1000</v>
      </c>
      <c r="L110" s="119">
        <v>5250</v>
      </c>
      <c r="M110" s="119">
        <f t="shared" si="13"/>
        <v>921.89972800000032</v>
      </c>
      <c r="N110" s="121">
        <f t="shared" si="14"/>
        <v>800</v>
      </c>
      <c r="O110" s="120">
        <f t="shared" si="15"/>
        <v>4200</v>
      </c>
      <c r="P110" s="121"/>
      <c r="Q110" s="122">
        <f ca="1">+IF($E110=Q$47,SUM($M110:OFFSET($M110,0,IF(YEAR(Q$47)=VALUE(LEFT($K$47,4)),1,2))),
IF(YEAR($E110)&lt;VALUE(LEFT($K$47,4)),($M110+$N110)/12,0))</f>
        <v>0</v>
      </c>
      <c r="R110" s="119">
        <f ca="1">+IF($E110=R$47,SUM($M110:OFFSET($M110,0,IF(YEAR(R$47)=VALUE(LEFT($K$47,4)),1,2))),
IF(YEAR($E110)&lt;VALUE(LEFT($K$47,4)),($M110+$N110)/12,0))</f>
        <v>0</v>
      </c>
      <c r="S110" s="119">
        <f ca="1">+IF($E110=S$47,SUM($M110:OFFSET($M110,0,IF(YEAR(S$47)=VALUE(LEFT($K$47,4)),1,2))),
IF(YEAR($E110)&lt;VALUE(LEFT($K$47,4)),($M110+$N110)/12,0))</f>
        <v>0</v>
      </c>
      <c r="T110" s="119">
        <f ca="1">+IF($E110=T$47,SUM($M110:OFFSET($M110,0,IF(YEAR(T$47)=VALUE(LEFT($K$47,4)),1,2))),
IF(YEAR($E110)&lt;VALUE(LEFT($K$47,4)),($M110+$N110)/12,0))</f>
        <v>0</v>
      </c>
      <c r="U110" s="119">
        <f ca="1">+IF($E110=U$47,SUM($M110:OFFSET($M110,0,IF(YEAR(U$47)=VALUE(LEFT($K$47,4)),1,2))),
IF(YEAR($E110)&lt;VALUE(LEFT($K$47,4)),($M110+$N110)/12,0))</f>
        <v>0</v>
      </c>
      <c r="V110" s="119">
        <f ca="1">+IF($E110=V$47,SUM($M110:OFFSET($M110,0,IF(YEAR(V$47)=VALUE(LEFT($K$47,4)),1,2))),
IF(YEAR($E110)&lt;VALUE(LEFT($K$47,4)),($M110+$N110)/12,0))</f>
        <v>0</v>
      </c>
      <c r="W110" s="119">
        <f ca="1">+IF($E110=W$47,SUM($M110:OFFSET($M110,0,IF(YEAR(W$47)=VALUE(LEFT($K$47,4)),1,2))),
IF(YEAR($E110)&lt;VALUE(LEFT($K$47,4)),($M110+$N110)/12,0))</f>
        <v>0</v>
      </c>
      <c r="X110" s="119">
        <f ca="1">+IF($E110=X$47,SUM($M110:OFFSET($M110,0,IF(YEAR(X$47)=VALUE(LEFT($K$47,4)),1,2))),
IF(YEAR($E110)&lt;VALUE(LEFT($K$47,4)),($M110+$N110)/12,0))</f>
        <v>0</v>
      </c>
      <c r="Y110" s="119">
        <f ca="1">+IF($E110=Y$47,SUM($M110:OFFSET($M110,0,IF(YEAR(Y$47)=VALUE(LEFT($K$47,4)),1,2))),
IF(YEAR($E110)&lt;VALUE(LEFT($K$47,4)),($M110+$N110)/12,0))</f>
        <v>0</v>
      </c>
      <c r="Z110" s="119">
        <f ca="1">+IF($E110=Z$47,SUM($M110:OFFSET($M110,0,IF(YEAR(Z$47)=VALUE(LEFT($K$47,4)),1,2))),
IF(YEAR($E110)&lt;VALUE(LEFT($K$47,4)),($M110+$N110)/12,0))</f>
        <v>0</v>
      </c>
      <c r="AA110" s="119">
        <f ca="1">+IF($E110=AA$47,SUM($M110:OFFSET($M110,0,IF(YEAR(AA$47)=VALUE(LEFT($K$47,4)),1,2))),
IF(YEAR($E110)&lt;VALUE(LEFT($K$47,4)),($M110+$N110)/12,0))</f>
        <v>0</v>
      </c>
      <c r="AB110" s="120">
        <f ca="1">+IF($E110=AB$47,SUM($M110:OFFSET($M110,0,IF(YEAR(AB$47)=VALUE(LEFT($K$47,4)),1,2))),
IF(YEAR($E110)&lt;VALUE(LEFT($K$47,4)),($M110+$N110)/12,0))</f>
        <v>0</v>
      </c>
      <c r="AC110" s="122">
        <f ca="1">+IF($E110=AC$47,SUM($M110:OFFSET($M110,0,IF(YEAR(AC$47)=VALUE(LEFT($K$47,4)),1,2))),
IF(YEAR($E110)&lt;=2015,$O110/12,0))</f>
        <v>0</v>
      </c>
      <c r="AD110" s="119">
        <f ca="1">+IF($E110=AD$47,SUM($M110:OFFSET($M110,0,IF(YEAR(AD$47)=VALUE(LEFT($K$47,4)),1,2))),
IF(YEAR($E110)&lt;=2015,$O110/12,0))</f>
        <v>0</v>
      </c>
      <c r="AE110" s="119">
        <f ca="1">+IF($E110=AE$47,SUM($M110:OFFSET($M110,0,IF(YEAR(AE$47)=VALUE(LEFT($K$47,4)),1,2))),
IF(YEAR($E110)&lt;=2015,$O110/12,0))</f>
        <v>0</v>
      </c>
      <c r="AF110" s="119">
        <f ca="1">+IF($E110=AF$47,SUM($M110:OFFSET($M110,0,IF(YEAR(AF$47)=VALUE(LEFT($K$47,4)),1,2))),
IF(YEAR($E110)&lt;=2015,$O110/12,0))</f>
        <v>0</v>
      </c>
      <c r="AG110" s="119">
        <f ca="1">+IF($E110=AG$47,SUM($M110:OFFSET($M110,0,IF(YEAR(AG$47)=VALUE(LEFT($K$47,4)),1,2))),
IF(YEAR($E110)&lt;=2015,$O110/12,0))</f>
        <v>0</v>
      </c>
      <c r="AH110" s="119">
        <f ca="1">+IF($E110=AH$47,SUM($M110:OFFSET($M110,0,IF(YEAR(AH$47)=VALUE(LEFT($K$47,4)),1,2))),
IF(YEAR($E110)&lt;=2015,$O110/12,0))</f>
        <v>5921.8997280000003</v>
      </c>
      <c r="AI110" s="119">
        <f ca="1">+IF($E110=AI$47,SUM($M110:OFFSET($M110,0,IF(YEAR(AI$47)=VALUE(LEFT($K$47,4)),1,2))),
IF(YEAR($E110)&lt;=2015,$O110/12,0))</f>
        <v>0</v>
      </c>
      <c r="AJ110" s="119">
        <f ca="1">+IF($E110=AJ$47,SUM($M110:OFFSET($M110,0,IF(YEAR(AJ$47)=VALUE(LEFT($K$47,4)),1,2))),
IF(YEAR($E110)&lt;=2015,$O110/12,0))</f>
        <v>0</v>
      </c>
      <c r="AK110" s="119">
        <f ca="1">+IF($E110=AK$47,SUM($M110:OFFSET($M110,0,IF(YEAR(AK$47)=VALUE(LEFT($K$47,4)),1,2))),
IF(YEAR($E110)&lt;=2015,$O110/12,0))</f>
        <v>0</v>
      </c>
      <c r="AL110" s="119">
        <f ca="1">+IF($E110=AL$47,SUM($M110:OFFSET($M110,0,IF(YEAR(AL$47)=VALUE(LEFT($K$47,4)),1,2))),
IF(YEAR($E110)&lt;=2015,$O110/12,0))</f>
        <v>0</v>
      </c>
      <c r="AM110" s="119">
        <f ca="1">+IF($E110=AM$47,SUM($M110:OFFSET($M110,0,IF(YEAR(AM$47)=VALUE(LEFT($K$47,4)),1,2))),
IF(YEAR($E110)&lt;=2015,$O110/12,0))</f>
        <v>0</v>
      </c>
      <c r="AN110" s="120">
        <f ca="1">+IF($E110=AN$47,SUM($M110:OFFSET($M110,0,IF(YEAR(AN$47)=VALUE(LEFT($K$47,4)),1,2))),
IF(YEAR($E110)&lt;=2015,$O110/12,0))</f>
        <v>0</v>
      </c>
      <c r="AO110" s="121"/>
      <c r="AQ110" s="105"/>
      <c r="AR110" s="105"/>
    </row>
    <row r="111" spans="1:44" ht="15" x14ac:dyDescent="0.25">
      <c r="A111" s="96" t="s">
        <v>458</v>
      </c>
      <c r="B111" s="97" t="s">
        <v>459</v>
      </c>
      <c r="C111" s="98" t="s">
        <v>467</v>
      </c>
      <c r="D111" s="99" t="s">
        <v>70</v>
      </c>
      <c r="E111" s="100">
        <v>42705</v>
      </c>
      <c r="F111" s="97" t="s">
        <v>78</v>
      </c>
      <c r="G111" s="101">
        <v>0</v>
      </c>
      <c r="H111" s="102">
        <v>1</v>
      </c>
      <c r="I111" s="263"/>
      <c r="J111" s="140">
        <v>0</v>
      </c>
      <c r="K111" s="139">
        <v>100</v>
      </c>
      <c r="L111" s="119">
        <v>650</v>
      </c>
      <c r="M111" s="119">
        <f t="shared" si="13"/>
        <v>0</v>
      </c>
      <c r="N111" s="121">
        <f t="shared" si="14"/>
        <v>100</v>
      </c>
      <c r="O111" s="120">
        <f t="shared" si="15"/>
        <v>650</v>
      </c>
      <c r="P111" s="121"/>
      <c r="Q111" s="122">
        <f ca="1">+IF($E111=Q$47,SUM($M111:OFFSET($M111,0,IF(YEAR(Q$47)=VALUE(LEFT($K$47,4)),1,2))),
IF(YEAR($E111)&lt;VALUE(LEFT($K$47,4)),($M111+$N111)/12,0))</f>
        <v>0</v>
      </c>
      <c r="R111" s="119">
        <f ca="1">+IF($E111=R$47,SUM($M111:OFFSET($M111,0,IF(YEAR(R$47)=VALUE(LEFT($K$47,4)),1,2))),
IF(YEAR($E111)&lt;VALUE(LEFT($K$47,4)),($M111+$N111)/12,0))</f>
        <v>0</v>
      </c>
      <c r="S111" s="119">
        <f ca="1">+IF($E111=S$47,SUM($M111:OFFSET($M111,0,IF(YEAR(S$47)=VALUE(LEFT($K$47,4)),1,2))),
IF(YEAR($E111)&lt;VALUE(LEFT($K$47,4)),($M111+$N111)/12,0))</f>
        <v>0</v>
      </c>
      <c r="T111" s="119">
        <f ca="1">+IF($E111=T$47,SUM($M111:OFFSET($M111,0,IF(YEAR(T$47)=VALUE(LEFT($K$47,4)),1,2))),
IF(YEAR($E111)&lt;VALUE(LEFT($K$47,4)),($M111+$N111)/12,0))</f>
        <v>0</v>
      </c>
      <c r="U111" s="119">
        <f ca="1">+IF($E111=U$47,SUM($M111:OFFSET($M111,0,IF(YEAR(U$47)=VALUE(LEFT($K$47,4)),1,2))),
IF(YEAR($E111)&lt;VALUE(LEFT($K$47,4)),($M111+$N111)/12,0))</f>
        <v>0</v>
      </c>
      <c r="V111" s="119">
        <f ca="1">+IF($E111=V$47,SUM($M111:OFFSET($M111,0,IF(YEAR(V$47)=VALUE(LEFT($K$47,4)),1,2))),
IF(YEAR($E111)&lt;VALUE(LEFT($K$47,4)),($M111+$N111)/12,0))</f>
        <v>0</v>
      </c>
      <c r="W111" s="119">
        <f ca="1">+IF($E111=W$47,SUM($M111:OFFSET($M111,0,IF(YEAR(W$47)=VALUE(LEFT($K$47,4)),1,2))),
IF(YEAR($E111)&lt;VALUE(LEFT($K$47,4)),($M111+$N111)/12,0))</f>
        <v>0</v>
      </c>
      <c r="X111" s="119">
        <f ca="1">+IF($E111=X$47,SUM($M111:OFFSET($M111,0,IF(YEAR(X$47)=VALUE(LEFT($K$47,4)),1,2))),
IF(YEAR($E111)&lt;VALUE(LEFT($K$47,4)),($M111+$N111)/12,0))</f>
        <v>0</v>
      </c>
      <c r="Y111" s="119">
        <f ca="1">+IF($E111=Y$47,SUM($M111:OFFSET($M111,0,IF(YEAR(Y$47)=VALUE(LEFT($K$47,4)),1,2))),
IF(YEAR($E111)&lt;VALUE(LEFT($K$47,4)),($M111+$N111)/12,0))</f>
        <v>0</v>
      </c>
      <c r="Z111" s="119">
        <f ca="1">+IF($E111=Z$47,SUM($M111:OFFSET($M111,0,IF(YEAR(Z$47)=VALUE(LEFT($K$47,4)),1,2))),
IF(YEAR($E111)&lt;VALUE(LEFT($K$47,4)),($M111+$N111)/12,0))</f>
        <v>0</v>
      </c>
      <c r="AA111" s="119">
        <f ca="1">+IF($E111=AA$47,SUM($M111:OFFSET($M111,0,IF(YEAR(AA$47)=VALUE(LEFT($K$47,4)),1,2))),
IF(YEAR($E111)&lt;VALUE(LEFT($K$47,4)),($M111+$N111)/12,0))</f>
        <v>0</v>
      </c>
      <c r="AB111" s="120">
        <f ca="1">+IF($E111=AB$47,SUM($M111:OFFSET($M111,0,IF(YEAR(AB$47)=VALUE(LEFT($K$47,4)),1,2))),
IF(YEAR($E111)&lt;VALUE(LEFT($K$47,4)),($M111+$N111)/12,0))</f>
        <v>0</v>
      </c>
      <c r="AC111" s="122">
        <f ca="1">+IF($E111=AC$47,SUM($M111:OFFSET($M111,0,IF(YEAR(AC$47)=VALUE(LEFT($K$47,4)),1,2))),
IF(YEAR($E111)&lt;=2015,$O111/12,0))</f>
        <v>0</v>
      </c>
      <c r="AD111" s="119">
        <f ca="1">+IF($E111=AD$47,SUM($M111:OFFSET($M111,0,IF(YEAR(AD$47)=VALUE(LEFT($K$47,4)),1,2))),
IF(YEAR($E111)&lt;=2015,$O111/12,0))</f>
        <v>0</v>
      </c>
      <c r="AE111" s="119">
        <f ca="1">+IF($E111=AE$47,SUM($M111:OFFSET($M111,0,IF(YEAR(AE$47)=VALUE(LEFT($K$47,4)),1,2))),
IF(YEAR($E111)&lt;=2015,$O111/12,0))</f>
        <v>0</v>
      </c>
      <c r="AF111" s="119">
        <f ca="1">+IF($E111=AF$47,SUM($M111:OFFSET($M111,0,IF(YEAR(AF$47)=VALUE(LEFT($K$47,4)),1,2))),
IF(YEAR($E111)&lt;=2015,$O111/12,0))</f>
        <v>0</v>
      </c>
      <c r="AG111" s="119">
        <f ca="1">+IF($E111=AG$47,SUM($M111:OFFSET($M111,0,IF(YEAR(AG$47)=VALUE(LEFT($K$47,4)),1,2))),
IF(YEAR($E111)&lt;=2015,$O111/12,0))</f>
        <v>0</v>
      </c>
      <c r="AH111" s="119">
        <f ca="1">+IF($E111=AH$47,SUM($M111:OFFSET($M111,0,IF(YEAR(AH$47)=VALUE(LEFT($K$47,4)),1,2))),
IF(YEAR($E111)&lt;=2015,$O111/12,0))</f>
        <v>0</v>
      </c>
      <c r="AI111" s="119">
        <f ca="1">+IF($E111=AI$47,SUM($M111:OFFSET($M111,0,IF(YEAR(AI$47)=VALUE(LEFT($K$47,4)),1,2))),
IF(YEAR($E111)&lt;=2015,$O111/12,0))</f>
        <v>0</v>
      </c>
      <c r="AJ111" s="119">
        <f ca="1">+IF($E111=AJ$47,SUM($M111:OFFSET($M111,0,IF(YEAR(AJ$47)=VALUE(LEFT($K$47,4)),1,2))),
IF(YEAR($E111)&lt;=2015,$O111/12,0))</f>
        <v>0</v>
      </c>
      <c r="AK111" s="119">
        <f ca="1">+IF($E111=AK$47,SUM($M111:OFFSET($M111,0,IF(YEAR(AK$47)=VALUE(LEFT($K$47,4)),1,2))),
IF(YEAR($E111)&lt;=2015,$O111/12,0))</f>
        <v>0</v>
      </c>
      <c r="AL111" s="119">
        <f ca="1">+IF($E111=AL$47,SUM($M111:OFFSET($M111,0,IF(YEAR(AL$47)=VALUE(LEFT($K$47,4)),1,2))),
IF(YEAR($E111)&lt;=2015,$O111/12,0))</f>
        <v>0</v>
      </c>
      <c r="AM111" s="119">
        <f ca="1">+IF($E111=AM$47,SUM($M111:OFFSET($M111,0,IF(YEAR(AM$47)=VALUE(LEFT($K$47,4)),1,2))),
IF(YEAR($E111)&lt;=2015,$O111/12,0))</f>
        <v>0</v>
      </c>
      <c r="AN111" s="120">
        <f ca="1">+IF($E111=AN$47,SUM($M111:OFFSET($M111,0,IF(YEAR(AN$47)=VALUE(LEFT($K$47,4)),1,2))),
IF(YEAR($E111)&lt;=2015,$O111/12,0))</f>
        <v>750</v>
      </c>
      <c r="AO111" s="121"/>
      <c r="AQ111" s="105"/>
      <c r="AR111" s="105"/>
    </row>
    <row r="112" spans="1:44" ht="15" x14ac:dyDescent="0.25">
      <c r="A112" s="142" t="s">
        <v>156</v>
      </c>
      <c r="B112" s="143" t="s">
        <v>468</v>
      </c>
      <c r="C112" s="144">
        <v>7183</v>
      </c>
      <c r="D112" s="145" t="s">
        <v>70</v>
      </c>
      <c r="E112" s="141">
        <v>42339</v>
      </c>
      <c r="F112" s="143" t="s">
        <v>78</v>
      </c>
      <c r="G112" s="146">
        <v>0</v>
      </c>
      <c r="H112" s="147">
        <v>1</v>
      </c>
      <c r="I112" s="263"/>
      <c r="J112" s="140">
        <v>0</v>
      </c>
      <c r="K112" s="139">
        <v>50</v>
      </c>
      <c r="L112" s="119"/>
      <c r="M112" s="119">
        <f t="shared" si="13"/>
        <v>0</v>
      </c>
      <c r="N112" s="121">
        <f t="shared" si="14"/>
        <v>50</v>
      </c>
      <c r="O112" s="120">
        <f t="shared" si="15"/>
        <v>0</v>
      </c>
      <c r="P112" s="121"/>
      <c r="Q112" s="122">
        <f ca="1">+IF($E112=Q$47,SUM($M112:OFFSET($M112,0,IF(YEAR(Q$47)=VALUE(LEFT($K$47,4)),1,2))),
IF(YEAR($E112)&lt;VALUE(LEFT($K$47,4)),($M112+$N112)/12,0))</f>
        <v>0</v>
      </c>
      <c r="R112" s="119">
        <f ca="1">+IF($E112=R$47,SUM($M112:OFFSET($M112,0,IF(YEAR(R$47)=VALUE(LEFT($K$47,4)),1,2))),
IF(YEAR($E112)&lt;VALUE(LEFT($K$47,4)),($M112+$N112)/12,0))</f>
        <v>0</v>
      </c>
      <c r="S112" s="119">
        <f ca="1">+IF($E112=S$47,SUM($M112:OFFSET($M112,0,IF(YEAR(S$47)=VALUE(LEFT($K$47,4)),1,2))),
IF(YEAR($E112)&lt;VALUE(LEFT($K$47,4)),($M112+$N112)/12,0))</f>
        <v>0</v>
      </c>
      <c r="T112" s="119">
        <f ca="1">+IF($E112=T$47,SUM($M112:OFFSET($M112,0,IF(YEAR(T$47)=VALUE(LEFT($K$47,4)),1,2))),
IF(YEAR($E112)&lt;VALUE(LEFT($K$47,4)),($M112+$N112)/12,0))</f>
        <v>0</v>
      </c>
      <c r="U112" s="119">
        <f ca="1">+IF($E112=U$47,SUM($M112:OFFSET($M112,0,IF(YEAR(U$47)=VALUE(LEFT($K$47,4)),1,2))),
IF(YEAR($E112)&lt;VALUE(LEFT($K$47,4)),($M112+$N112)/12,0))</f>
        <v>0</v>
      </c>
      <c r="V112" s="119">
        <f ca="1">+IF($E112=V$47,SUM($M112:OFFSET($M112,0,IF(YEAR(V$47)=VALUE(LEFT($K$47,4)),1,2))),
IF(YEAR($E112)&lt;VALUE(LEFT($K$47,4)),($M112+$N112)/12,0))</f>
        <v>0</v>
      </c>
      <c r="W112" s="119">
        <f ca="1">+IF($E112=W$47,SUM($M112:OFFSET($M112,0,IF(YEAR(W$47)=VALUE(LEFT($K$47,4)),1,2))),
IF(YEAR($E112)&lt;VALUE(LEFT($K$47,4)),($M112+$N112)/12,0))</f>
        <v>0</v>
      </c>
      <c r="X112" s="119">
        <f ca="1">+IF($E112=X$47,SUM($M112:OFFSET($M112,0,IF(YEAR(X$47)=VALUE(LEFT($K$47,4)),1,2))),
IF(YEAR($E112)&lt;VALUE(LEFT($K$47,4)),($M112+$N112)/12,0))</f>
        <v>0</v>
      </c>
      <c r="Y112" s="119">
        <f ca="1">+IF($E112=Y$47,SUM($M112:OFFSET($M112,0,IF(YEAR(Y$47)=VALUE(LEFT($K$47,4)),1,2))),
IF(YEAR($E112)&lt;VALUE(LEFT($K$47,4)),($M112+$N112)/12,0))</f>
        <v>0</v>
      </c>
      <c r="Z112" s="119">
        <f ca="1">+IF($E112=Z$47,SUM($M112:OFFSET($M112,0,IF(YEAR(Z$47)=VALUE(LEFT($K$47,4)),1,2))),
IF(YEAR($E112)&lt;VALUE(LEFT($K$47,4)),($M112+$N112)/12,0))</f>
        <v>0</v>
      </c>
      <c r="AA112" s="119">
        <f ca="1">+IF($E112=AA$47,SUM($M112:OFFSET($M112,0,IF(YEAR(AA$47)=VALUE(LEFT($K$47,4)),1,2))),
IF(YEAR($E112)&lt;VALUE(LEFT($K$47,4)),($M112+$N112)/12,0))</f>
        <v>0</v>
      </c>
      <c r="AB112" s="120">
        <f ca="1">+IF($E112=AB$47,SUM($M112:OFFSET($M112,0,IF(YEAR(AB$47)=VALUE(LEFT($K$47,4)),1,2))),
IF(YEAR($E112)&lt;VALUE(LEFT($K$47,4)),($M112+$N112)/12,0))</f>
        <v>50</v>
      </c>
      <c r="AC112" s="122">
        <f ca="1">+IF($E112=AC$47,SUM($M112:OFFSET($M112,0,IF(YEAR(AC$47)=VALUE(LEFT($K$47,4)),1,2))),
IF(YEAR($E112)&lt;=2015,$O112/12,0))</f>
        <v>0</v>
      </c>
      <c r="AD112" s="119">
        <f ca="1">+IF($E112=AD$47,SUM($M112:OFFSET($M112,0,IF(YEAR(AD$47)=VALUE(LEFT($K$47,4)),1,2))),
IF(YEAR($E112)&lt;=2015,$O112/12,0))</f>
        <v>0</v>
      </c>
      <c r="AE112" s="119">
        <f ca="1">+IF($E112=AE$47,SUM($M112:OFFSET($M112,0,IF(YEAR(AE$47)=VALUE(LEFT($K$47,4)),1,2))),
IF(YEAR($E112)&lt;=2015,$O112/12,0))</f>
        <v>0</v>
      </c>
      <c r="AF112" s="119">
        <f ca="1">+IF($E112=AF$47,SUM($M112:OFFSET($M112,0,IF(YEAR(AF$47)=VALUE(LEFT($K$47,4)),1,2))),
IF(YEAR($E112)&lt;=2015,$O112/12,0))</f>
        <v>0</v>
      </c>
      <c r="AG112" s="119">
        <f ca="1">+IF($E112=AG$47,SUM($M112:OFFSET($M112,0,IF(YEAR(AG$47)=VALUE(LEFT($K$47,4)),1,2))),
IF(YEAR($E112)&lt;=2015,$O112/12,0))</f>
        <v>0</v>
      </c>
      <c r="AH112" s="119">
        <f ca="1">+IF($E112=AH$47,SUM($M112:OFFSET($M112,0,IF(YEAR(AH$47)=VALUE(LEFT($K$47,4)),1,2))),
IF(YEAR($E112)&lt;=2015,$O112/12,0))</f>
        <v>0</v>
      </c>
      <c r="AI112" s="119">
        <f ca="1">+IF($E112=AI$47,SUM($M112:OFFSET($M112,0,IF(YEAR(AI$47)=VALUE(LEFT($K$47,4)),1,2))),
IF(YEAR($E112)&lt;=2015,$O112/12,0))</f>
        <v>0</v>
      </c>
      <c r="AJ112" s="119">
        <f ca="1">+IF($E112=AJ$47,SUM($M112:OFFSET($M112,0,IF(YEAR(AJ$47)=VALUE(LEFT($K$47,4)),1,2))),
IF(YEAR($E112)&lt;=2015,$O112/12,0))</f>
        <v>0</v>
      </c>
      <c r="AK112" s="119">
        <f ca="1">+IF($E112=AK$47,SUM($M112:OFFSET($M112,0,IF(YEAR(AK$47)=VALUE(LEFT($K$47,4)),1,2))),
IF(YEAR($E112)&lt;=2015,$O112/12,0))</f>
        <v>0</v>
      </c>
      <c r="AL112" s="119">
        <f ca="1">+IF($E112=AL$47,SUM($M112:OFFSET($M112,0,IF(YEAR(AL$47)=VALUE(LEFT($K$47,4)),1,2))),
IF(YEAR($E112)&lt;=2015,$O112/12,0))</f>
        <v>0</v>
      </c>
      <c r="AM112" s="119">
        <f ca="1">+IF($E112=AM$47,SUM($M112:OFFSET($M112,0,IF(YEAR(AM$47)=VALUE(LEFT($K$47,4)),1,2))),
IF(YEAR($E112)&lt;=2015,$O112/12,0))</f>
        <v>0</v>
      </c>
      <c r="AN112" s="120">
        <f ca="1">+IF($E112=AN$47,SUM($M112:OFFSET($M112,0,IF(YEAR(AN$47)=VALUE(LEFT($K$47,4)),1,2))),
IF(YEAR($E112)&lt;=2015,$O112/12,0))</f>
        <v>0</v>
      </c>
      <c r="AO112" s="121"/>
      <c r="AQ112" s="105"/>
      <c r="AR112" s="105"/>
    </row>
    <row r="113" spans="1:44" ht="15" x14ac:dyDescent="0.25">
      <c r="A113" s="142" t="s">
        <v>460</v>
      </c>
      <c r="B113" s="143" t="s">
        <v>469</v>
      </c>
      <c r="C113" s="144">
        <v>6440</v>
      </c>
      <c r="D113" s="145" t="s">
        <v>70</v>
      </c>
      <c r="E113" s="141">
        <v>40940</v>
      </c>
      <c r="F113" s="143" t="s">
        <v>78</v>
      </c>
      <c r="G113" s="146">
        <v>0</v>
      </c>
      <c r="H113" s="147">
        <v>1</v>
      </c>
      <c r="I113" s="263" t="s">
        <v>478</v>
      </c>
      <c r="J113" s="140">
        <v>731.93567000000053</v>
      </c>
      <c r="K113" s="139">
        <v>10</v>
      </c>
      <c r="L113" s="119">
        <v>0</v>
      </c>
      <c r="M113" s="119">
        <f t="shared" si="13"/>
        <v>731.93567000000053</v>
      </c>
      <c r="N113" s="121">
        <f t="shared" si="14"/>
        <v>10</v>
      </c>
      <c r="O113" s="120">
        <f t="shared" si="15"/>
        <v>0</v>
      </c>
      <c r="P113" s="121"/>
      <c r="Q113" s="122">
        <f ca="1">+IF($E113=Q$47,SUM($M113:OFFSET($M113,0,IF(YEAR(Q$47)=VALUE(LEFT($K$47,4)),1,2))),
IF(YEAR($E113)&lt;VALUE(LEFT($K$47,4)),($M113+$N113)/12,0))</f>
        <v>61.827972500000044</v>
      </c>
      <c r="R113" s="119">
        <f ca="1">+IF($E113=R$47,SUM($M113:OFFSET($M113,0,IF(YEAR(R$47)=VALUE(LEFT($K$47,4)),1,2))),
IF(YEAR($E113)&lt;VALUE(LEFT($K$47,4)),($M113+$N113)/12,0))</f>
        <v>61.827972500000044</v>
      </c>
      <c r="S113" s="119">
        <f ca="1">+IF($E113=S$47,SUM($M113:OFFSET($M113,0,IF(YEAR(S$47)=VALUE(LEFT($K$47,4)),1,2))),
IF(YEAR($E113)&lt;VALUE(LEFT($K$47,4)),($M113+$N113)/12,0))</f>
        <v>61.827972500000044</v>
      </c>
      <c r="T113" s="119">
        <f ca="1">+IF($E113=T$47,SUM($M113:OFFSET($M113,0,IF(YEAR(T$47)=VALUE(LEFT($K$47,4)),1,2))),
IF(YEAR($E113)&lt;VALUE(LEFT($K$47,4)),($M113+$N113)/12,0))</f>
        <v>61.827972500000044</v>
      </c>
      <c r="U113" s="119">
        <f ca="1">+IF($E113=U$47,SUM($M113:OFFSET($M113,0,IF(YEAR(U$47)=VALUE(LEFT($K$47,4)),1,2))),
IF(YEAR($E113)&lt;VALUE(LEFT($K$47,4)),($M113+$N113)/12,0))</f>
        <v>61.827972500000044</v>
      </c>
      <c r="V113" s="119">
        <f ca="1">+IF($E113=V$47,SUM($M113:OFFSET($M113,0,IF(YEAR(V$47)=VALUE(LEFT($K$47,4)),1,2))),
IF(YEAR($E113)&lt;VALUE(LEFT($K$47,4)),($M113+$N113)/12,0))</f>
        <v>61.827972500000044</v>
      </c>
      <c r="W113" s="119">
        <f ca="1">+IF($E113=W$47,SUM($M113:OFFSET($M113,0,IF(YEAR(W$47)=VALUE(LEFT($K$47,4)),1,2))),
IF(YEAR($E113)&lt;VALUE(LEFT($K$47,4)),($M113+$N113)/12,0))</f>
        <v>61.827972500000044</v>
      </c>
      <c r="X113" s="119">
        <f ca="1">+IF($E113=X$47,SUM($M113:OFFSET($M113,0,IF(YEAR(X$47)=VALUE(LEFT($K$47,4)),1,2))),
IF(YEAR($E113)&lt;VALUE(LEFT($K$47,4)),($M113+$N113)/12,0))</f>
        <v>61.827972500000044</v>
      </c>
      <c r="Y113" s="119">
        <f ca="1">+IF($E113=Y$47,SUM($M113:OFFSET($M113,0,IF(YEAR(Y$47)=VALUE(LEFT($K$47,4)),1,2))),
IF(YEAR($E113)&lt;VALUE(LEFT($K$47,4)),($M113+$N113)/12,0))</f>
        <v>61.827972500000044</v>
      </c>
      <c r="Z113" s="119">
        <f ca="1">+IF($E113=Z$47,SUM($M113:OFFSET($M113,0,IF(YEAR(Z$47)=VALUE(LEFT($K$47,4)),1,2))),
IF(YEAR($E113)&lt;VALUE(LEFT($K$47,4)),($M113+$N113)/12,0))</f>
        <v>61.827972500000044</v>
      </c>
      <c r="AA113" s="119">
        <f ca="1">+IF($E113=AA$47,SUM($M113:OFFSET($M113,0,IF(YEAR(AA$47)=VALUE(LEFT($K$47,4)),1,2))),
IF(YEAR($E113)&lt;VALUE(LEFT($K$47,4)),($M113+$N113)/12,0))</f>
        <v>61.827972500000044</v>
      </c>
      <c r="AB113" s="120">
        <f ca="1">+IF($E113=AB$47,SUM($M113:OFFSET($M113,0,IF(YEAR(AB$47)=VALUE(LEFT($K$47,4)),1,2))),
IF(YEAR($E113)&lt;VALUE(LEFT($K$47,4)),($M113+$N113)/12,0))</f>
        <v>61.827972500000044</v>
      </c>
      <c r="AC113" s="122">
        <f ca="1">+IF($E113=AC$47,SUM($M113:OFFSET($M113,0,IF(YEAR(AC$47)=VALUE(LEFT($K$47,4)),1,2))),
IF(YEAR($E113)&lt;=2015,$O113/12,0))</f>
        <v>0</v>
      </c>
      <c r="AD113" s="119">
        <f ca="1">+IF($E113=AD$47,SUM($M113:OFFSET($M113,0,IF(YEAR(AD$47)=VALUE(LEFT($K$47,4)),1,2))),
IF(YEAR($E113)&lt;=2015,$O113/12,0))</f>
        <v>0</v>
      </c>
      <c r="AE113" s="119">
        <f ca="1">+IF($E113=AE$47,SUM($M113:OFFSET($M113,0,IF(YEAR(AE$47)=VALUE(LEFT($K$47,4)),1,2))),
IF(YEAR($E113)&lt;=2015,$O113/12,0))</f>
        <v>0</v>
      </c>
      <c r="AF113" s="119">
        <f ca="1">+IF($E113=AF$47,SUM($M113:OFFSET($M113,0,IF(YEAR(AF$47)=VALUE(LEFT($K$47,4)),1,2))),
IF(YEAR($E113)&lt;=2015,$O113/12,0))</f>
        <v>0</v>
      </c>
      <c r="AG113" s="119">
        <f ca="1">+IF($E113=AG$47,SUM($M113:OFFSET($M113,0,IF(YEAR(AG$47)=VALUE(LEFT($K$47,4)),1,2))),
IF(YEAR($E113)&lt;=2015,$O113/12,0))</f>
        <v>0</v>
      </c>
      <c r="AH113" s="119">
        <f ca="1">+IF($E113=AH$47,SUM($M113:OFFSET($M113,0,IF(YEAR(AH$47)=VALUE(LEFT($K$47,4)),1,2))),
IF(YEAR($E113)&lt;=2015,$O113/12,0))</f>
        <v>0</v>
      </c>
      <c r="AI113" s="119">
        <f ca="1">+IF($E113=AI$47,SUM($M113:OFFSET($M113,0,IF(YEAR(AI$47)=VALUE(LEFT($K$47,4)),1,2))),
IF(YEAR($E113)&lt;=2015,$O113/12,0))</f>
        <v>0</v>
      </c>
      <c r="AJ113" s="119">
        <f ca="1">+IF($E113=AJ$47,SUM($M113:OFFSET($M113,0,IF(YEAR(AJ$47)=VALUE(LEFT($K$47,4)),1,2))),
IF(YEAR($E113)&lt;=2015,$O113/12,0))</f>
        <v>0</v>
      </c>
      <c r="AK113" s="119">
        <f ca="1">+IF($E113=AK$47,SUM($M113:OFFSET($M113,0,IF(YEAR(AK$47)=VALUE(LEFT($K$47,4)),1,2))),
IF(YEAR($E113)&lt;=2015,$O113/12,0))</f>
        <v>0</v>
      </c>
      <c r="AL113" s="119">
        <f ca="1">+IF($E113=AL$47,SUM($M113:OFFSET($M113,0,IF(YEAR(AL$47)=VALUE(LEFT($K$47,4)),1,2))),
IF(YEAR($E113)&lt;=2015,$O113/12,0))</f>
        <v>0</v>
      </c>
      <c r="AM113" s="119">
        <f ca="1">+IF($E113=AM$47,SUM($M113:OFFSET($M113,0,IF(YEAR(AM$47)=VALUE(LEFT($K$47,4)),1,2))),
IF(YEAR($E113)&lt;=2015,$O113/12,0))</f>
        <v>0</v>
      </c>
      <c r="AN113" s="120">
        <f ca="1">+IF($E113=AN$47,SUM($M113:OFFSET($M113,0,IF(YEAR(AN$47)=VALUE(LEFT($K$47,4)),1,2))),
IF(YEAR($E113)&lt;=2015,$O113/12,0))</f>
        <v>0</v>
      </c>
      <c r="AO113" s="121"/>
      <c r="AQ113" s="105"/>
      <c r="AR113" s="105"/>
    </row>
    <row r="114" spans="1:44" ht="15" x14ac:dyDescent="0.25">
      <c r="A114" s="142" t="s">
        <v>461</v>
      </c>
      <c r="B114" s="143" t="s">
        <v>470</v>
      </c>
      <c r="C114" s="144">
        <v>6438</v>
      </c>
      <c r="D114" s="145" t="s">
        <v>70</v>
      </c>
      <c r="E114" s="141">
        <v>42005</v>
      </c>
      <c r="F114" s="143" t="s">
        <v>71</v>
      </c>
      <c r="G114" s="146">
        <v>0</v>
      </c>
      <c r="H114" s="147">
        <v>1</v>
      </c>
      <c r="I114" s="263"/>
      <c r="J114" s="140">
        <v>13012.273610000002</v>
      </c>
      <c r="K114" s="139">
        <v>25.6531500000001</v>
      </c>
      <c r="L114" s="119">
        <v>0</v>
      </c>
      <c r="M114" s="119">
        <f t="shared" si="13"/>
        <v>13012.273610000002</v>
      </c>
      <c r="N114" s="121">
        <f t="shared" si="14"/>
        <v>25.6531500000001</v>
      </c>
      <c r="O114" s="120">
        <f t="shared" si="15"/>
        <v>0</v>
      </c>
      <c r="P114" s="121"/>
      <c r="Q114" s="122">
        <f ca="1">+IF($E114=Q$47,SUM($M114:OFFSET($M114,0,IF(YEAR(Q$47)=VALUE(LEFT($K$47,4)),1,2))),
IF(YEAR($E114)&lt;VALUE(LEFT($K$47,4)),($M114+$N114)/12,0))</f>
        <v>13037.926760000002</v>
      </c>
      <c r="R114" s="119">
        <f ca="1">+IF($E114=R$47,SUM($M114:OFFSET($M114,0,IF(YEAR(R$47)=VALUE(LEFT($K$47,4)),1,2))),
IF(YEAR($E114)&lt;VALUE(LEFT($K$47,4)),($M114+$N114)/12,0))</f>
        <v>0</v>
      </c>
      <c r="S114" s="119">
        <f ca="1">+IF($E114=S$47,SUM($M114:OFFSET($M114,0,IF(YEAR(S$47)=VALUE(LEFT($K$47,4)),1,2))),
IF(YEAR($E114)&lt;VALUE(LEFT($K$47,4)),($M114+$N114)/12,0))</f>
        <v>0</v>
      </c>
      <c r="T114" s="119">
        <f ca="1">+IF($E114=T$47,SUM($M114:OFFSET($M114,0,IF(YEAR(T$47)=VALUE(LEFT($K$47,4)),1,2))),
IF(YEAR($E114)&lt;VALUE(LEFT($K$47,4)),($M114+$N114)/12,0))</f>
        <v>0</v>
      </c>
      <c r="U114" s="119">
        <f ca="1">+IF($E114=U$47,SUM($M114:OFFSET($M114,0,IF(YEAR(U$47)=VALUE(LEFT($K$47,4)),1,2))),
IF(YEAR($E114)&lt;VALUE(LEFT($K$47,4)),($M114+$N114)/12,0))</f>
        <v>0</v>
      </c>
      <c r="V114" s="119">
        <f ca="1">+IF($E114=V$47,SUM($M114:OFFSET($M114,0,IF(YEAR(V$47)=VALUE(LEFT($K$47,4)),1,2))),
IF(YEAR($E114)&lt;VALUE(LEFT($K$47,4)),($M114+$N114)/12,0))</f>
        <v>0</v>
      </c>
      <c r="W114" s="119">
        <f ca="1">+IF($E114=W$47,SUM($M114:OFFSET($M114,0,IF(YEAR(W$47)=VALUE(LEFT($K$47,4)),1,2))),
IF(YEAR($E114)&lt;VALUE(LEFT($K$47,4)),($M114+$N114)/12,0))</f>
        <v>0</v>
      </c>
      <c r="X114" s="119">
        <f ca="1">+IF($E114=X$47,SUM($M114:OFFSET($M114,0,IF(YEAR(X$47)=VALUE(LEFT($K$47,4)),1,2))),
IF(YEAR($E114)&lt;VALUE(LEFT($K$47,4)),($M114+$N114)/12,0))</f>
        <v>0</v>
      </c>
      <c r="Y114" s="119">
        <f ca="1">+IF($E114=Y$47,SUM($M114:OFFSET($M114,0,IF(YEAR(Y$47)=VALUE(LEFT($K$47,4)),1,2))),
IF(YEAR($E114)&lt;VALUE(LEFT($K$47,4)),($M114+$N114)/12,0))</f>
        <v>0</v>
      </c>
      <c r="Z114" s="119">
        <f ca="1">+IF($E114=Z$47,SUM($M114:OFFSET($M114,0,IF(YEAR(Z$47)=VALUE(LEFT($K$47,4)),1,2))),
IF(YEAR($E114)&lt;VALUE(LEFT($K$47,4)),($M114+$N114)/12,0))</f>
        <v>0</v>
      </c>
      <c r="AA114" s="119">
        <f ca="1">+IF($E114=AA$47,SUM($M114:OFFSET($M114,0,IF(YEAR(AA$47)=VALUE(LEFT($K$47,4)),1,2))),
IF(YEAR($E114)&lt;VALUE(LEFT($K$47,4)),($M114+$N114)/12,0))</f>
        <v>0</v>
      </c>
      <c r="AB114" s="120">
        <f ca="1">+IF($E114=AB$47,SUM($M114:OFFSET($M114,0,IF(YEAR(AB$47)=VALUE(LEFT($K$47,4)),1,2))),
IF(YEAR($E114)&lt;VALUE(LEFT($K$47,4)),($M114+$N114)/12,0))</f>
        <v>0</v>
      </c>
      <c r="AC114" s="122">
        <f ca="1">+IF($E114=AC$47,SUM($M114:OFFSET($M114,0,IF(YEAR(AC$47)=VALUE(LEFT($K$47,4)),1,2))),
IF(YEAR($E114)&lt;=2015,$O114/12,0))</f>
        <v>0</v>
      </c>
      <c r="AD114" s="119">
        <f ca="1">+IF($E114=AD$47,SUM($M114:OFFSET($M114,0,IF(YEAR(AD$47)=VALUE(LEFT($K$47,4)),1,2))),
IF(YEAR($E114)&lt;=2015,$O114/12,0))</f>
        <v>0</v>
      </c>
      <c r="AE114" s="119">
        <f ca="1">+IF($E114=AE$47,SUM($M114:OFFSET($M114,0,IF(YEAR(AE$47)=VALUE(LEFT($K$47,4)),1,2))),
IF(YEAR($E114)&lt;=2015,$O114/12,0))</f>
        <v>0</v>
      </c>
      <c r="AF114" s="119">
        <f ca="1">+IF($E114=AF$47,SUM($M114:OFFSET($M114,0,IF(YEAR(AF$47)=VALUE(LEFT($K$47,4)),1,2))),
IF(YEAR($E114)&lt;=2015,$O114/12,0))</f>
        <v>0</v>
      </c>
      <c r="AG114" s="119">
        <f ca="1">+IF($E114=AG$47,SUM($M114:OFFSET($M114,0,IF(YEAR(AG$47)=VALUE(LEFT($K$47,4)),1,2))),
IF(YEAR($E114)&lt;=2015,$O114/12,0))</f>
        <v>0</v>
      </c>
      <c r="AH114" s="119">
        <f ca="1">+IF($E114=AH$47,SUM($M114:OFFSET($M114,0,IF(YEAR(AH$47)=VALUE(LEFT($K$47,4)),1,2))),
IF(YEAR($E114)&lt;=2015,$O114/12,0))</f>
        <v>0</v>
      </c>
      <c r="AI114" s="119">
        <f ca="1">+IF($E114=AI$47,SUM($M114:OFFSET($M114,0,IF(YEAR(AI$47)=VALUE(LEFT($K$47,4)),1,2))),
IF(YEAR($E114)&lt;=2015,$O114/12,0))</f>
        <v>0</v>
      </c>
      <c r="AJ114" s="119">
        <f ca="1">+IF($E114=AJ$47,SUM($M114:OFFSET($M114,0,IF(YEAR(AJ$47)=VALUE(LEFT($K$47,4)),1,2))),
IF(YEAR($E114)&lt;=2015,$O114/12,0))</f>
        <v>0</v>
      </c>
      <c r="AK114" s="119">
        <f ca="1">+IF($E114=AK$47,SUM($M114:OFFSET($M114,0,IF(YEAR(AK$47)=VALUE(LEFT($K$47,4)),1,2))),
IF(YEAR($E114)&lt;=2015,$O114/12,0))</f>
        <v>0</v>
      </c>
      <c r="AL114" s="119">
        <f ca="1">+IF($E114=AL$47,SUM($M114:OFFSET($M114,0,IF(YEAR(AL$47)=VALUE(LEFT($K$47,4)),1,2))),
IF(YEAR($E114)&lt;=2015,$O114/12,0))</f>
        <v>0</v>
      </c>
      <c r="AM114" s="119">
        <f ca="1">+IF($E114=AM$47,SUM($M114:OFFSET($M114,0,IF(YEAR(AM$47)=VALUE(LEFT($K$47,4)),1,2))),
IF(YEAR($E114)&lt;=2015,$O114/12,0))</f>
        <v>0</v>
      </c>
      <c r="AN114" s="120">
        <f ca="1">+IF($E114=AN$47,SUM($M114:OFFSET($M114,0,IF(YEAR(AN$47)=VALUE(LEFT($K$47,4)),1,2))),
IF(YEAR($E114)&lt;=2015,$O114/12,0))</f>
        <v>0</v>
      </c>
      <c r="AO114" s="121"/>
      <c r="AQ114" s="105"/>
      <c r="AR114" s="105"/>
    </row>
    <row r="115" spans="1:44" ht="15" x14ac:dyDescent="0.25">
      <c r="A115" s="142" t="s">
        <v>462</v>
      </c>
      <c r="B115" s="143" t="s">
        <v>471</v>
      </c>
      <c r="C115" s="144">
        <v>6439</v>
      </c>
      <c r="D115" s="145" t="s">
        <v>70</v>
      </c>
      <c r="E115" s="141">
        <v>41671</v>
      </c>
      <c r="F115" s="143" t="s">
        <v>71</v>
      </c>
      <c r="G115" s="146">
        <v>0</v>
      </c>
      <c r="H115" s="147">
        <v>1</v>
      </c>
      <c r="I115" s="263" t="s">
        <v>478</v>
      </c>
      <c r="J115" s="140">
        <v>8549.5811300000023</v>
      </c>
      <c r="K115" s="139">
        <v>219.29631000000001</v>
      </c>
      <c r="L115" s="119">
        <v>0</v>
      </c>
      <c r="M115" s="119">
        <f t="shared" si="13"/>
        <v>8549.5811300000023</v>
      </c>
      <c r="N115" s="121">
        <f t="shared" si="14"/>
        <v>219.29631000000001</v>
      </c>
      <c r="O115" s="120">
        <f t="shared" si="15"/>
        <v>0</v>
      </c>
      <c r="P115" s="121"/>
      <c r="Q115" s="122">
        <f ca="1">+IF($E115=Q$47,SUM($M115:OFFSET($M115,0,IF(YEAR(Q$47)=VALUE(LEFT($K$47,4)),1,2))),
IF(YEAR($E115)&lt;VALUE(LEFT($K$47,4)),($M115+$N115)/12,0))</f>
        <v>730.73978666666687</v>
      </c>
      <c r="R115" s="119">
        <f ca="1">+IF($E115=R$47,SUM($M115:OFFSET($M115,0,IF(YEAR(R$47)=VALUE(LEFT($K$47,4)),1,2))),
IF(YEAR($E115)&lt;VALUE(LEFT($K$47,4)),($M115+$N115)/12,0))</f>
        <v>730.73978666666687</v>
      </c>
      <c r="S115" s="119">
        <f ca="1">+IF($E115=S$47,SUM($M115:OFFSET($M115,0,IF(YEAR(S$47)=VALUE(LEFT($K$47,4)),1,2))),
IF(YEAR($E115)&lt;VALUE(LEFT($K$47,4)),($M115+$N115)/12,0))</f>
        <v>730.73978666666687</v>
      </c>
      <c r="T115" s="119">
        <f ca="1">+IF($E115=T$47,SUM($M115:OFFSET($M115,0,IF(YEAR(T$47)=VALUE(LEFT($K$47,4)),1,2))),
IF(YEAR($E115)&lt;VALUE(LEFT($K$47,4)),($M115+$N115)/12,0))</f>
        <v>730.73978666666687</v>
      </c>
      <c r="U115" s="119">
        <f ca="1">+IF($E115=U$47,SUM($M115:OFFSET($M115,0,IF(YEAR(U$47)=VALUE(LEFT($K$47,4)),1,2))),
IF(YEAR($E115)&lt;VALUE(LEFT($K$47,4)),($M115+$N115)/12,0))</f>
        <v>730.73978666666687</v>
      </c>
      <c r="V115" s="119">
        <f ca="1">+IF($E115=V$47,SUM($M115:OFFSET($M115,0,IF(YEAR(V$47)=VALUE(LEFT($K$47,4)),1,2))),
IF(YEAR($E115)&lt;VALUE(LEFT($K$47,4)),($M115+$N115)/12,0))</f>
        <v>730.73978666666687</v>
      </c>
      <c r="W115" s="119">
        <f ca="1">+IF($E115=W$47,SUM($M115:OFFSET($M115,0,IF(YEAR(W$47)=VALUE(LEFT($K$47,4)),1,2))),
IF(YEAR($E115)&lt;VALUE(LEFT($K$47,4)),($M115+$N115)/12,0))</f>
        <v>730.73978666666687</v>
      </c>
      <c r="X115" s="119">
        <f ca="1">+IF($E115=X$47,SUM($M115:OFFSET($M115,0,IF(YEAR(X$47)=VALUE(LEFT($K$47,4)),1,2))),
IF(YEAR($E115)&lt;VALUE(LEFT($K$47,4)),($M115+$N115)/12,0))</f>
        <v>730.73978666666687</v>
      </c>
      <c r="Y115" s="119">
        <f ca="1">+IF($E115=Y$47,SUM($M115:OFFSET($M115,0,IF(YEAR(Y$47)=VALUE(LEFT($K$47,4)),1,2))),
IF(YEAR($E115)&lt;VALUE(LEFT($K$47,4)),($M115+$N115)/12,0))</f>
        <v>730.73978666666687</v>
      </c>
      <c r="Z115" s="119">
        <f ca="1">+IF($E115=Z$47,SUM($M115:OFFSET($M115,0,IF(YEAR(Z$47)=VALUE(LEFT($K$47,4)),1,2))),
IF(YEAR($E115)&lt;VALUE(LEFT($K$47,4)),($M115+$N115)/12,0))</f>
        <v>730.73978666666687</v>
      </c>
      <c r="AA115" s="119">
        <f ca="1">+IF($E115=AA$47,SUM($M115:OFFSET($M115,0,IF(YEAR(AA$47)=VALUE(LEFT($K$47,4)),1,2))),
IF(YEAR($E115)&lt;VALUE(LEFT($K$47,4)),($M115+$N115)/12,0))</f>
        <v>730.73978666666687</v>
      </c>
      <c r="AB115" s="120">
        <f ca="1">+IF($E115=AB$47,SUM($M115:OFFSET($M115,0,IF(YEAR(AB$47)=VALUE(LEFT($K$47,4)),1,2))),
IF(YEAR($E115)&lt;VALUE(LEFT($K$47,4)),($M115+$N115)/12,0))</f>
        <v>730.73978666666687</v>
      </c>
      <c r="AC115" s="122">
        <f ca="1">+IF($E115=AC$47,SUM($M115:OFFSET($M115,0,IF(YEAR(AC$47)=VALUE(LEFT($K$47,4)),1,2))),
IF(YEAR($E115)&lt;=2015,$O115/12,0))</f>
        <v>0</v>
      </c>
      <c r="AD115" s="119">
        <f ca="1">+IF($E115=AD$47,SUM($M115:OFFSET($M115,0,IF(YEAR(AD$47)=VALUE(LEFT($K$47,4)),1,2))),
IF(YEAR($E115)&lt;=2015,$O115/12,0))</f>
        <v>0</v>
      </c>
      <c r="AE115" s="119">
        <f ca="1">+IF($E115=AE$47,SUM($M115:OFFSET($M115,0,IF(YEAR(AE$47)=VALUE(LEFT($K$47,4)),1,2))),
IF(YEAR($E115)&lt;=2015,$O115/12,0))</f>
        <v>0</v>
      </c>
      <c r="AF115" s="119">
        <f ca="1">+IF($E115=AF$47,SUM($M115:OFFSET($M115,0,IF(YEAR(AF$47)=VALUE(LEFT($K$47,4)),1,2))),
IF(YEAR($E115)&lt;=2015,$O115/12,0))</f>
        <v>0</v>
      </c>
      <c r="AG115" s="119">
        <f ca="1">+IF($E115=AG$47,SUM($M115:OFFSET($M115,0,IF(YEAR(AG$47)=VALUE(LEFT($K$47,4)),1,2))),
IF(YEAR($E115)&lt;=2015,$O115/12,0))</f>
        <v>0</v>
      </c>
      <c r="AH115" s="119">
        <f ca="1">+IF($E115=AH$47,SUM($M115:OFFSET($M115,0,IF(YEAR(AH$47)=VALUE(LEFT($K$47,4)),1,2))),
IF(YEAR($E115)&lt;=2015,$O115/12,0))</f>
        <v>0</v>
      </c>
      <c r="AI115" s="119">
        <f ca="1">+IF($E115=AI$47,SUM($M115:OFFSET($M115,0,IF(YEAR(AI$47)=VALUE(LEFT($K$47,4)),1,2))),
IF(YEAR($E115)&lt;=2015,$O115/12,0))</f>
        <v>0</v>
      </c>
      <c r="AJ115" s="119">
        <f ca="1">+IF($E115=AJ$47,SUM($M115:OFFSET($M115,0,IF(YEAR(AJ$47)=VALUE(LEFT($K$47,4)),1,2))),
IF(YEAR($E115)&lt;=2015,$O115/12,0))</f>
        <v>0</v>
      </c>
      <c r="AK115" s="119">
        <f ca="1">+IF($E115=AK$47,SUM($M115:OFFSET($M115,0,IF(YEAR(AK$47)=VALUE(LEFT($K$47,4)),1,2))),
IF(YEAR($E115)&lt;=2015,$O115/12,0))</f>
        <v>0</v>
      </c>
      <c r="AL115" s="119">
        <f ca="1">+IF($E115=AL$47,SUM($M115:OFFSET($M115,0,IF(YEAR(AL$47)=VALUE(LEFT($K$47,4)),1,2))),
IF(YEAR($E115)&lt;=2015,$O115/12,0))</f>
        <v>0</v>
      </c>
      <c r="AM115" s="119">
        <f ca="1">+IF($E115=AM$47,SUM($M115:OFFSET($M115,0,IF(YEAR(AM$47)=VALUE(LEFT($K$47,4)),1,2))),
IF(YEAR($E115)&lt;=2015,$O115/12,0))</f>
        <v>0</v>
      </c>
      <c r="AN115" s="120">
        <f ca="1">+IF($E115=AN$47,SUM($M115:OFFSET($M115,0,IF(YEAR(AN$47)=VALUE(LEFT($K$47,4)),1,2))),
IF(YEAR($E115)&lt;=2015,$O115/12,0))</f>
        <v>0</v>
      </c>
      <c r="AO115" s="121"/>
      <c r="AQ115" s="105"/>
      <c r="AR115" s="105"/>
    </row>
    <row r="116" spans="1:44" ht="15" x14ac:dyDescent="0.25">
      <c r="A116" s="142" t="s">
        <v>463</v>
      </c>
      <c r="B116" s="143" t="s">
        <v>472</v>
      </c>
      <c r="C116" s="144">
        <v>6439</v>
      </c>
      <c r="D116" s="145" t="s">
        <v>70</v>
      </c>
      <c r="E116" s="141">
        <v>41671</v>
      </c>
      <c r="F116" s="143" t="s">
        <v>71</v>
      </c>
      <c r="G116" s="146">
        <v>0</v>
      </c>
      <c r="H116" s="147">
        <v>1</v>
      </c>
      <c r="I116" s="263" t="s">
        <v>478</v>
      </c>
      <c r="J116" s="140">
        <v>10712.36419</v>
      </c>
      <c r="K116" s="139">
        <v>5545.8889100000006</v>
      </c>
      <c r="L116" s="119">
        <v>0</v>
      </c>
      <c r="M116" s="119">
        <f t="shared" si="13"/>
        <v>10712.36419</v>
      </c>
      <c r="N116" s="121">
        <f t="shared" si="14"/>
        <v>5545.8889100000006</v>
      </c>
      <c r="O116" s="120">
        <f t="shared" si="15"/>
        <v>0</v>
      </c>
      <c r="P116" s="121"/>
      <c r="Q116" s="122">
        <f ca="1">+IF($E116=Q$47,SUM($M116:OFFSET($M116,0,IF(YEAR(Q$47)=VALUE(LEFT($K$47,4)),1,2))),
IF(YEAR($E116)&lt;VALUE(LEFT($K$47,4)),($M116+$N116)/12,0))</f>
        <v>1354.8544250000002</v>
      </c>
      <c r="R116" s="119">
        <f ca="1">+IF($E116=R$47,SUM($M116:OFFSET($M116,0,IF(YEAR(R$47)=VALUE(LEFT($K$47,4)),1,2))),
IF(YEAR($E116)&lt;VALUE(LEFT($K$47,4)),($M116+$N116)/12,0))</f>
        <v>1354.8544250000002</v>
      </c>
      <c r="S116" s="119">
        <f ca="1">+IF($E116=S$47,SUM($M116:OFFSET($M116,0,IF(YEAR(S$47)=VALUE(LEFT($K$47,4)),1,2))),
IF(YEAR($E116)&lt;VALUE(LEFT($K$47,4)),($M116+$N116)/12,0))</f>
        <v>1354.8544250000002</v>
      </c>
      <c r="T116" s="119">
        <f ca="1">+IF($E116=T$47,SUM($M116:OFFSET($M116,0,IF(YEAR(T$47)=VALUE(LEFT($K$47,4)),1,2))),
IF(YEAR($E116)&lt;VALUE(LEFT($K$47,4)),($M116+$N116)/12,0))</f>
        <v>1354.8544250000002</v>
      </c>
      <c r="U116" s="119">
        <f ca="1">+IF($E116=U$47,SUM($M116:OFFSET($M116,0,IF(YEAR(U$47)=VALUE(LEFT($K$47,4)),1,2))),
IF(YEAR($E116)&lt;VALUE(LEFT($K$47,4)),($M116+$N116)/12,0))</f>
        <v>1354.8544250000002</v>
      </c>
      <c r="V116" s="119">
        <f ca="1">+IF($E116=V$47,SUM($M116:OFFSET($M116,0,IF(YEAR(V$47)=VALUE(LEFT($K$47,4)),1,2))),
IF(YEAR($E116)&lt;VALUE(LEFT($K$47,4)),($M116+$N116)/12,0))</f>
        <v>1354.8544250000002</v>
      </c>
      <c r="W116" s="119">
        <f ca="1">+IF($E116=W$47,SUM($M116:OFFSET($M116,0,IF(YEAR(W$47)=VALUE(LEFT($K$47,4)),1,2))),
IF(YEAR($E116)&lt;VALUE(LEFT($K$47,4)),($M116+$N116)/12,0))</f>
        <v>1354.8544250000002</v>
      </c>
      <c r="X116" s="119">
        <f ca="1">+IF($E116=X$47,SUM($M116:OFFSET($M116,0,IF(YEAR(X$47)=VALUE(LEFT($K$47,4)),1,2))),
IF(YEAR($E116)&lt;VALUE(LEFT($K$47,4)),($M116+$N116)/12,0))</f>
        <v>1354.8544250000002</v>
      </c>
      <c r="Y116" s="119">
        <f ca="1">+IF($E116=Y$47,SUM($M116:OFFSET($M116,0,IF(YEAR(Y$47)=VALUE(LEFT($K$47,4)),1,2))),
IF(YEAR($E116)&lt;VALUE(LEFT($K$47,4)),($M116+$N116)/12,0))</f>
        <v>1354.8544250000002</v>
      </c>
      <c r="Z116" s="119">
        <f ca="1">+IF($E116=Z$47,SUM($M116:OFFSET($M116,0,IF(YEAR(Z$47)=VALUE(LEFT($K$47,4)),1,2))),
IF(YEAR($E116)&lt;VALUE(LEFT($K$47,4)),($M116+$N116)/12,0))</f>
        <v>1354.8544250000002</v>
      </c>
      <c r="AA116" s="119">
        <f ca="1">+IF($E116=AA$47,SUM($M116:OFFSET($M116,0,IF(YEAR(AA$47)=VALUE(LEFT($K$47,4)),1,2))),
IF(YEAR($E116)&lt;VALUE(LEFT($K$47,4)),($M116+$N116)/12,0))</f>
        <v>1354.8544250000002</v>
      </c>
      <c r="AB116" s="120">
        <f ca="1">+IF($E116=AB$47,SUM($M116:OFFSET($M116,0,IF(YEAR(AB$47)=VALUE(LEFT($K$47,4)),1,2))),
IF(YEAR($E116)&lt;VALUE(LEFT($K$47,4)),($M116+$N116)/12,0))</f>
        <v>1354.8544250000002</v>
      </c>
      <c r="AC116" s="122">
        <f ca="1">+IF($E116=AC$47,SUM($M116:OFFSET($M116,0,IF(YEAR(AC$47)=VALUE(LEFT($K$47,4)),1,2))),
IF(YEAR($E116)&lt;=2015,$O116/12,0))</f>
        <v>0</v>
      </c>
      <c r="AD116" s="119">
        <f ca="1">+IF($E116=AD$47,SUM($M116:OFFSET($M116,0,IF(YEAR(AD$47)=VALUE(LEFT($K$47,4)),1,2))),
IF(YEAR($E116)&lt;=2015,$O116/12,0))</f>
        <v>0</v>
      </c>
      <c r="AE116" s="119">
        <f ca="1">+IF($E116=AE$47,SUM($M116:OFFSET($M116,0,IF(YEAR(AE$47)=VALUE(LEFT($K$47,4)),1,2))),
IF(YEAR($E116)&lt;=2015,$O116/12,0))</f>
        <v>0</v>
      </c>
      <c r="AF116" s="119">
        <f ca="1">+IF($E116=AF$47,SUM($M116:OFFSET($M116,0,IF(YEAR(AF$47)=VALUE(LEFT($K$47,4)),1,2))),
IF(YEAR($E116)&lt;=2015,$O116/12,0))</f>
        <v>0</v>
      </c>
      <c r="AG116" s="119">
        <f ca="1">+IF($E116=AG$47,SUM($M116:OFFSET($M116,0,IF(YEAR(AG$47)=VALUE(LEFT($K$47,4)),1,2))),
IF(YEAR($E116)&lt;=2015,$O116/12,0))</f>
        <v>0</v>
      </c>
      <c r="AH116" s="119">
        <f ca="1">+IF($E116=AH$47,SUM($M116:OFFSET($M116,0,IF(YEAR(AH$47)=VALUE(LEFT($K$47,4)),1,2))),
IF(YEAR($E116)&lt;=2015,$O116/12,0))</f>
        <v>0</v>
      </c>
      <c r="AI116" s="119">
        <f ca="1">+IF($E116=AI$47,SUM($M116:OFFSET($M116,0,IF(YEAR(AI$47)=VALUE(LEFT($K$47,4)),1,2))),
IF(YEAR($E116)&lt;=2015,$O116/12,0))</f>
        <v>0</v>
      </c>
      <c r="AJ116" s="119">
        <f ca="1">+IF($E116=AJ$47,SUM($M116:OFFSET($M116,0,IF(YEAR(AJ$47)=VALUE(LEFT($K$47,4)),1,2))),
IF(YEAR($E116)&lt;=2015,$O116/12,0))</f>
        <v>0</v>
      </c>
      <c r="AK116" s="119">
        <f ca="1">+IF($E116=AK$47,SUM($M116:OFFSET($M116,0,IF(YEAR(AK$47)=VALUE(LEFT($K$47,4)),1,2))),
IF(YEAR($E116)&lt;=2015,$O116/12,0))</f>
        <v>0</v>
      </c>
      <c r="AL116" s="119">
        <f ca="1">+IF($E116=AL$47,SUM($M116:OFFSET($M116,0,IF(YEAR(AL$47)=VALUE(LEFT($K$47,4)),1,2))),
IF(YEAR($E116)&lt;=2015,$O116/12,0))</f>
        <v>0</v>
      </c>
      <c r="AM116" s="119">
        <f ca="1">+IF($E116=AM$47,SUM($M116:OFFSET($M116,0,IF(YEAR(AM$47)=VALUE(LEFT($K$47,4)),1,2))),
IF(YEAR($E116)&lt;=2015,$O116/12,0))</f>
        <v>0</v>
      </c>
      <c r="AN116" s="120">
        <f ca="1">+IF($E116=AN$47,SUM($M116:OFFSET($M116,0,IF(YEAR(AN$47)=VALUE(LEFT($K$47,4)),1,2))),
IF(YEAR($E116)&lt;=2015,$O116/12,0))</f>
        <v>0</v>
      </c>
      <c r="AO116" s="121"/>
      <c r="AQ116" s="105"/>
      <c r="AR116" s="105"/>
    </row>
    <row r="117" spans="1:44" ht="15" x14ac:dyDescent="0.25">
      <c r="A117" s="142" t="s">
        <v>186</v>
      </c>
      <c r="B117" s="143" t="s">
        <v>473</v>
      </c>
      <c r="C117" s="144">
        <v>6439</v>
      </c>
      <c r="D117" s="145" t="s">
        <v>70</v>
      </c>
      <c r="E117" s="141">
        <v>41061</v>
      </c>
      <c r="F117" s="143" t="s">
        <v>78</v>
      </c>
      <c r="G117" s="146">
        <v>0</v>
      </c>
      <c r="H117" s="147">
        <v>1</v>
      </c>
      <c r="I117" s="263" t="s">
        <v>478</v>
      </c>
      <c r="J117" s="140">
        <v>485.33895000000001</v>
      </c>
      <c r="K117" s="139">
        <v>232.81988000000001</v>
      </c>
      <c r="L117" s="119">
        <v>0</v>
      </c>
      <c r="M117" s="119">
        <f t="shared" si="13"/>
        <v>485.33895000000001</v>
      </c>
      <c r="N117" s="121">
        <f t="shared" si="14"/>
        <v>232.81988000000001</v>
      </c>
      <c r="O117" s="120">
        <f t="shared" si="15"/>
        <v>0</v>
      </c>
      <c r="P117" s="121"/>
      <c r="Q117" s="122">
        <f ca="1">+IF($E117=Q$47,SUM($M117:OFFSET($M117,0,IF(YEAR(Q$47)=VALUE(LEFT($K$47,4)),1,2))),
IF(YEAR($E117)&lt;VALUE(LEFT($K$47,4)),($M117+$N117)/12,0))</f>
        <v>59.846569166666676</v>
      </c>
      <c r="R117" s="119">
        <f ca="1">+IF($E117=R$47,SUM($M117:OFFSET($M117,0,IF(YEAR(R$47)=VALUE(LEFT($K$47,4)),1,2))),
IF(YEAR($E117)&lt;VALUE(LEFT($K$47,4)),($M117+$N117)/12,0))</f>
        <v>59.846569166666676</v>
      </c>
      <c r="S117" s="119">
        <f ca="1">+IF($E117=S$47,SUM($M117:OFFSET($M117,0,IF(YEAR(S$47)=VALUE(LEFT($K$47,4)),1,2))),
IF(YEAR($E117)&lt;VALUE(LEFT($K$47,4)),($M117+$N117)/12,0))</f>
        <v>59.846569166666676</v>
      </c>
      <c r="T117" s="119">
        <f ca="1">+IF($E117=T$47,SUM($M117:OFFSET($M117,0,IF(YEAR(T$47)=VALUE(LEFT($K$47,4)),1,2))),
IF(YEAR($E117)&lt;VALUE(LEFT($K$47,4)),($M117+$N117)/12,0))</f>
        <v>59.846569166666676</v>
      </c>
      <c r="U117" s="119">
        <f ca="1">+IF($E117=U$47,SUM($M117:OFFSET($M117,0,IF(YEAR(U$47)=VALUE(LEFT($K$47,4)),1,2))),
IF(YEAR($E117)&lt;VALUE(LEFT($K$47,4)),($M117+$N117)/12,0))</f>
        <v>59.846569166666676</v>
      </c>
      <c r="V117" s="119">
        <f ca="1">+IF($E117=V$47,SUM($M117:OFFSET($M117,0,IF(YEAR(V$47)=VALUE(LEFT($K$47,4)),1,2))),
IF(YEAR($E117)&lt;VALUE(LEFT($K$47,4)),($M117+$N117)/12,0))</f>
        <v>59.846569166666676</v>
      </c>
      <c r="W117" s="119">
        <f ca="1">+IF($E117=W$47,SUM($M117:OFFSET($M117,0,IF(YEAR(W$47)=VALUE(LEFT($K$47,4)),1,2))),
IF(YEAR($E117)&lt;VALUE(LEFT($K$47,4)),($M117+$N117)/12,0))</f>
        <v>59.846569166666676</v>
      </c>
      <c r="X117" s="119">
        <f ca="1">+IF($E117=X$47,SUM($M117:OFFSET($M117,0,IF(YEAR(X$47)=VALUE(LEFT($K$47,4)),1,2))),
IF(YEAR($E117)&lt;VALUE(LEFT($K$47,4)),($M117+$N117)/12,0))</f>
        <v>59.846569166666676</v>
      </c>
      <c r="Y117" s="119">
        <f ca="1">+IF($E117=Y$47,SUM($M117:OFFSET($M117,0,IF(YEAR(Y$47)=VALUE(LEFT($K$47,4)),1,2))),
IF(YEAR($E117)&lt;VALUE(LEFT($K$47,4)),($M117+$N117)/12,0))</f>
        <v>59.846569166666676</v>
      </c>
      <c r="Z117" s="119">
        <f ca="1">+IF($E117=Z$47,SUM($M117:OFFSET($M117,0,IF(YEAR(Z$47)=VALUE(LEFT($K$47,4)),1,2))),
IF(YEAR($E117)&lt;VALUE(LEFT($K$47,4)),($M117+$N117)/12,0))</f>
        <v>59.846569166666676</v>
      </c>
      <c r="AA117" s="119">
        <f ca="1">+IF($E117=AA$47,SUM($M117:OFFSET($M117,0,IF(YEAR(AA$47)=VALUE(LEFT($K$47,4)),1,2))),
IF(YEAR($E117)&lt;VALUE(LEFT($K$47,4)),($M117+$N117)/12,0))</f>
        <v>59.846569166666676</v>
      </c>
      <c r="AB117" s="120">
        <f ca="1">+IF($E117=AB$47,SUM($M117:OFFSET($M117,0,IF(YEAR(AB$47)=VALUE(LEFT($K$47,4)),1,2))),
IF(YEAR($E117)&lt;VALUE(LEFT($K$47,4)),($M117+$N117)/12,0))</f>
        <v>59.846569166666676</v>
      </c>
      <c r="AC117" s="122">
        <f ca="1">+IF($E117=AC$47,SUM($M117:OFFSET($M117,0,IF(YEAR(AC$47)=VALUE(LEFT($K$47,4)),1,2))),
IF(YEAR($E117)&lt;=2015,$O117/12,0))</f>
        <v>0</v>
      </c>
      <c r="AD117" s="119">
        <f ca="1">+IF($E117=AD$47,SUM($M117:OFFSET($M117,0,IF(YEAR(AD$47)=VALUE(LEFT($K$47,4)),1,2))),
IF(YEAR($E117)&lt;=2015,$O117/12,0))</f>
        <v>0</v>
      </c>
      <c r="AE117" s="119">
        <f ca="1">+IF($E117=AE$47,SUM($M117:OFFSET($M117,0,IF(YEAR(AE$47)=VALUE(LEFT($K$47,4)),1,2))),
IF(YEAR($E117)&lt;=2015,$O117/12,0))</f>
        <v>0</v>
      </c>
      <c r="AF117" s="119">
        <f ca="1">+IF($E117=AF$47,SUM($M117:OFFSET($M117,0,IF(YEAR(AF$47)=VALUE(LEFT($K$47,4)),1,2))),
IF(YEAR($E117)&lt;=2015,$O117/12,0))</f>
        <v>0</v>
      </c>
      <c r="AG117" s="119">
        <f ca="1">+IF($E117=AG$47,SUM($M117:OFFSET($M117,0,IF(YEAR(AG$47)=VALUE(LEFT($K$47,4)),1,2))),
IF(YEAR($E117)&lt;=2015,$O117/12,0))</f>
        <v>0</v>
      </c>
      <c r="AH117" s="119">
        <f ca="1">+IF($E117=AH$47,SUM($M117:OFFSET($M117,0,IF(YEAR(AH$47)=VALUE(LEFT($K$47,4)),1,2))),
IF(YEAR($E117)&lt;=2015,$O117/12,0))</f>
        <v>0</v>
      </c>
      <c r="AI117" s="119">
        <f ca="1">+IF($E117=AI$47,SUM($M117:OFFSET($M117,0,IF(YEAR(AI$47)=VALUE(LEFT($K$47,4)),1,2))),
IF(YEAR($E117)&lt;=2015,$O117/12,0))</f>
        <v>0</v>
      </c>
      <c r="AJ117" s="119">
        <f ca="1">+IF($E117=AJ$47,SUM($M117:OFFSET($M117,0,IF(YEAR(AJ$47)=VALUE(LEFT($K$47,4)),1,2))),
IF(YEAR($E117)&lt;=2015,$O117/12,0))</f>
        <v>0</v>
      </c>
      <c r="AK117" s="119">
        <f ca="1">+IF($E117=AK$47,SUM($M117:OFFSET($M117,0,IF(YEAR(AK$47)=VALUE(LEFT($K$47,4)),1,2))),
IF(YEAR($E117)&lt;=2015,$O117/12,0))</f>
        <v>0</v>
      </c>
      <c r="AL117" s="119">
        <f ca="1">+IF($E117=AL$47,SUM($M117:OFFSET($M117,0,IF(YEAR(AL$47)=VALUE(LEFT($K$47,4)),1,2))),
IF(YEAR($E117)&lt;=2015,$O117/12,0))</f>
        <v>0</v>
      </c>
      <c r="AM117" s="119">
        <f ca="1">+IF($E117=AM$47,SUM($M117:OFFSET($M117,0,IF(YEAR(AM$47)=VALUE(LEFT($K$47,4)),1,2))),
IF(YEAR($E117)&lt;=2015,$O117/12,0))</f>
        <v>0</v>
      </c>
      <c r="AN117" s="120">
        <f ca="1">+IF($E117=AN$47,SUM($M117:OFFSET($M117,0,IF(YEAR(AN$47)=VALUE(LEFT($K$47,4)),1,2))),
IF(YEAR($E117)&lt;=2015,$O117/12,0))</f>
        <v>0</v>
      </c>
      <c r="AO117" s="121"/>
      <c r="AQ117" s="105"/>
      <c r="AR117" s="105"/>
    </row>
    <row r="118" spans="1:44" ht="15" x14ac:dyDescent="0.25">
      <c r="A118" s="142" t="s">
        <v>464</v>
      </c>
      <c r="B118" s="143" t="s">
        <v>474</v>
      </c>
      <c r="C118" s="144">
        <v>6439</v>
      </c>
      <c r="D118" s="145" t="s">
        <v>70</v>
      </c>
      <c r="E118" s="141">
        <v>42064</v>
      </c>
      <c r="F118" s="143" t="s">
        <v>71</v>
      </c>
      <c r="G118" s="146">
        <v>0</v>
      </c>
      <c r="H118" s="147">
        <v>1</v>
      </c>
      <c r="I118" s="263"/>
      <c r="J118" s="140">
        <v>2228.3306799999996</v>
      </c>
      <c r="K118" s="139">
        <v>3091.7809400000001</v>
      </c>
      <c r="L118" s="119">
        <v>0</v>
      </c>
      <c r="M118" s="119">
        <f t="shared" si="13"/>
        <v>2228.3306799999996</v>
      </c>
      <c r="N118" s="121">
        <f t="shared" si="14"/>
        <v>3091.7809400000001</v>
      </c>
      <c r="O118" s="120">
        <f t="shared" si="15"/>
        <v>0</v>
      </c>
      <c r="P118" s="121"/>
      <c r="Q118" s="122">
        <f ca="1">+IF($E118=Q$47,SUM($M118:OFFSET($M118,0,IF(YEAR(Q$47)=VALUE(LEFT($K$47,4)),1,2))),
IF(YEAR($E118)&lt;VALUE(LEFT($K$47,4)),($M118+$N118)/12,0))</f>
        <v>0</v>
      </c>
      <c r="R118" s="119">
        <f ca="1">+IF($E118=R$47,SUM($M118:OFFSET($M118,0,IF(YEAR(R$47)=VALUE(LEFT($K$47,4)),1,2))),
IF(YEAR($E118)&lt;VALUE(LEFT($K$47,4)),($M118+$N118)/12,0))</f>
        <v>0</v>
      </c>
      <c r="S118" s="119">
        <f ca="1">+IF($E118=S$47,SUM($M118:OFFSET($M118,0,IF(YEAR(S$47)=VALUE(LEFT($K$47,4)),1,2))),
IF(YEAR($E118)&lt;VALUE(LEFT($K$47,4)),($M118+$N118)/12,0))</f>
        <v>5320.1116199999997</v>
      </c>
      <c r="T118" s="119">
        <f ca="1">+IF($E118=T$47,SUM($M118:OFFSET($M118,0,IF(YEAR(T$47)=VALUE(LEFT($K$47,4)),1,2))),
IF(YEAR($E118)&lt;VALUE(LEFT($K$47,4)),($M118+$N118)/12,0))</f>
        <v>0</v>
      </c>
      <c r="U118" s="119">
        <f ca="1">+IF($E118=U$47,SUM($M118:OFFSET($M118,0,IF(YEAR(U$47)=VALUE(LEFT($K$47,4)),1,2))),
IF(YEAR($E118)&lt;VALUE(LEFT($K$47,4)),($M118+$N118)/12,0))</f>
        <v>0</v>
      </c>
      <c r="V118" s="119">
        <f ca="1">+IF($E118=V$47,SUM($M118:OFFSET($M118,0,IF(YEAR(V$47)=VALUE(LEFT($K$47,4)),1,2))),
IF(YEAR($E118)&lt;VALUE(LEFT($K$47,4)),($M118+$N118)/12,0))</f>
        <v>0</v>
      </c>
      <c r="W118" s="119">
        <f ca="1">+IF($E118=W$47,SUM($M118:OFFSET($M118,0,IF(YEAR(W$47)=VALUE(LEFT($K$47,4)),1,2))),
IF(YEAR($E118)&lt;VALUE(LEFT($K$47,4)),($M118+$N118)/12,0))</f>
        <v>0</v>
      </c>
      <c r="X118" s="119">
        <f ca="1">+IF($E118=X$47,SUM($M118:OFFSET($M118,0,IF(YEAR(X$47)=VALUE(LEFT($K$47,4)),1,2))),
IF(YEAR($E118)&lt;VALUE(LEFT($K$47,4)),($M118+$N118)/12,0))</f>
        <v>0</v>
      </c>
      <c r="Y118" s="119">
        <f ca="1">+IF($E118=Y$47,SUM($M118:OFFSET($M118,0,IF(YEAR(Y$47)=VALUE(LEFT($K$47,4)),1,2))),
IF(YEAR($E118)&lt;VALUE(LEFT($K$47,4)),($M118+$N118)/12,0))</f>
        <v>0</v>
      </c>
      <c r="Z118" s="119">
        <f ca="1">+IF($E118=Z$47,SUM($M118:OFFSET($M118,0,IF(YEAR(Z$47)=VALUE(LEFT($K$47,4)),1,2))),
IF(YEAR($E118)&lt;VALUE(LEFT($K$47,4)),($M118+$N118)/12,0))</f>
        <v>0</v>
      </c>
      <c r="AA118" s="119">
        <f ca="1">+IF($E118=AA$47,SUM($M118:OFFSET($M118,0,IF(YEAR(AA$47)=VALUE(LEFT($K$47,4)),1,2))),
IF(YEAR($E118)&lt;VALUE(LEFT($K$47,4)),($M118+$N118)/12,0))</f>
        <v>0</v>
      </c>
      <c r="AB118" s="120">
        <f ca="1">+IF($E118=AB$47,SUM($M118:OFFSET($M118,0,IF(YEAR(AB$47)=VALUE(LEFT($K$47,4)),1,2))),
IF(YEAR($E118)&lt;VALUE(LEFT($K$47,4)),($M118+$N118)/12,0))</f>
        <v>0</v>
      </c>
      <c r="AC118" s="122">
        <f ca="1">+IF($E118=AC$47,SUM($M118:OFFSET($M118,0,IF(YEAR(AC$47)=VALUE(LEFT($K$47,4)),1,2))),
IF(YEAR($E118)&lt;=2015,$O118/12,0))</f>
        <v>0</v>
      </c>
      <c r="AD118" s="119">
        <f ca="1">+IF($E118=AD$47,SUM($M118:OFFSET($M118,0,IF(YEAR(AD$47)=VALUE(LEFT($K$47,4)),1,2))),
IF(YEAR($E118)&lt;=2015,$O118/12,0))</f>
        <v>0</v>
      </c>
      <c r="AE118" s="119">
        <f ca="1">+IF($E118=AE$47,SUM($M118:OFFSET($M118,0,IF(YEAR(AE$47)=VALUE(LEFT($K$47,4)),1,2))),
IF(YEAR($E118)&lt;=2015,$O118/12,0))</f>
        <v>0</v>
      </c>
      <c r="AF118" s="119">
        <f ca="1">+IF($E118=AF$47,SUM($M118:OFFSET($M118,0,IF(YEAR(AF$47)=VALUE(LEFT($K$47,4)),1,2))),
IF(YEAR($E118)&lt;=2015,$O118/12,0))</f>
        <v>0</v>
      </c>
      <c r="AG118" s="119">
        <f ca="1">+IF($E118=AG$47,SUM($M118:OFFSET($M118,0,IF(YEAR(AG$47)=VALUE(LEFT($K$47,4)),1,2))),
IF(YEAR($E118)&lt;=2015,$O118/12,0))</f>
        <v>0</v>
      </c>
      <c r="AH118" s="119">
        <f ca="1">+IF($E118=AH$47,SUM($M118:OFFSET($M118,0,IF(YEAR(AH$47)=VALUE(LEFT($K$47,4)),1,2))),
IF(YEAR($E118)&lt;=2015,$O118/12,0))</f>
        <v>0</v>
      </c>
      <c r="AI118" s="119">
        <f ca="1">+IF($E118=AI$47,SUM($M118:OFFSET($M118,0,IF(YEAR(AI$47)=VALUE(LEFT($K$47,4)),1,2))),
IF(YEAR($E118)&lt;=2015,$O118/12,0))</f>
        <v>0</v>
      </c>
      <c r="AJ118" s="119">
        <f ca="1">+IF($E118=AJ$47,SUM($M118:OFFSET($M118,0,IF(YEAR(AJ$47)=VALUE(LEFT($K$47,4)),1,2))),
IF(YEAR($E118)&lt;=2015,$O118/12,0))</f>
        <v>0</v>
      </c>
      <c r="AK118" s="119">
        <f ca="1">+IF($E118=AK$47,SUM($M118:OFFSET($M118,0,IF(YEAR(AK$47)=VALUE(LEFT($K$47,4)),1,2))),
IF(YEAR($E118)&lt;=2015,$O118/12,0))</f>
        <v>0</v>
      </c>
      <c r="AL118" s="119">
        <f ca="1">+IF($E118=AL$47,SUM($M118:OFFSET($M118,0,IF(YEAR(AL$47)=VALUE(LEFT($K$47,4)),1,2))),
IF(YEAR($E118)&lt;=2015,$O118/12,0))</f>
        <v>0</v>
      </c>
      <c r="AM118" s="119">
        <f ca="1">+IF($E118=AM$47,SUM($M118:OFFSET($M118,0,IF(YEAR(AM$47)=VALUE(LEFT($K$47,4)),1,2))),
IF(YEAR($E118)&lt;=2015,$O118/12,0))</f>
        <v>0</v>
      </c>
      <c r="AN118" s="120">
        <f ca="1">+IF($E118=AN$47,SUM($M118:OFFSET($M118,0,IF(YEAR(AN$47)=VALUE(LEFT($K$47,4)),1,2))),
IF(YEAR($E118)&lt;=2015,$O118/12,0))</f>
        <v>0</v>
      </c>
      <c r="AO118" s="121"/>
      <c r="AQ118" s="105"/>
      <c r="AR118" s="105"/>
    </row>
    <row r="119" spans="1:44" ht="15" x14ac:dyDescent="0.25">
      <c r="A119" s="142" t="s">
        <v>465</v>
      </c>
      <c r="B119" s="143" t="s">
        <v>475</v>
      </c>
      <c r="C119" s="144">
        <v>7758</v>
      </c>
      <c r="D119" s="145" t="s">
        <v>70</v>
      </c>
      <c r="E119" s="141">
        <v>42705</v>
      </c>
      <c r="F119" s="143" t="s">
        <v>78</v>
      </c>
      <c r="G119" s="146">
        <v>0</v>
      </c>
      <c r="H119" s="147">
        <v>1</v>
      </c>
      <c r="I119" s="263"/>
      <c r="J119" s="148">
        <v>0</v>
      </c>
      <c r="K119" s="149">
        <v>8</v>
      </c>
      <c r="L119" s="150">
        <v>17</v>
      </c>
      <c r="M119" s="150">
        <f t="shared" si="13"/>
        <v>0</v>
      </c>
      <c r="N119" s="151">
        <f t="shared" si="14"/>
        <v>8</v>
      </c>
      <c r="O119" s="152">
        <f t="shared" si="15"/>
        <v>17</v>
      </c>
      <c r="P119" s="121"/>
      <c r="Q119" s="122">
        <f ca="1">+IF($E119=Q$47,SUM($M119:OFFSET($M119,0,IF(YEAR(Q$47)=VALUE(LEFT($K$47,4)),1,2))),
IF(YEAR($E119)&lt;VALUE(LEFT($K$47,4)),($M119+$N119)/12,0))</f>
        <v>0</v>
      </c>
      <c r="R119" s="119">
        <f ca="1">+IF($E119=R$47,SUM($M119:OFFSET($M119,0,IF(YEAR(R$47)=VALUE(LEFT($K$47,4)),1,2))),
IF(YEAR($E119)&lt;VALUE(LEFT($K$47,4)),($M119+$N119)/12,0))</f>
        <v>0</v>
      </c>
      <c r="S119" s="119">
        <f ca="1">+IF($E119=S$47,SUM($M119:OFFSET($M119,0,IF(YEAR(S$47)=VALUE(LEFT($K$47,4)),1,2))),
IF(YEAR($E119)&lt;VALUE(LEFT($K$47,4)),($M119+$N119)/12,0))</f>
        <v>0</v>
      </c>
      <c r="T119" s="119">
        <f ca="1">+IF($E119=T$47,SUM($M119:OFFSET($M119,0,IF(YEAR(T$47)=VALUE(LEFT($K$47,4)),1,2))),
IF(YEAR($E119)&lt;VALUE(LEFT($K$47,4)),($M119+$N119)/12,0))</f>
        <v>0</v>
      </c>
      <c r="U119" s="119">
        <f ca="1">+IF($E119=U$47,SUM($M119:OFFSET($M119,0,IF(YEAR(U$47)=VALUE(LEFT($K$47,4)),1,2))),
IF(YEAR($E119)&lt;VALUE(LEFT($K$47,4)),($M119+$N119)/12,0))</f>
        <v>0</v>
      </c>
      <c r="V119" s="119">
        <f ca="1">+IF($E119=V$47,SUM($M119:OFFSET($M119,0,IF(YEAR(V$47)=VALUE(LEFT($K$47,4)),1,2))),
IF(YEAR($E119)&lt;VALUE(LEFT($K$47,4)),($M119+$N119)/12,0))</f>
        <v>0</v>
      </c>
      <c r="W119" s="119">
        <f ca="1">+IF($E119=W$47,SUM($M119:OFFSET($M119,0,IF(YEAR(W$47)=VALUE(LEFT($K$47,4)),1,2))),
IF(YEAR($E119)&lt;VALUE(LEFT($K$47,4)),($M119+$N119)/12,0))</f>
        <v>0</v>
      </c>
      <c r="X119" s="119">
        <f ca="1">+IF($E119=X$47,SUM($M119:OFFSET($M119,0,IF(YEAR(X$47)=VALUE(LEFT($K$47,4)),1,2))),
IF(YEAR($E119)&lt;VALUE(LEFT($K$47,4)),($M119+$N119)/12,0))</f>
        <v>0</v>
      </c>
      <c r="Y119" s="119">
        <f ca="1">+IF($E119=Y$47,SUM($M119:OFFSET($M119,0,IF(YEAR(Y$47)=VALUE(LEFT($K$47,4)),1,2))),
IF(YEAR($E119)&lt;VALUE(LEFT($K$47,4)),($M119+$N119)/12,0))</f>
        <v>0</v>
      </c>
      <c r="Z119" s="119">
        <f ca="1">+IF($E119=Z$47,SUM($M119:OFFSET($M119,0,IF(YEAR(Z$47)=VALUE(LEFT($K$47,4)),1,2))),
IF(YEAR($E119)&lt;VALUE(LEFT($K$47,4)),($M119+$N119)/12,0))</f>
        <v>0</v>
      </c>
      <c r="AA119" s="119">
        <f ca="1">+IF($E119=AA$47,SUM($M119:OFFSET($M119,0,IF(YEAR(AA$47)=VALUE(LEFT($K$47,4)),1,2))),
IF(YEAR($E119)&lt;VALUE(LEFT($K$47,4)),($M119+$N119)/12,0))</f>
        <v>0</v>
      </c>
      <c r="AB119" s="120">
        <f ca="1">+IF($E119=AB$47,SUM($M119:OFFSET($M119,0,IF(YEAR(AB$47)=VALUE(LEFT($K$47,4)),1,2))),
IF(YEAR($E119)&lt;VALUE(LEFT($K$47,4)),($M119+$N119)/12,0))</f>
        <v>0</v>
      </c>
      <c r="AC119" s="122">
        <f ca="1">+IF($E119=AC$47,SUM($M119:OFFSET($M119,0,IF(YEAR(AC$47)=VALUE(LEFT($K$47,4)),1,2))),
IF(YEAR($E119)&lt;=2015,$O119/12,0))</f>
        <v>0</v>
      </c>
      <c r="AD119" s="119">
        <f ca="1">+IF($E119=AD$47,SUM($M119:OFFSET($M119,0,IF(YEAR(AD$47)=VALUE(LEFT($K$47,4)),1,2))),
IF(YEAR($E119)&lt;=2015,$O119/12,0))</f>
        <v>0</v>
      </c>
      <c r="AE119" s="119">
        <f ca="1">+IF($E119=AE$47,SUM($M119:OFFSET($M119,0,IF(YEAR(AE$47)=VALUE(LEFT($K$47,4)),1,2))),
IF(YEAR($E119)&lt;=2015,$O119/12,0))</f>
        <v>0</v>
      </c>
      <c r="AF119" s="119">
        <f ca="1">+IF($E119=AF$47,SUM($M119:OFFSET($M119,0,IF(YEAR(AF$47)=VALUE(LEFT($K$47,4)),1,2))),
IF(YEAR($E119)&lt;=2015,$O119/12,0))</f>
        <v>0</v>
      </c>
      <c r="AG119" s="119">
        <f ca="1">+IF($E119=AG$47,SUM($M119:OFFSET($M119,0,IF(YEAR(AG$47)=VALUE(LEFT($K$47,4)),1,2))),
IF(YEAR($E119)&lt;=2015,$O119/12,0))</f>
        <v>0</v>
      </c>
      <c r="AH119" s="119">
        <f ca="1">+IF($E119=AH$47,SUM($M119:OFFSET($M119,0,IF(YEAR(AH$47)=VALUE(LEFT($K$47,4)),1,2))),
IF(YEAR($E119)&lt;=2015,$O119/12,0))</f>
        <v>0</v>
      </c>
      <c r="AI119" s="119">
        <f ca="1">+IF($E119=AI$47,SUM($M119:OFFSET($M119,0,IF(YEAR(AI$47)=VALUE(LEFT($K$47,4)),1,2))),
IF(YEAR($E119)&lt;=2015,$O119/12,0))</f>
        <v>0</v>
      </c>
      <c r="AJ119" s="119">
        <f ca="1">+IF($E119=AJ$47,SUM($M119:OFFSET($M119,0,IF(YEAR(AJ$47)=VALUE(LEFT($K$47,4)),1,2))),
IF(YEAR($E119)&lt;=2015,$O119/12,0))</f>
        <v>0</v>
      </c>
      <c r="AK119" s="119">
        <f ca="1">+IF($E119=AK$47,SUM($M119:OFFSET($M119,0,IF(YEAR(AK$47)=VALUE(LEFT($K$47,4)),1,2))),
IF(YEAR($E119)&lt;=2015,$O119/12,0))</f>
        <v>0</v>
      </c>
      <c r="AL119" s="119">
        <f ca="1">+IF($E119=AL$47,SUM($M119:OFFSET($M119,0,IF(YEAR(AL$47)=VALUE(LEFT($K$47,4)),1,2))),
IF(YEAR($E119)&lt;=2015,$O119/12,0))</f>
        <v>0</v>
      </c>
      <c r="AM119" s="119">
        <f ca="1">+IF($E119=AM$47,SUM($M119:OFFSET($M119,0,IF(YEAR(AM$47)=VALUE(LEFT($K$47,4)),1,2))),
IF(YEAR($E119)&lt;=2015,$O119/12,0))</f>
        <v>0</v>
      </c>
      <c r="AN119" s="120">
        <f ca="1">+IF($E119=AN$47,SUM($M119:OFFSET($M119,0,IF(YEAR(AN$47)=VALUE(LEFT($K$47,4)),1,2))),
IF(YEAR($E119)&lt;=2015,$O119/12,0))</f>
        <v>25</v>
      </c>
      <c r="AO119" s="121"/>
      <c r="AQ119" s="105"/>
      <c r="AR119" s="105"/>
    </row>
    <row r="120" spans="1:44" ht="15" x14ac:dyDescent="0.25">
      <c r="A120" s="142" t="s">
        <v>466</v>
      </c>
      <c r="B120" s="143" t="s">
        <v>476</v>
      </c>
      <c r="C120" s="144">
        <v>7758</v>
      </c>
      <c r="D120" s="145" t="s">
        <v>70</v>
      </c>
      <c r="E120" s="141">
        <v>42705</v>
      </c>
      <c r="F120" s="143" t="s">
        <v>78</v>
      </c>
      <c r="G120" s="146">
        <v>0</v>
      </c>
      <c r="H120" s="147">
        <v>1</v>
      </c>
      <c r="I120" s="263"/>
      <c r="J120" s="148">
        <v>0</v>
      </c>
      <c r="K120" s="149">
        <v>8</v>
      </c>
      <c r="L120" s="150">
        <v>17</v>
      </c>
      <c r="M120" s="150">
        <f t="shared" si="13"/>
        <v>0</v>
      </c>
      <c r="N120" s="151">
        <f t="shared" si="14"/>
        <v>8</v>
      </c>
      <c r="O120" s="152">
        <f t="shared" si="15"/>
        <v>17</v>
      </c>
      <c r="P120" s="121"/>
      <c r="Q120" s="122">
        <f ca="1">+IF($E120=Q$47,SUM($M120:OFFSET($M120,0,IF(YEAR(Q$47)=VALUE(LEFT($K$47,4)),1,2))),
IF(YEAR($E120)&lt;VALUE(LEFT($K$47,4)),($M120+$N120)/12,0))</f>
        <v>0</v>
      </c>
      <c r="R120" s="119">
        <f ca="1">+IF($E120=R$47,SUM($M120:OFFSET($M120,0,IF(YEAR(R$47)=VALUE(LEFT($K$47,4)),1,2))),
IF(YEAR($E120)&lt;VALUE(LEFT($K$47,4)),($M120+$N120)/12,0))</f>
        <v>0</v>
      </c>
      <c r="S120" s="119">
        <f ca="1">+IF($E120=S$47,SUM($M120:OFFSET($M120,0,IF(YEAR(S$47)=VALUE(LEFT($K$47,4)),1,2))),
IF(YEAR($E120)&lt;VALUE(LEFT($K$47,4)),($M120+$N120)/12,0))</f>
        <v>0</v>
      </c>
      <c r="T120" s="119">
        <f ca="1">+IF($E120=T$47,SUM($M120:OFFSET($M120,0,IF(YEAR(T$47)=VALUE(LEFT($K$47,4)),1,2))),
IF(YEAR($E120)&lt;VALUE(LEFT($K$47,4)),($M120+$N120)/12,0))</f>
        <v>0</v>
      </c>
      <c r="U120" s="119">
        <f ca="1">+IF($E120=U$47,SUM($M120:OFFSET($M120,0,IF(YEAR(U$47)=VALUE(LEFT($K$47,4)),1,2))),
IF(YEAR($E120)&lt;VALUE(LEFT($K$47,4)),($M120+$N120)/12,0))</f>
        <v>0</v>
      </c>
      <c r="V120" s="119">
        <f ca="1">+IF($E120=V$47,SUM($M120:OFFSET($M120,0,IF(YEAR(V$47)=VALUE(LEFT($K$47,4)),1,2))),
IF(YEAR($E120)&lt;VALUE(LEFT($K$47,4)),($M120+$N120)/12,0))</f>
        <v>0</v>
      </c>
      <c r="W120" s="119">
        <f ca="1">+IF($E120=W$47,SUM($M120:OFFSET($M120,0,IF(YEAR(W$47)=VALUE(LEFT($K$47,4)),1,2))),
IF(YEAR($E120)&lt;VALUE(LEFT($K$47,4)),($M120+$N120)/12,0))</f>
        <v>0</v>
      </c>
      <c r="X120" s="119">
        <f ca="1">+IF($E120=X$47,SUM($M120:OFFSET($M120,0,IF(YEAR(X$47)=VALUE(LEFT($K$47,4)),1,2))),
IF(YEAR($E120)&lt;VALUE(LEFT($K$47,4)),($M120+$N120)/12,0))</f>
        <v>0</v>
      </c>
      <c r="Y120" s="119">
        <f ca="1">+IF($E120=Y$47,SUM($M120:OFFSET($M120,0,IF(YEAR(Y$47)=VALUE(LEFT($K$47,4)),1,2))),
IF(YEAR($E120)&lt;VALUE(LEFT($K$47,4)),($M120+$N120)/12,0))</f>
        <v>0</v>
      </c>
      <c r="Z120" s="119">
        <f ca="1">+IF($E120=Z$47,SUM($M120:OFFSET($M120,0,IF(YEAR(Z$47)=VALUE(LEFT($K$47,4)),1,2))),
IF(YEAR($E120)&lt;VALUE(LEFT($K$47,4)),($M120+$N120)/12,0))</f>
        <v>0</v>
      </c>
      <c r="AA120" s="119">
        <f ca="1">+IF($E120=AA$47,SUM($M120:OFFSET($M120,0,IF(YEAR(AA$47)=VALUE(LEFT($K$47,4)),1,2))),
IF(YEAR($E120)&lt;VALUE(LEFT($K$47,4)),($M120+$N120)/12,0))</f>
        <v>0</v>
      </c>
      <c r="AB120" s="120">
        <f ca="1">+IF($E120=AB$47,SUM($M120:OFFSET($M120,0,IF(YEAR(AB$47)=VALUE(LEFT($K$47,4)),1,2))),
IF(YEAR($E120)&lt;VALUE(LEFT($K$47,4)),($M120+$N120)/12,0))</f>
        <v>0</v>
      </c>
      <c r="AC120" s="122">
        <f ca="1">+IF($E120=AC$47,SUM($M120:OFFSET($M120,0,IF(YEAR(AC$47)=VALUE(LEFT($K$47,4)),1,2))),
IF(YEAR($E120)&lt;=2015,$O120/12,0))</f>
        <v>0</v>
      </c>
      <c r="AD120" s="119">
        <f ca="1">+IF($E120=AD$47,SUM($M120:OFFSET($M120,0,IF(YEAR(AD$47)=VALUE(LEFT($K$47,4)),1,2))),
IF(YEAR($E120)&lt;=2015,$O120/12,0))</f>
        <v>0</v>
      </c>
      <c r="AE120" s="119">
        <f ca="1">+IF($E120=AE$47,SUM($M120:OFFSET($M120,0,IF(YEAR(AE$47)=VALUE(LEFT($K$47,4)),1,2))),
IF(YEAR($E120)&lt;=2015,$O120/12,0))</f>
        <v>0</v>
      </c>
      <c r="AF120" s="119">
        <f ca="1">+IF($E120=AF$47,SUM($M120:OFFSET($M120,0,IF(YEAR(AF$47)=VALUE(LEFT($K$47,4)),1,2))),
IF(YEAR($E120)&lt;=2015,$O120/12,0))</f>
        <v>0</v>
      </c>
      <c r="AG120" s="119">
        <f ca="1">+IF($E120=AG$47,SUM($M120:OFFSET($M120,0,IF(YEAR(AG$47)=VALUE(LEFT($K$47,4)),1,2))),
IF(YEAR($E120)&lt;=2015,$O120/12,0))</f>
        <v>0</v>
      </c>
      <c r="AH120" s="119">
        <f ca="1">+IF($E120=AH$47,SUM($M120:OFFSET($M120,0,IF(YEAR(AH$47)=VALUE(LEFT($K$47,4)),1,2))),
IF(YEAR($E120)&lt;=2015,$O120/12,0))</f>
        <v>0</v>
      </c>
      <c r="AI120" s="119">
        <f ca="1">+IF($E120=AI$47,SUM($M120:OFFSET($M120,0,IF(YEAR(AI$47)=VALUE(LEFT($K$47,4)),1,2))),
IF(YEAR($E120)&lt;=2015,$O120/12,0))</f>
        <v>0</v>
      </c>
      <c r="AJ120" s="119">
        <f ca="1">+IF($E120=AJ$47,SUM($M120:OFFSET($M120,0,IF(YEAR(AJ$47)=VALUE(LEFT($K$47,4)),1,2))),
IF(YEAR($E120)&lt;=2015,$O120/12,0))</f>
        <v>0</v>
      </c>
      <c r="AK120" s="119">
        <f ca="1">+IF($E120=AK$47,SUM($M120:OFFSET($M120,0,IF(YEAR(AK$47)=VALUE(LEFT($K$47,4)),1,2))),
IF(YEAR($E120)&lt;=2015,$O120/12,0))</f>
        <v>0</v>
      </c>
      <c r="AL120" s="119">
        <f ca="1">+IF($E120=AL$47,SUM($M120:OFFSET($M120,0,IF(YEAR(AL$47)=VALUE(LEFT($K$47,4)),1,2))),
IF(YEAR($E120)&lt;=2015,$O120/12,0))</f>
        <v>0</v>
      </c>
      <c r="AM120" s="119">
        <f ca="1">+IF($E120=AM$47,SUM($M120:OFFSET($M120,0,IF(YEAR(AM$47)=VALUE(LEFT($K$47,4)),1,2))),
IF(YEAR($E120)&lt;=2015,$O120/12,0))</f>
        <v>0</v>
      </c>
      <c r="AN120" s="120">
        <f ca="1">+IF($E120=AN$47,SUM($M120:OFFSET($M120,0,IF(YEAR(AN$47)=VALUE(LEFT($K$47,4)),1,2))),
IF(YEAR($E120)&lt;=2015,$O120/12,0))</f>
        <v>25</v>
      </c>
      <c r="AO120" s="121"/>
      <c r="AQ120" s="105"/>
      <c r="AR120" s="105"/>
    </row>
    <row r="121" spans="1:44" ht="15.75" thickBot="1" x14ac:dyDescent="0.3">
      <c r="A121" s="326" t="s">
        <v>26</v>
      </c>
      <c r="B121" s="327"/>
      <c r="C121" s="327"/>
      <c r="D121" s="327"/>
      <c r="E121" s="327"/>
      <c r="F121" s="327"/>
      <c r="G121" s="327"/>
      <c r="H121" s="328"/>
      <c r="I121" s="109"/>
      <c r="J121" s="125">
        <f t="shared" ref="J121:O121" si="16">SUM(J48:J120)</f>
        <v>200859.52306000015</v>
      </c>
      <c r="K121" s="126">
        <f t="shared" si="16"/>
        <v>110182.47602268541</v>
      </c>
      <c r="L121" s="126">
        <f t="shared" si="16"/>
        <v>44947.91668379333</v>
      </c>
      <c r="M121" s="126">
        <f t="shared" si="16"/>
        <v>196324.28354480016</v>
      </c>
      <c r="N121" s="126">
        <f t="shared" si="16"/>
        <v>108164.97328268542</v>
      </c>
      <c r="O121" s="127">
        <f t="shared" si="16"/>
        <v>43607.91668379333</v>
      </c>
      <c r="P121" s="128"/>
      <c r="Q121" s="125">
        <f t="shared" ref="Q121:AN121" ca="1" si="17">SUM(Q48:Q120)</f>
        <v>19967.458743333336</v>
      </c>
      <c r="R121" s="126">
        <f t="shared" ca="1" si="17"/>
        <v>6929.5319833333342</v>
      </c>
      <c r="S121" s="126">
        <f t="shared" ca="1" si="17"/>
        <v>12249.643603333334</v>
      </c>
      <c r="T121" s="126">
        <f t="shared" ca="1" si="17"/>
        <v>6929.5319833333342</v>
      </c>
      <c r="U121" s="126">
        <f t="shared" ca="1" si="17"/>
        <v>9146.0082133333344</v>
      </c>
      <c r="V121" s="126">
        <f t="shared" ca="1" si="17"/>
        <v>13963.621890787008</v>
      </c>
      <c r="W121" s="126">
        <f t="shared" ca="1" si="17"/>
        <v>6929.5319833333342</v>
      </c>
      <c r="X121" s="126">
        <f t="shared" ca="1" si="17"/>
        <v>6929.5319833333342</v>
      </c>
      <c r="Y121" s="126">
        <f t="shared" ca="1" si="17"/>
        <v>6929.5319833333342</v>
      </c>
      <c r="Z121" s="126">
        <f t="shared" ca="1" si="17"/>
        <v>31634.152203333339</v>
      </c>
      <c r="AA121" s="126">
        <f t="shared" ca="1" si="17"/>
        <v>96791.101563333432</v>
      </c>
      <c r="AB121" s="127">
        <f t="shared" ca="1" si="17"/>
        <v>54811.400050133328</v>
      </c>
      <c r="AC121" s="126">
        <f t="shared" ca="1" si="17"/>
        <v>1005.7499999999999</v>
      </c>
      <c r="AD121" s="126">
        <f t="shared" ca="1" si="17"/>
        <v>1005.7499999999999</v>
      </c>
      <c r="AE121" s="126">
        <f t="shared" ca="1" si="17"/>
        <v>26845.061799999999</v>
      </c>
      <c r="AF121" s="126">
        <f t="shared" ca="1" si="17"/>
        <v>1005.7499999999999</v>
      </c>
      <c r="AG121" s="126">
        <f t="shared" ca="1" si="17"/>
        <v>1005.7499999999999</v>
      </c>
      <c r="AH121" s="126">
        <f t="shared" ca="1" si="17"/>
        <v>15191.836628000001</v>
      </c>
      <c r="AI121" s="126">
        <f t="shared" ca="1" si="17"/>
        <v>1005.7499999999999</v>
      </c>
      <c r="AJ121" s="126">
        <f t="shared" ca="1" si="17"/>
        <v>1005.7499999999999</v>
      </c>
      <c r="AK121" s="126">
        <f t="shared" ca="1" si="17"/>
        <v>1005.7499999999999</v>
      </c>
      <c r="AL121" s="126">
        <f t="shared" ca="1" si="17"/>
        <v>3211.5488999999998</v>
      </c>
      <c r="AM121" s="126">
        <f t="shared" ca="1" si="17"/>
        <v>5405.7500000000009</v>
      </c>
      <c r="AN121" s="127">
        <f t="shared" ca="1" si="17"/>
        <v>17191.679999025069</v>
      </c>
    </row>
    <row r="122" spans="1:44" ht="15.75" thickTop="1" x14ac:dyDescent="0.25">
      <c r="A122" s="273"/>
      <c r="B122" s="273"/>
      <c r="C122" s="273"/>
      <c r="D122" s="273"/>
      <c r="E122" s="273"/>
      <c r="F122" s="273"/>
      <c r="G122" s="273"/>
      <c r="H122" s="273"/>
      <c r="I122" s="109"/>
      <c r="J122" s="129"/>
      <c r="K122" s="129"/>
      <c r="L122" s="129"/>
      <c r="M122" s="129"/>
      <c r="N122" s="129"/>
      <c r="O122" s="129"/>
      <c r="P122" s="128"/>
      <c r="Q122" s="129"/>
      <c r="R122" s="129"/>
      <c r="S122" s="129"/>
      <c r="T122" s="129"/>
      <c r="U122" s="129"/>
      <c r="V122" s="129"/>
      <c r="W122" s="129"/>
      <c r="X122" s="129"/>
      <c r="Y122" s="129"/>
      <c r="Z122" s="129"/>
      <c r="AA122" s="129"/>
      <c r="AB122" s="129"/>
      <c r="AC122" s="129"/>
      <c r="AD122" s="129"/>
      <c r="AE122" s="129"/>
      <c r="AF122" s="129"/>
      <c r="AG122" s="129"/>
      <c r="AH122" s="129"/>
      <c r="AI122" s="129"/>
      <c r="AJ122" s="121"/>
      <c r="AK122" s="121"/>
      <c r="AL122" s="121"/>
      <c r="AM122" s="121"/>
      <c r="AN122" s="119"/>
    </row>
    <row r="123" spans="1:44" ht="15.75" thickBot="1" x14ac:dyDescent="0.3">
      <c r="A123" s="326" t="s">
        <v>27</v>
      </c>
      <c r="B123" s="327"/>
      <c r="C123" s="327"/>
      <c r="D123" s="327"/>
      <c r="E123" s="327"/>
      <c r="F123" s="327"/>
      <c r="G123" s="327"/>
      <c r="H123" s="328"/>
      <c r="I123" s="109"/>
      <c r="J123" s="125"/>
      <c r="K123" s="126"/>
      <c r="L123" s="126"/>
      <c r="M123" s="126"/>
      <c r="N123" s="126"/>
      <c r="O123" s="127"/>
      <c r="P123" s="128"/>
      <c r="Q123" s="125">
        <f ca="1">Q121</f>
        <v>19967.458743333336</v>
      </c>
      <c r="R123" s="126">
        <f t="shared" ref="R123:AJ123" ca="1" si="18">R121+Q123</f>
        <v>26896.990726666671</v>
      </c>
      <c r="S123" s="126">
        <f t="shared" ca="1" si="18"/>
        <v>39146.634330000001</v>
      </c>
      <c r="T123" s="126">
        <f t="shared" ca="1" si="18"/>
        <v>46076.166313333335</v>
      </c>
      <c r="U123" s="126">
        <f t="shared" ca="1" si="18"/>
        <v>55222.174526666669</v>
      </c>
      <c r="V123" s="126">
        <f t="shared" ca="1" si="18"/>
        <v>69185.796417453676</v>
      </c>
      <c r="W123" s="126">
        <f t="shared" ca="1" si="18"/>
        <v>76115.32840078701</v>
      </c>
      <c r="X123" s="126">
        <f t="shared" ca="1" si="18"/>
        <v>83044.860384120344</v>
      </c>
      <c r="Y123" s="126">
        <f t="shared" ca="1" si="18"/>
        <v>89974.392367453678</v>
      </c>
      <c r="Z123" s="126">
        <f t="shared" ca="1" si="18"/>
        <v>121608.54457078702</v>
      </c>
      <c r="AA123" s="126">
        <f t="shared" ca="1" si="18"/>
        <v>218399.64613412047</v>
      </c>
      <c r="AB123" s="127">
        <f t="shared" ca="1" si="18"/>
        <v>273211.04618425382</v>
      </c>
      <c r="AC123" s="126">
        <f t="shared" ca="1" si="18"/>
        <v>274216.79618425382</v>
      </c>
      <c r="AD123" s="126">
        <f t="shared" ca="1" si="18"/>
        <v>275222.54618425382</v>
      </c>
      <c r="AE123" s="126">
        <f t="shared" ca="1" si="18"/>
        <v>302067.60798425385</v>
      </c>
      <c r="AF123" s="126">
        <f t="shared" ca="1" si="18"/>
        <v>303073.35798425385</v>
      </c>
      <c r="AG123" s="126">
        <f t="shared" ca="1" si="18"/>
        <v>304079.10798425385</v>
      </c>
      <c r="AH123" s="126">
        <f t="shared" ca="1" si="18"/>
        <v>319270.94461225386</v>
      </c>
      <c r="AI123" s="126">
        <f t="shared" ca="1" si="18"/>
        <v>320276.69461225386</v>
      </c>
      <c r="AJ123" s="126">
        <f t="shared" ca="1" si="18"/>
        <v>321282.44461225386</v>
      </c>
      <c r="AK123" s="126">
        <f ca="1">AK121+AJ123</f>
        <v>322288.19461225386</v>
      </c>
      <c r="AL123" s="126">
        <f ca="1">AL121+AK123</f>
        <v>325499.74351225386</v>
      </c>
      <c r="AM123" s="126">
        <f ca="1">AM121+AL123</f>
        <v>330905.49351225386</v>
      </c>
      <c r="AN123" s="127">
        <f ca="1">AN121+AM123</f>
        <v>348097.17351127893</v>
      </c>
    </row>
    <row r="124" spans="1:44" ht="15.75" thickTop="1" x14ac:dyDescent="0.25">
      <c r="A124" s="273"/>
      <c r="B124" s="273"/>
      <c r="C124" s="273"/>
      <c r="D124" s="273"/>
      <c r="E124" s="273"/>
      <c r="F124" s="273"/>
      <c r="G124" s="273"/>
      <c r="H124" s="273"/>
      <c r="I124" s="109"/>
      <c r="J124" s="129"/>
      <c r="K124" s="129"/>
      <c r="L124" s="129"/>
      <c r="M124" s="129"/>
      <c r="N124" s="129"/>
      <c r="O124" s="129"/>
      <c r="P124" s="128"/>
      <c r="Q124" s="129"/>
      <c r="R124" s="129"/>
      <c r="S124" s="129"/>
      <c r="T124" s="129"/>
      <c r="U124" s="129"/>
      <c r="V124" s="129"/>
      <c r="W124" s="129"/>
      <c r="X124" s="129"/>
      <c r="Y124" s="129"/>
      <c r="Z124" s="129"/>
      <c r="AA124" s="129"/>
      <c r="AB124" s="129"/>
      <c r="AC124" s="129"/>
      <c r="AD124" s="129"/>
      <c r="AE124" s="129"/>
      <c r="AF124" s="129"/>
      <c r="AG124" s="129"/>
      <c r="AH124" s="129"/>
      <c r="AI124" s="129"/>
      <c r="AJ124" s="129"/>
      <c r="AK124" s="129"/>
      <c r="AL124" s="129"/>
      <c r="AM124" s="129"/>
      <c r="AN124" s="129"/>
    </row>
    <row r="125" spans="1:44" s="107" customFormat="1" ht="15" x14ac:dyDescent="0.25">
      <c r="A125" s="325"/>
      <c r="B125" s="325"/>
      <c r="C125" s="325"/>
      <c r="D125" s="325"/>
      <c r="E125" s="325"/>
      <c r="F125" s="325"/>
      <c r="G125" s="325"/>
      <c r="H125" s="325"/>
      <c r="I125" s="153"/>
      <c r="J125" s="129"/>
      <c r="K125" s="129"/>
      <c r="L125" s="129"/>
      <c r="M125" s="129"/>
      <c r="N125" s="129"/>
      <c r="O125" s="129"/>
      <c r="P125" s="129"/>
      <c r="Q125" s="129"/>
      <c r="R125" s="129"/>
      <c r="S125" s="129"/>
      <c r="T125" s="129"/>
      <c r="U125" s="129"/>
      <c r="V125" s="129"/>
      <c r="W125" s="129"/>
      <c r="X125" s="129"/>
      <c r="Y125" s="129"/>
      <c r="Z125" s="129"/>
      <c r="AA125" s="129"/>
      <c r="AB125" s="129"/>
      <c r="AC125" s="129"/>
      <c r="AD125" s="129"/>
      <c r="AE125" s="129"/>
      <c r="AF125" s="129"/>
      <c r="AG125" s="129"/>
      <c r="AH125" s="129"/>
      <c r="AI125" s="129"/>
      <c r="AJ125" s="129"/>
      <c r="AK125" s="129"/>
      <c r="AL125" s="129"/>
      <c r="AM125" s="129"/>
      <c r="AN125" s="129"/>
    </row>
    <row r="126" spans="1:44" ht="15.75" thickBot="1" x14ac:dyDescent="0.3">
      <c r="A126" s="326" t="s">
        <v>28</v>
      </c>
      <c r="B126" s="327"/>
      <c r="C126" s="327"/>
      <c r="D126" s="327"/>
      <c r="E126" s="327"/>
      <c r="F126" s="327"/>
      <c r="G126" s="327"/>
      <c r="H126" s="328"/>
      <c r="I126" s="109"/>
      <c r="J126" s="125"/>
      <c r="K126" s="126"/>
      <c r="L126" s="126"/>
      <c r="M126" s="126"/>
      <c r="N126" s="126"/>
      <c r="O126" s="127"/>
      <c r="P126" s="128"/>
      <c r="Q126" s="125">
        <f t="shared" ref="Q126:AN126" ca="1" si="19">Q123+Q41</f>
        <v>28571.98677700356</v>
      </c>
      <c r="R126" s="126">
        <f t="shared" ca="1" si="19"/>
        <v>44106.046794007118</v>
      </c>
      <c r="S126" s="126">
        <f t="shared" ca="1" si="19"/>
        <v>64960.218431010668</v>
      </c>
      <c r="T126" s="126">
        <f t="shared" ca="1" si="19"/>
        <v>80494.278448014229</v>
      </c>
      <c r="U126" s="126">
        <f t="shared" ca="1" si="19"/>
        <v>98244.814695017791</v>
      </c>
      <c r="V126" s="126">
        <f t="shared" ca="1" si="19"/>
        <v>120812.96461947502</v>
      </c>
      <c r="W126" s="126">
        <f t="shared" ca="1" si="19"/>
        <v>136347.02463647857</v>
      </c>
      <c r="X126" s="126">
        <f t="shared" ca="1" si="19"/>
        <v>151881.08465348213</v>
      </c>
      <c r="Y126" s="126">
        <f t="shared" ca="1" si="19"/>
        <v>167415.14467048569</v>
      </c>
      <c r="Z126" s="126">
        <f t="shared" ca="1" si="19"/>
        <v>207653.8249074893</v>
      </c>
      <c r="AA126" s="126">
        <f t="shared" ca="1" si="19"/>
        <v>313049.45450449293</v>
      </c>
      <c r="AB126" s="127">
        <f t="shared" ca="1" si="19"/>
        <v>376465.38258829655</v>
      </c>
      <c r="AC126" s="126">
        <f t="shared" ca="1" si="19"/>
        <v>389345.84816368367</v>
      </c>
      <c r="AD126" s="126">
        <f t="shared" ca="1" si="19"/>
        <v>402226.31373907084</v>
      </c>
      <c r="AE126" s="126">
        <f t="shared" ca="1" si="19"/>
        <v>440946.09111445805</v>
      </c>
      <c r="AF126" s="126">
        <f t="shared" ca="1" si="19"/>
        <v>453826.55668984517</v>
      </c>
      <c r="AG126" s="126">
        <f t="shared" ca="1" si="19"/>
        <v>466707.02226523234</v>
      </c>
      <c r="AH126" s="126">
        <f t="shared" ca="1" si="19"/>
        <v>493773.57446861954</v>
      </c>
      <c r="AI126" s="126">
        <f t="shared" ca="1" si="19"/>
        <v>506654.04004400666</v>
      </c>
      <c r="AJ126" s="126">
        <f t="shared" ca="1" si="19"/>
        <v>519534.50561939378</v>
      </c>
      <c r="AK126" s="126">
        <f t="shared" ca="1" si="19"/>
        <v>532414.9711947809</v>
      </c>
      <c r="AL126" s="126">
        <f t="shared" ca="1" si="19"/>
        <v>547501.23567016807</v>
      </c>
      <c r="AM126" s="126">
        <f t="shared" ca="1" si="19"/>
        <v>564781.70124555519</v>
      </c>
      <c r="AN126" s="127">
        <f t="shared" ca="1" si="19"/>
        <v>593848.0968199675</v>
      </c>
    </row>
    <row r="127" spans="1:44" ht="15.75" thickTop="1" x14ac:dyDescent="0.25">
      <c r="Q127" s="121"/>
      <c r="R127" s="121"/>
      <c r="S127" s="121"/>
      <c r="T127" s="121"/>
      <c r="U127" s="121"/>
      <c r="V127" s="121"/>
      <c r="W127" s="121"/>
      <c r="X127" s="121"/>
      <c r="Y127" s="121"/>
      <c r="Z127" s="121"/>
      <c r="AA127" s="121"/>
      <c r="AB127" s="121"/>
      <c r="AC127" s="121"/>
      <c r="AD127" s="121"/>
      <c r="AE127" s="121"/>
      <c r="AF127" s="121"/>
      <c r="AG127" s="121"/>
      <c r="AH127" s="121"/>
      <c r="AI127" s="121"/>
      <c r="AJ127" s="121"/>
      <c r="AK127" s="121"/>
      <c r="AL127" s="121"/>
      <c r="AM127" s="121"/>
      <c r="AN127" s="121"/>
    </row>
    <row r="128" spans="1:44" ht="15" x14ac:dyDescent="0.25"/>
    <row r="129" spans="3:44" ht="15" x14ac:dyDescent="0.25">
      <c r="N129" s="264"/>
      <c r="Q129" s="121"/>
    </row>
    <row r="130" spans="3:44" ht="12" customHeight="1" x14ac:dyDescent="0.25">
      <c r="N130" s="220"/>
    </row>
    <row r="131" spans="3:44" ht="14.25" customHeight="1" x14ac:dyDescent="0.25">
      <c r="C131" s="105"/>
      <c r="E131" s="105"/>
      <c r="N131" s="121"/>
      <c r="Q131" s="121"/>
      <c r="AE131" s="121"/>
      <c r="AQ131" s="105"/>
      <c r="AR131" s="105"/>
    </row>
    <row r="132" spans="3:44" ht="14.25" customHeight="1" x14ac:dyDescent="0.25">
      <c r="C132" s="105"/>
      <c r="E132" s="105"/>
      <c r="Q132" s="121"/>
      <c r="AQ132" s="105"/>
      <c r="AR132" s="105"/>
    </row>
    <row r="133" spans="3:44" ht="14.25" customHeight="1" x14ac:dyDescent="0.25">
      <c r="C133" s="105"/>
      <c r="E133" s="105"/>
      <c r="AQ133" s="105"/>
      <c r="AR133" s="105"/>
    </row>
    <row r="134" spans="3:44" ht="14.25" customHeight="1" x14ac:dyDescent="0.25">
      <c r="C134" s="105"/>
      <c r="E134" s="105"/>
      <c r="AQ134" s="105"/>
      <c r="AR134" s="105"/>
    </row>
    <row r="135" spans="3:44" ht="14.25" customHeight="1" x14ac:dyDescent="0.25">
      <c r="C135" s="105"/>
      <c r="E135" s="105"/>
      <c r="AQ135" s="105"/>
      <c r="AR135" s="105"/>
    </row>
    <row r="136" spans="3:44" ht="14.25" customHeight="1" x14ac:dyDescent="0.25">
      <c r="C136" s="105"/>
      <c r="E136" s="105"/>
      <c r="AQ136" s="105"/>
      <c r="AR136" s="105"/>
    </row>
    <row r="137" spans="3:44" ht="14.25" customHeight="1" x14ac:dyDescent="0.25">
      <c r="C137" s="105"/>
      <c r="E137" s="105"/>
      <c r="AQ137" s="105"/>
      <c r="AR137" s="105"/>
    </row>
    <row r="138" spans="3:44" ht="14.25" customHeight="1" x14ac:dyDescent="0.25">
      <c r="C138" s="105"/>
      <c r="E138" s="105"/>
      <c r="AQ138" s="105"/>
      <c r="AR138" s="105"/>
    </row>
    <row r="139" spans="3:44" ht="14.25" customHeight="1" x14ac:dyDescent="0.25">
      <c r="C139" s="105"/>
      <c r="E139" s="105"/>
      <c r="AQ139" s="105"/>
      <c r="AR139" s="105"/>
    </row>
    <row r="140" spans="3:44" ht="14.25" customHeight="1" x14ac:dyDescent="0.25">
      <c r="C140" s="105"/>
      <c r="E140" s="105"/>
      <c r="AQ140" s="105"/>
      <c r="AR140" s="105"/>
    </row>
    <row r="141" spans="3:44" ht="14.25" customHeight="1" x14ac:dyDescent="0.25">
      <c r="C141" s="105"/>
      <c r="E141" s="105"/>
      <c r="AQ141" s="105"/>
      <c r="AR141" s="105"/>
    </row>
    <row r="142" spans="3:44" ht="14.25" customHeight="1" x14ac:dyDescent="0.25">
      <c r="C142" s="105"/>
      <c r="E142" s="105"/>
      <c r="AQ142" s="105"/>
      <c r="AR142" s="105"/>
    </row>
    <row r="143" spans="3:44" ht="14.25" customHeight="1" x14ac:dyDescent="0.25">
      <c r="C143" s="105"/>
      <c r="E143" s="105"/>
      <c r="AQ143" s="105"/>
      <c r="AR143" s="105"/>
    </row>
    <row r="144" spans="3:44" ht="14.25" customHeight="1" x14ac:dyDescent="0.25">
      <c r="C144" s="105"/>
      <c r="E144" s="105"/>
      <c r="AQ144" s="105"/>
      <c r="AR144" s="105"/>
    </row>
    <row r="145" spans="3:44" ht="14.25" customHeight="1" x14ac:dyDescent="0.25">
      <c r="C145" s="105"/>
      <c r="E145" s="105"/>
      <c r="AQ145" s="105"/>
      <c r="AR145" s="105"/>
    </row>
    <row r="146" spans="3:44" ht="14.25" customHeight="1" x14ac:dyDescent="0.25">
      <c r="C146" s="105"/>
      <c r="E146" s="105"/>
      <c r="AQ146" s="105"/>
      <c r="AR146" s="105"/>
    </row>
    <row r="147" spans="3:44" ht="14.25" customHeight="1" x14ac:dyDescent="0.25">
      <c r="C147" s="105"/>
      <c r="E147" s="105"/>
      <c r="AQ147" s="105"/>
      <c r="AR147" s="105"/>
    </row>
    <row r="148" spans="3:44" ht="14.25" customHeight="1" x14ac:dyDescent="0.25">
      <c r="C148" s="105"/>
      <c r="E148" s="105"/>
      <c r="AQ148" s="105"/>
      <c r="AR148" s="105"/>
    </row>
    <row r="149" spans="3:44" ht="14.25" customHeight="1" x14ac:dyDescent="0.25">
      <c r="C149" s="105"/>
      <c r="E149" s="105"/>
      <c r="AQ149" s="105"/>
      <c r="AR149" s="105"/>
    </row>
  </sheetData>
  <autoFilter ref="A8:AR135"/>
  <mergeCells count="6">
    <mergeCell ref="A125:H125"/>
    <mergeCell ref="A126:H126"/>
    <mergeCell ref="A39:H39"/>
    <mergeCell ref="A41:H41"/>
    <mergeCell ref="A121:H121"/>
    <mergeCell ref="A123:H123"/>
  </mergeCells>
  <printOptions horizontalCentered="1"/>
  <pageMargins left="0.25" right="0.25" top="0.75" bottom="0.75" header="0.3" footer="0.3"/>
  <pageSetup scale="39" pageOrder="overThenDown" orientation="landscape" r:id="rId1"/>
  <headerFooter alignWithMargins="0">
    <oddHeader>&amp;RTO10 Draft Annual Update
Attachment 4
WP-Schedule 10 and 16
Page &amp;P of &amp;N</oddHeader>
  </headerFooter>
  <rowBreaks count="1" manualBreakCount="1">
    <brk id="44" max="16383" man="1"/>
  </rowBreaks>
  <colBreaks count="2" manualBreakCount="2">
    <brk id="15" max="1048575" man="1"/>
    <brk id="2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7" tint="0.59999389629810485"/>
  </sheetPr>
  <dimension ref="A1:AQ404"/>
  <sheetViews>
    <sheetView topLeftCell="C1" zoomScale="80" zoomScaleNormal="80" zoomScaleSheetLayoutView="40" zoomScalePageLayoutView="40" workbookViewId="0">
      <selection activeCell="L1" sqref="L1:L1048576"/>
    </sheetView>
  </sheetViews>
  <sheetFormatPr defaultColWidth="9.140625" defaultRowHeight="15" outlineLevelCol="1" x14ac:dyDescent="0.25"/>
  <cols>
    <col min="1" max="1" width="47.42578125" style="169" hidden="1" customWidth="1" outlineLevel="1"/>
    <col min="2" max="2" width="13.85546875" style="170" hidden="1" customWidth="1" outlineLevel="1"/>
    <col min="3" max="3" width="25.7109375" style="173" customWidth="1" collapsed="1"/>
    <col min="4" max="4" width="72" style="172" customWidth="1"/>
    <col min="5" max="5" width="7.42578125" style="173" bestFit="1" customWidth="1"/>
    <col min="6" max="6" width="10.85546875" style="106" customWidth="1"/>
    <col min="7" max="7" width="13.85546875" style="106" bestFit="1" customWidth="1"/>
    <col min="8" max="8" width="21.28515625" style="105" customWidth="1"/>
    <col min="9" max="9" width="11.140625" style="106" customWidth="1"/>
    <col min="10" max="10" width="10.28515625" style="106" customWidth="1"/>
    <col min="11" max="11" width="1.28515625" style="50" customWidth="1"/>
    <col min="12" max="12" width="21.85546875" style="105" customWidth="1"/>
    <col min="13" max="14" width="16.7109375" style="105" bestFit="1" customWidth="1"/>
    <col min="15" max="15" width="20" style="105" bestFit="1" customWidth="1"/>
    <col min="16" max="17" width="27.7109375" style="105" bestFit="1" customWidth="1"/>
    <col min="18" max="18" width="1.28515625" style="173" customWidth="1"/>
    <col min="19" max="20" width="16.7109375" style="106" bestFit="1" customWidth="1"/>
    <col min="21" max="21" width="15.7109375" style="106" bestFit="1" customWidth="1"/>
    <col min="22" max="22" width="17.140625" style="106" bestFit="1" customWidth="1"/>
    <col min="23" max="25" width="15.7109375" style="106" bestFit="1" customWidth="1"/>
    <col min="26" max="26" width="15" style="106" bestFit="1" customWidth="1"/>
    <col min="27" max="27" width="15.7109375" style="106" bestFit="1" customWidth="1"/>
    <col min="28" max="28" width="16.28515625" style="106" bestFit="1" customWidth="1"/>
    <col min="29" max="29" width="14.85546875" style="106" bestFit="1" customWidth="1"/>
    <col min="30" max="32" width="15.7109375" style="106" bestFit="1" customWidth="1"/>
    <col min="33" max="34" width="16.28515625" style="106" bestFit="1" customWidth="1"/>
    <col min="35" max="42" width="17.140625" style="106" bestFit="1" customWidth="1"/>
    <col min="43" max="16384" width="9.140625" style="105"/>
  </cols>
  <sheetData>
    <row r="1" spans="1:42" ht="21" x14ac:dyDescent="0.35">
      <c r="C1" s="171" t="s">
        <v>29</v>
      </c>
    </row>
    <row r="2" spans="1:42" ht="18.75" x14ac:dyDescent="0.3">
      <c r="C2" s="174"/>
    </row>
    <row r="3" spans="1:42" x14ac:dyDescent="0.25">
      <c r="C3" s="175" t="s">
        <v>13</v>
      </c>
      <c r="D3" s="274">
        <v>42005</v>
      </c>
    </row>
    <row r="6" spans="1:42" ht="18.75" x14ac:dyDescent="0.25">
      <c r="C6" s="275" t="s">
        <v>30</v>
      </c>
      <c r="D6" s="276"/>
      <c r="E6" s="276"/>
      <c r="F6" s="277"/>
      <c r="G6" s="277"/>
      <c r="H6" s="277"/>
      <c r="I6" s="277"/>
      <c r="J6" s="277"/>
      <c r="L6" s="48"/>
      <c r="M6" s="48"/>
      <c r="N6" s="48"/>
      <c r="O6" s="48"/>
      <c r="P6" s="48"/>
      <c r="Q6" s="48"/>
    </row>
    <row r="8" spans="1:42" x14ac:dyDescent="0.25">
      <c r="C8" s="176" t="s">
        <v>31</v>
      </c>
    </row>
    <row r="9" spans="1:42" ht="15" customHeight="1" x14ac:dyDescent="0.25">
      <c r="C9" s="225" t="s">
        <v>32</v>
      </c>
      <c r="D9" s="225"/>
      <c r="E9" s="225"/>
      <c r="F9" s="225"/>
      <c r="G9" s="225"/>
      <c r="H9" s="225"/>
      <c r="I9" s="225"/>
      <c r="J9" s="225"/>
    </row>
    <row r="10" spans="1:42" ht="15.75" thickBot="1" x14ac:dyDescent="0.3"/>
    <row r="11" spans="1:42" s="117" customFormat="1" ht="30.75" thickBot="1" x14ac:dyDescent="0.3">
      <c r="A11" s="169" t="s">
        <v>90</v>
      </c>
      <c r="B11" s="170" t="s">
        <v>91</v>
      </c>
      <c r="C11" s="51" t="s">
        <v>15</v>
      </c>
      <c r="D11" s="52" t="s">
        <v>16</v>
      </c>
      <c r="E11" s="53" t="s">
        <v>17</v>
      </c>
      <c r="F11" s="54" t="s">
        <v>18</v>
      </c>
      <c r="G11" s="45" t="s">
        <v>19</v>
      </c>
      <c r="H11" s="45" t="s">
        <v>20</v>
      </c>
      <c r="I11" s="45" t="s">
        <v>21</v>
      </c>
      <c r="J11" s="46" t="s">
        <v>22</v>
      </c>
      <c r="K11" s="55"/>
      <c r="L11" s="44" t="s">
        <v>331</v>
      </c>
      <c r="M11" s="45" t="s">
        <v>256</v>
      </c>
      <c r="N11" s="45" t="s">
        <v>332</v>
      </c>
      <c r="O11" s="45" t="s">
        <v>333</v>
      </c>
      <c r="P11" s="45" t="s">
        <v>257</v>
      </c>
      <c r="Q11" s="46" t="s">
        <v>334</v>
      </c>
      <c r="R11" s="269"/>
      <c r="S11" s="69">
        <f>$D$3</f>
        <v>42005</v>
      </c>
      <c r="T11" s="54">
        <f>DATE(YEAR(S11),MONTH(S11)+1,DAY(S11))</f>
        <v>42036</v>
      </c>
      <c r="U11" s="54">
        <f t="shared" ref="U11:AL11" si="0">DATE(YEAR(T11),MONTH(T11)+1,DAY(T11))</f>
        <v>42064</v>
      </c>
      <c r="V11" s="54">
        <f t="shared" si="0"/>
        <v>42095</v>
      </c>
      <c r="W11" s="54">
        <f t="shared" si="0"/>
        <v>42125</v>
      </c>
      <c r="X11" s="54">
        <f t="shared" si="0"/>
        <v>42156</v>
      </c>
      <c r="Y11" s="54">
        <f t="shared" si="0"/>
        <v>42186</v>
      </c>
      <c r="Z11" s="54">
        <f t="shared" si="0"/>
        <v>42217</v>
      </c>
      <c r="AA11" s="54">
        <f t="shared" si="0"/>
        <v>42248</v>
      </c>
      <c r="AB11" s="54">
        <f t="shared" si="0"/>
        <v>42278</v>
      </c>
      <c r="AC11" s="54">
        <f t="shared" si="0"/>
        <v>42309</v>
      </c>
      <c r="AD11" s="177">
        <f t="shared" si="0"/>
        <v>42339</v>
      </c>
      <c r="AE11" s="54">
        <f>DATE(YEAR(AD11),MONTH(AD11)+1,DAY(AD11))</f>
        <v>42370</v>
      </c>
      <c r="AF11" s="54">
        <f t="shared" si="0"/>
        <v>42401</v>
      </c>
      <c r="AG11" s="54">
        <f t="shared" si="0"/>
        <v>42430</v>
      </c>
      <c r="AH11" s="54">
        <f t="shared" si="0"/>
        <v>42461</v>
      </c>
      <c r="AI11" s="54">
        <f t="shared" si="0"/>
        <v>42491</v>
      </c>
      <c r="AJ11" s="54">
        <f t="shared" si="0"/>
        <v>42522</v>
      </c>
      <c r="AK11" s="54">
        <f t="shared" si="0"/>
        <v>42552</v>
      </c>
      <c r="AL11" s="54">
        <f t="shared" si="0"/>
        <v>42583</v>
      </c>
      <c r="AM11" s="54">
        <f>DATE(YEAR(AL11),MONTH(AL11)+1,DAY(AL11))</f>
        <v>42614</v>
      </c>
      <c r="AN11" s="54">
        <f>DATE(YEAR(AM11),MONTH(AM11)+1,DAY(AM11))</f>
        <v>42644</v>
      </c>
      <c r="AO11" s="54">
        <f>DATE(YEAR(AN11),MONTH(AN11)+1,DAY(AN11))</f>
        <v>42675</v>
      </c>
      <c r="AP11" s="177">
        <f>DATE(YEAR(AO11),MONTH(AO11)+1,DAY(AO11))</f>
        <v>42705</v>
      </c>
    </row>
    <row r="12" spans="1:42" s="183" customFormat="1" x14ac:dyDescent="0.25">
      <c r="A12" s="178" t="str">
        <f>+$C$6</f>
        <v>Devers Colorado River (DCR)</v>
      </c>
      <c r="B12" s="179" t="s">
        <v>33</v>
      </c>
      <c r="C12" s="154" t="s">
        <v>68</v>
      </c>
      <c r="D12" s="57" t="s">
        <v>69</v>
      </c>
      <c r="E12" s="58">
        <v>4847</v>
      </c>
      <c r="F12" s="155" t="s">
        <v>70</v>
      </c>
      <c r="G12" s="59">
        <v>41640</v>
      </c>
      <c r="H12" s="60" t="s">
        <v>264</v>
      </c>
      <c r="I12" s="61">
        <v>0</v>
      </c>
      <c r="J12" s="62">
        <v>1</v>
      </c>
      <c r="K12" s="63"/>
      <c r="L12" s="233">
        <v>0</v>
      </c>
      <c r="M12" s="64">
        <f t="shared" ref="M12:M21" si="1">SUM(S33:AD33)</f>
        <v>0.11478999999999928</v>
      </c>
      <c r="N12" s="64">
        <f t="shared" ref="N12:N21" si="2">SUM(AE33:AP33)</f>
        <v>0</v>
      </c>
      <c r="O12" s="64">
        <f t="shared" ref="O12:O23" si="3">$L12*$J12*(1-$I12)</f>
        <v>0</v>
      </c>
      <c r="P12" s="64">
        <f t="shared" ref="P12:P23" si="4">$M12*$J12*(1-$I12)</f>
        <v>0.11478999999999928</v>
      </c>
      <c r="Q12" s="65">
        <f t="shared" ref="Q12:Q23" si="5">$N12*$J12*(1-$I12)</f>
        <v>0</v>
      </c>
      <c r="R12" s="59"/>
      <c r="S12" s="180">
        <f>IF(OR(RIGHT($H12,3)="RGT",RIGHT($H12,3)="INC"),IF($G12=S$11,SUM($S33:S33)+$O12,IF(S$11&gt;$G12,S33,0)),0)</f>
        <v>3.2523299999999997</v>
      </c>
      <c r="T12" s="181">
        <f>IF(OR(RIGHT($H12,3)="RGT",RIGHT($H12,3)="INC"),IF($G12=T$11,SUM($S33:T33)+$O12,IF(T$11&gt;$G12,T33,0)),0)</f>
        <v>0</v>
      </c>
      <c r="U12" s="181">
        <f>IF(OR(RIGHT($H12,3)="RGT",RIGHT($H12,3)="INC"),IF($G12=U$11,SUM($S33:U33)+$O12,IF(U$11&gt;$G12,U33,0)),0)</f>
        <v>22.862459999999999</v>
      </c>
      <c r="V12" s="181">
        <f>IF(OR(RIGHT($H12,3)="RGT",RIGHT($H12,3)="INC"),IF($G12=V$11,SUM($S33:V33)+$O12,IF(V$11&gt;$G12,V33,0)),0)</f>
        <v>0</v>
      </c>
      <c r="W12" s="181">
        <f>IF(OR(RIGHT($H12,3)="RGT",RIGHT($H12,3)="INC"),IF($G12=W$11,SUM($S33:W33)+$O12,IF(W$11&gt;$G12,W33,0)),0)</f>
        <v>0</v>
      </c>
      <c r="X12" s="181">
        <f>IF(OR(RIGHT($H12,3)="RGT",RIGHT($H12,3)="INC"),IF($G12=X$11,SUM($S33:X33)+$O12,IF(X$11&gt;$G12,X33,0)),0)</f>
        <v>-26</v>
      </c>
      <c r="Y12" s="181">
        <f>IF(OR(RIGHT($H12,3)="RGT",RIGHT($H12,3)="INC"),IF($G12=Y$11,SUM($S33:Y33)+$O12,IF(Y$11&gt;$G12,Y33,0)),0)</f>
        <v>0</v>
      </c>
      <c r="Z12" s="181">
        <f>IF(OR(RIGHT($H12,3)="RGT",RIGHT($H12,3)="INC"),IF($G12=Z$11,SUM($S33:Z33)+$O12,IF(Z$11&gt;$G12,Z33,0)),0)</f>
        <v>0</v>
      </c>
      <c r="AA12" s="181">
        <f>IF(OR(RIGHT($H12,3)="RGT",RIGHT($H12,3)="INC"),IF($G12=AA$11,SUM($S33:AA33)+$O12,IF(AA$11&gt;$G12,AA33,0)),0)</f>
        <v>0</v>
      </c>
      <c r="AB12" s="181">
        <f>IF(OR(RIGHT($H12,3)="RGT",RIGHT($H12,3)="INC"),IF($G12=AB$11,SUM($S33:AB33)+$O12,IF(AB$11&gt;$G12,AB33,0)),0)</f>
        <v>0</v>
      </c>
      <c r="AC12" s="181">
        <f>IF(OR(RIGHT($H12,3)="RGT",RIGHT($H12,3)="INC"),IF($G12=AC$11,SUM($S33:AC33)+$O12,IF(AC$11&gt;$G12,AC33,0)),0)</f>
        <v>0</v>
      </c>
      <c r="AD12" s="182">
        <f>IF(OR(RIGHT($H12,3)="RGT",RIGHT($H12,3)="INC"),IF($G12=AD$11,SUM($S33:AD33)+$O12,IF(AD$11&gt;$G12,AD33,0)),0)</f>
        <v>0</v>
      </c>
      <c r="AE12" s="181">
        <f>IF(OR(RIGHT($H12,3)="RGT",RIGHT($H12,3)="INC"),IF($G12=AE$11,SUM($S33:AE33)+$O12,IF(AE$11&gt;$G12,AE33,0)),0)</f>
        <v>0</v>
      </c>
      <c r="AF12" s="181">
        <f>IF(OR(RIGHT($H12,3)="RGT",RIGHT($H12,3)="INC"),IF($G12=AF$11,SUM($S33:AF33)+$O12,IF(AF$11&gt;$G12,AF33,0)),0)</f>
        <v>0</v>
      </c>
      <c r="AG12" s="181">
        <f>IF(OR(RIGHT($H12,3)="RGT",RIGHT($H12,3)="INC"),IF($G12=AG$11,SUM($S33:AG33)+$O12,IF(AG$11&gt;$G12,AG33,0)),0)</f>
        <v>0</v>
      </c>
      <c r="AH12" s="181">
        <f>IF(OR(RIGHT($H12,3)="RGT",RIGHT($H12,3)="INC"),IF($G12=AH$11,SUM($S33:AH33)+$O12,IF(AH$11&gt;$G12,AH33,0)),0)</f>
        <v>0</v>
      </c>
      <c r="AI12" s="181">
        <f>IF(OR(RIGHT($H12,3)="RGT",RIGHT($H12,3)="INC"),IF($G12=AI$11,SUM($S33:AI33)+$O12,IF(AI$11&gt;$G12,AI33,0)),0)</f>
        <v>0</v>
      </c>
      <c r="AJ12" s="181">
        <f>IF(OR(RIGHT($H12,3)="RGT",RIGHT($H12,3)="INC"),IF($G12=AJ$11,SUM($S33:AJ33)+$O12,IF(AJ$11&gt;$G12,AJ33,0)),0)</f>
        <v>0</v>
      </c>
      <c r="AK12" s="181">
        <f>IF(OR(RIGHT($H12,3)="RGT",RIGHT($H12,3)="INC"),IF($G12=AK$11,SUM($S33:AK33)+$O12,IF(AK$11&gt;$G12,AK33,0)),0)</f>
        <v>0</v>
      </c>
      <c r="AL12" s="181">
        <f>IF(OR(RIGHT($H12,3)="RGT",RIGHT($H12,3)="INC"),IF($G12=AL$11,SUM($S33:AL33)+$O12,IF(AL$11&gt;$G12,AL33,0)),0)</f>
        <v>0</v>
      </c>
      <c r="AM12" s="181">
        <f>IF(OR(RIGHT($H12,3)="RGT",RIGHT($H12,3)="INC"),IF($G12=AM$11,SUM($S33:AM33)+$O12,IF(AM$11&gt;$G12,AM33,0)),0)</f>
        <v>0</v>
      </c>
      <c r="AN12" s="181">
        <f>IF(OR(RIGHT($H12,3)="RGT",RIGHT($H12,3)="INC"),IF($G12=AN$11,SUM($S33:AN33)+$O12,IF(AN$11&gt;$G12,AN33,0)),0)</f>
        <v>0</v>
      </c>
      <c r="AO12" s="181">
        <f>IF(OR(RIGHT($H12,3)="RGT",RIGHT($H12,3)="INC"),IF($G12=AO$11,SUM($S33:AO33)+$O12,IF(AO$11&gt;$G12,AO33,0)),0)</f>
        <v>0</v>
      </c>
      <c r="AP12" s="182">
        <f>IF(OR(RIGHT($H12,3)="RGT",RIGHT($H12,3)="INC"),IF($G12=AP$11,SUM($S33:AP33)+$O12,IF(AP$11&gt;$G12,AP33,0)),0)</f>
        <v>0</v>
      </c>
    </row>
    <row r="13" spans="1:42" s="183" customFormat="1" x14ac:dyDescent="0.25">
      <c r="A13" s="178" t="str">
        <f t="shared" ref="A13:A23" si="6">+$C$6</f>
        <v>Devers Colorado River (DCR)</v>
      </c>
      <c r="B13" s="179" t="s">
        <v>33</v>
      </c>
      <c r="C13" s="154" t="s">
        <v>72</v>
      </c>
      <c r="D13" s="66" t="s">
        <v>73</v>
      </c>
      <c r="E13" s="58">
        <v>4847</v>
      </c>
      <c r="F13" s="155" t="s">
        <v>70</v>
      </c>
      <c r="G13" s="59">
        <v>41426</v>
      </c>
      <c r="H13" s="60" t="s">
        <v>264</v>
      </c>
      <c r="I13" s="61">
        <v>0</v>
      </c>
      <c r="J13" s="62">
        <v>1</v>
      </c>
      <c r="K13" s="63"/>
      <c r="L13" s="122">
        <v>0</v>
      </c>
      <c r="M13" s="64">
        <f t="shared" si="1"/>
        <v>409.07094999999998</v>
      </c>
      <c r="N13" s="64">
        <f t="shared" si="2"/>
        <v>0</v>
      </c>
      <c r="O13" s="64">
        <f t="shared" si="3"/>
        <v>0</v>
      </c>
      <c r="P13" s="64">
        <f t="shared" si="4"/>
        <v>409.07094999999998</v>
      </c>
      <c r="Q13" s="65">
        <f t="shared" si="5"/>
        <v>0</v>
      </c>
      <c r="R13" s="59"/>
      <c r="S13" s="180">
        <f>IF(OR(RIGHT($H13,3)="RGT",RIGHT($H13,3)="INC"),IF($G13=S$11,SUM($S34:S34)+$O13,IF(S$11&gt;$G13,S34,0)),0)</f>
        <v>146.92802</v>
      </c>
      <c r="T13" s="181">
        <f>IF(OR(RIGHT($H13,3)="RGT",RIGHT($H13,3)="INC"),IF($G13=T$11,SUM($S34:T34)+$O13,IF(T$11&gt;$G13,T34,0)),0)</f>
        <v>14.5784</v>
      </c>
      <c r="U13" s="181">
        <f>IF(OR(RIGHT($H13,3)="RGT",RIGHT($H13,3)="INC"),IF($G13=U$11,SUM($S34:U34)+$O13,IF(U$11&gt;$G13,U34,0)),0)</f>
        <v>247.56452999999999</v>
      </c>
      <c r="V13" s="181">
        <f>IF(OR(RIGHT($H13,3)="RGT",RIGHT($H13,3)="INC"),IF($G13=V$11,SUM($S34:V34)+$O13,IF(V$11&gt;$G13,V34,0)),0)</f>
        <v>0</v>
      </c>
      <c r="W13" s="181">
        <f>IF(OR(RIGHT($H13,3)="RGT",RIGHT($H13,3)="INC"),IF($G13=W$11,SUM($S34:W34)+$O13,IF(W$11&gt;$G13,W34,0)),0)</f>
        <v>0</v>
      </c>
      <c r="X13" s="181">
        <f>IF(OR(RIGHT($H13,3)="RGT",RIGHT($H13,3)="INC"),IF($G13=X$11,SUM($S34:X34)+$O13,IF(X$11&gt;$G13,X34,0)),0)</f>
        <v>0</v>
      </c>
      <c r="Y13" s="181">
        <f>IF(OR(RIGHT($H13,3)="RGT",RIGHT($H13,3)="INC"),IF($G13=Y$11,SUM($S34:Y34)+$O13,IF(Y$11&gt;$G13,Y34,0)),0)</f>
        <v>0</v>
      </c>
      <c r="Z13" s="181">
        <f>IF(OR(RIGHT($H13,3)="RGT",RIGHT($H13,3)="INC"),IF($G13=Z$11,SUM($S34:Z34)+$O13,IF(Z$11&gt;$G13,Z34,0)),0)</f>
        <v>0</v>
      </c>
      <c r="AA13" s="181">
        <f>IF(OR(RIGHT($H13,3)="RGT",RIGHT($H13,3)="INC"),IF($G13=AA$11,SUM($S34:AA34)+$O13,IF(AA$11&gt;$G13,AA34,0)),0)</f>
        <v>0</v>
      </c>
      <c r="AB13" s="181">
        <f>IF(OR(RIGHT($H13,3)="RGT",RIGHT($H13,3)="INC"),IF($G13=AB$11,SUM($S34:AB34)+$O13,IF(AB$11&gt;$G13,AB34,0)),0)</f>
        <v>0</v>
      </c>
      <c r="AC13" s="181">
        <f>IF(OR(RIGHT($H13,3)="RGT",RIGHT($H13,3)="INC"),IF($G13=AC$11,SUM($S34:AC34)+$O13,IF(AC$11&gt;$G13,AC34,0)),0)</f>
        <v>0</v>
      </c>
      <c r="AD13" s="182">
        <f>IF(OR(RIGHT($H13,3)="RGT",RIGHT($H13,3)="INC"),IF($G13=AD$11,SUM($S34:AD34)+$O13,IF(AD$11&gt;$G13,AD34,0)),0)</f>
        <v>0</v>
      </c>
      <c r="AE13" s="181">
        <f>IF(OR(RIGHT($H13,3)="RGT",RIGHT($H13,3)="INC"),IF($G13=AE$11,SUM($S34:AE34)+$O13,IF(AE$11&gt;$G13,AE34,0)),0)</f>
        <v>0</v>
      </c>
      <c r="AF13" s="181">
        <f>IF(OR(RIGHT($H13,3)="RGT",RIGHT($H13,3)="INC"),IF($G13=AF$11,SUM($S34:AF34)+$O13,IF(AF$11&gt;$G13,AF34,0)),0)</f>
        <v>0</v>
      </c>
      <c r="AG13" s="181">
        <f>IF(OR(RIGHT($H13,3)="RGT",RIGHT($H13,3)="INC"),IF($G13=AG$11,SUM($S34:AG34)+$O13,IF(AG$11&gt;$G13,AG34,0)),0)</f>
        <v>0</v>
      </c>
      <c r="AH13" s="181">
        <f>IF(OR(RIGHT($H13,3)="RGT",RIGHT($H13,3)="INC"),IF($G13=AH$11,SUM($S34:AH34)+$O13,IF(AH$11&gt;$G13,AH34,0)),0)</f>
        <v>0</v>
      </c>
      <c r="AI13" s="181">
        <f>IF(OR(RIGHT($H13,3)="RGT",RIGHT($H13,3)="INC"),IF($G13=AI$11,SUM($S34:AI34)+$O13,IF(AI$11&gt;$G13,AI34,0)),0)</f>
        <v>0</v>
      </c>
      <c r="AJ13" s="181">
        <f>IF(OR(RIGHT($H13,3)="RGT",RIGHT($H13,3)="INC"),IF($G13=AJ$11,SUM($S34:AJ34)+$O13,IF(AJ$11&gt;$G13,AJ34,0)),0)</f>
        <v>0</v>
      </c>
      <c r="AK13" s="181">
        <f>IF(OR(RIGHT($H13,3)="RGT",RIGHT($H13,3)="INC"),IF($G13=AK$11,SUM($S34:AK34)+$O13,IF(AK$11&gt;$G13,AK34,0)),0)</f>
        <v>0</v>
      </c>
      <c r="AL13" s="181">
        <f>IF(OR(RIGHT($H13,3)="RGT",RIGHT($H13,3)="INC"),IF($G13=AL$11,SUM($S34:AL34)+$O13,IF(AL$11&gt;$G13,AL34,0)),0)</f>
        <v>0</v>
      </c>
      <c r="AM13" s="181">
        <f>IF(OR(RIGHT($H13,3)="RGT",RIGHT($H13,3)="INC"),IF($G13=AM$11,SUM($S34:AM34)+$O13,IF(AM$11&gt;$G13,AM34,0)),0)</f>
        <v>0</v>
      </c>
      <c r="AN13" s="181">
        <f>IF(OR(RIGHT($H13,3)="RGT",RIGHT($H13,3)="INC"),IF($G13=AN$11,SUM($S34:AN34)+$O13,IF(AN$11&gt;$G13,AN34,0)),0)</f>
        <v>0</v>
      </c>
      <c r="AO13" s="181">
        <f>IF(OR(RIGHT($H13,3)="RGT",RIGHT($H13,3)="INC"),IF($G13=AO$11,SUM($S34:AO34)+$O13,IF(AO$11&gt;$G13,AO34,0)),0)</f>
        <v>0</v>
      </c>
      <c r="AP13" s="182">
        <f>IF(OR(RIGHT($H13,3)="RGT",RIGHT($H13,3)="INC"),IF($G13=AP$11,SUM($S34:AP34)+$O13,IF(AP$11&gt;$G13,AP34,0)),0)</f>
        <v>0</v>
      </c>
    </row>
    <row r="14" spans="1:42" s="183" customFormat="1" x14ac:dyDescent="0.25">
      <c r="A14" s="178" t="str">
        <f t="shared" si="6"/>
        <v>Devers Colorado River (DCR)</v>
      </c>
      <c r="B14" s="179" t="s">
        <v>33</v>
      </c>
      <c r="C14" s="154" t="s">
        <v>74</v>
      </c>
      <c r="D14" s="66" t="s">
        <v>75</v>
      </c>
      <c r="E14" s="58">
        <v>4847</v>
      </c>
      <c r="F14" s="155" t="s">
        <v>70</v>
      </c>
      <c r="G14" s="59">
        <v>41518</v>
      </c>
      <c r="H14" s="60" t="s">
        <v>264</v>
      </c>
      <c r="I14" s="61">
        <v>0</v>
      </c>
      <c r="J14" s="62">
        <v>1</v>
      </c>
      <c r="K14" s="63"/>
      <c r="L14" s="122">
        <v>0</v>
      </c>
      <c r="M14" s="64">
        <f t="shared" si="1"/>
        <v>1819.5737300000001</v>
      </c>
      <c r="N14" s="64">
        <f t="shared" si="2"/>
        <v>0</v>
      </c>
      <c r="O14" s="64">
        <f t="shared" si="3"/>
        <v>0</v>
      </c>
      <c r="P14" s="64">
        <f t="shared" si="4"/>
        <v>1819.5737300000001</v>
      </c>
      <c r="Q14" s="65">
        <f t="shared" si="5"/>
        <v>0</v>
      </c>
      <c r="R14" s="59"/>
      <c r="S14" s="180">
        <f>IF(OR(RIGHT($H14,3)="RGT",RIGHT($H14,3)="INC"),IF($G14=S$11,SUM($S35:S35)+$O14,IF(S$11&gt;$G14,S35,0)),0)</f>
        <v>33.875039999999998</v>
      </c>
      <c r="T14" s="181">
        <f>IF(OR(RIGHT($H14,3)="RGT",RIGHT($H14,3)="INC"),IF($G14=T$11,SUM($S35:T35)+$O14,IF(T$11&gt;$G14,T35,0)),0)</f>
        <v>187.62466000000001</v>
      </c>
      <c r="U14" s="181">
        <f>IF(OR(RIGHT($H14,3)="RGT",RIGHT($H14,3)="INC"),IF($G14=U$11,SUM($S35:U35)+$O14,IF(U$11&gt;$G14,U35,0)),0)</f>
        <v>-467.92596999999995</v>
      </c>
      <c r="V14" s="181">
        <f>IF(OR(RIGHT($H14,3)="RGT",RIGHT($H14,3)="INC"),IF($G14=V$11,SUM($S35:V35)+$O14,IF(V$11&gt;$G14,V35,0)),0)</f>
        <v>500</v>
      </c>
      <c r="W14" s="181">
        <f>IF(OR(RIGHT($H14,3)="RGT",RIGHT($H14,3)="INC"),IF($G14=W$11,SUM($S35:W35)+$O14,IF(W$11&gt;$G14,W35,0)),0)</f>
        <v>500</v>
      </c>
      <c r="X14" s="181">
        <f>IF(OR(RIGHT($H14,3)="RGT",RIGHT($H14,3)="INC"),IF($G14=X$11,SUM($S35:X35)+$O14,IF(X$11&gt;$G14,X35,0)),0)</f>
        <v>0</v>
      </c>
      <c r="Y14" s="181">
        <f>IF(OR(RIGHT($H14,3)="RGT",RIGHT($H14,3)="INC"),IF($G14=Y$11,SUM($S35:Y35)+$O14,IF(Y$11&gt;$G14,Y35,0)),0)</f>
        <v>212</v>
      </c>
      <c r="Z14" s="181">
        <f>IF(OR(RIGHT($H14,3)="RGT",RIGHT($H14,3)="INC"),IF($G14=Z$11,SUM($S35:Z35)+$O14,IF(Z$11&gt;$G14,Z35,0)),0)</f>
        <v>212</v>
      </c>
      <c r="AA14" s="181">
        <f>IF(OR(RIGHT($H14,3)="RGT",RIGHT($H14,3)="INC"),IF($G14=AA$11,SUM($S35:AA35)+$O14,IF(AA$11&gt;$G14,AA35,0)),0)</f>
        <v>212</v>
      </c>
      <c r="AB14" s="181">
        <f>IF(OR(RIGHT($H14,3)="RGT",RIGHT($H14,3)="INC"),IF($G14=AB$11,SUM($S35:AB35)+$O14,IF(AB$11&gt;$G14,AB35,0)),0)</f>
        <v>212</v>
      </c>
      <c r="AC14" s="181">
        <f>IF(OR(RIGHT($H14,3)="RGT",RIGHT($H14,3)="INC"),IF($G14=AC$11,SUM($S35:AC35)+$O14,IF(AC$11&gt;$G14,AC35,0)),0)</f>
        <v>218</v>
      </c>
      <c r="AD14" s="182">
        <f>IF(OR(RIGHT($H14,3)="RGT",RIGHT($H14,3)="INC"),IF($G14=AD$11,SUM($S35:AD35)+$O14,IF(AD$11&gt;$G14,AD35,0)),0)</f>
        <v>0</v>
      </c>
      <c r="AE14" s="181">
        <f>IF(OR(RIGHT($H14,3)="RGT",RIGHT($H14,3)="INC"),IF($G14=AE$11,SUM($S35:AE35)+$O14,IF(AE$11&gt;$G14,AE35,0)),0)</f>
        <v>0</v>
      </c>
      <c r="AF14" s="181">
        <f>IF(OR(RIGHT($H14,3)="RGT",RIGHT($H14,3)="INC"),IF($G14=AF$11,SUM($S35:AF35)+$O14,IF(AF$11&gt;$G14,AF35,0)),0)</f>
        <v>0</v>
      </c>
      <c r="AG14" s="181">
        <f>IF(OR(RIGHT($H14,3)="RGT",RIGHT($H14,3)="INC"),IF($G14=AG$11,SUM($S35:AG35)+$O14,IF(AG$11&gt;$G14,AG35,0)),0)</f>
        <v>0</v>
      </c>
      <c r="AH14" s="181">
        <f>IF(OR(RIGHT($H14,3)="RGT",RIGHT($H14,3)="INC"),IF($G14=AH$11,SUM($S35:AH35)+$O14,IF(AH$11&gt;$G14,AH35,0)),0)</f>
        <v>0</v>
      </c>
      <c r="AI14" s="181">
        <f>IF(OR(RIGHT($H14,3)="RGT",RIGHT($H14,3)="INC"),IF($G14=AI$11,SUM($S35:AI35)+$O14,IF(AI$11&gt;$G14,AI35,0)),0)</f>
        <v>0</v>
      </c>
      <c r="AJ14" s="181">
        <f>IF(OR(RIGHT($H14,3)="RGT",RIGHT($H14,3)="INC"),IF($G14=AJ$11,SUM($S35:AJ35)+$O14,IF(AJ$11&gt;$G14,AJ35,0)),0)</f>
        <v>0</v>
      </c>
      <c r="AK14" s="181">
        <f>IF(OR(RIGHT($H14,3)="RGT",RIGHT($H14,3)="INC"),IF($G14=AK$11,SUM($S35:AK35)+$O14,IF(AK$11&gt;$G14,AK35,0)),0)</f>
        <v>0</v>
      </c>
      <c r="AL14" s="181">
        <f>IF(OR(RIGHT($H14,3)="RGT",RIGHT($H14,3)="INC"),IF($G14=AL$11,SUM($S35:AL35)+$O14,IF(AL$11&gt;$G14,AL35,0)),0)</f>
        <v>0</v>
      </c>
      <c r="AM14" s="181">
        <f>IF(OR(RIGHT($H14,3)="RGT",RIGHT($H14,3)="INC"),IF($G14=AM$11,SUM($S35:AM35)+$O14,IF(AM$11&gt;$G14,AM35,0)),0)</f>
        <v>0</v>
      </c>
      <c r="AN14" s="181">
        <f>IF(OR(RIGHT($H14,3)="RGT",RIGHT($H14,3)="INC"),IF($G14=AN$11,SUM($S35:AN35)+$O14,IF(AN$11&gt;$G14,AN35,0)),0)</f>
        <v>0</v>
      </c>
      <c r="AO14" s="181">
        <f>IF(OR(RIGHT($H14,3)="RGT",RIGHT($H14,3)="INC"),IF($G14=AO$11,SUM($S35:AO35)+$O14,IF(AO$11&gt;$G14,AO35,0)),0)</f>
        <v>0</v>
      </c>
      <c r="AP14" s="182">
        <f>IF(OR(RIGHT($H14,3)="RGT",RIGHT($H14,3)="INC"),IF($G14=AP$11,SUM($S35:AP35)+$O14,IF(AP$11&gt;$G14,AP35,0)),0)</f>
        <v>0</v>
      </c>
    </row>
    <row r="15" spans="1:42" s="183" customFormat="1" x14ac:dyDescent="0.25">
      <c r="A15" s="178" t="str">
        <f t="shared" si="6"/>
        <v>Devers Colorado River (DCR)</v>
      </c>
      <c r="B15" s="179" t="s">
        <v>33</v>
      </c>
      <c r="C15" s="154" t="s">
        <v>76</v>
      </c>
      <c r="D15" s="66" t="s">
        <v>77</v>
      </c>
      <c r="E15" s="58">
        <v>4847</v>
      </c>
      <c r="F15" s="155" t="s">
        <v>70</v>
      </c>
      <c r="G15" s="59">
        <v>41395</v>
      </c>
      <c r="H15" s="60" t="s">
        <v>288</v>
      </c>
      <c r="I15" s="61">
        <v>0</v>
      </c>
      <c r="J15" s="62">
        <v>1</v>
      </c>
      <c r="K15" s="63"/>
      <c r="L15" s="122">
        <v>0</v>
      </c>
      <c r="M15" s="64">
        <f t="shared" si="1"/>
        <v>0</v>
      </c>
      <c r="N15" s="64">
        <f t="shared" si="2"/>
        <v>0</v>
      </c>
      <c r="O15" s="64">
        <f t="shared" si="3"/>
        <v>0</v>
      </c>
      <c r="P15" s="64">
        <f t="shared" si="4"/>
        <v>0</v>
      </c>
      <c r="Q15" s="65">
        <f t="shared" si="5"/>
        <v>0</v>
      </c>
      <c r="R15" s="59"/>
      <c r="S15" s="180">
        <f>IF(OR(RIGHT($H15,3)="RGT",RIGHT($H15,3)="INC"),IF($G15=S$11,SUM($S36:S36)+$O15,IF(S$11&gt;$G15,S36,0)),0)</f>
        <v>0</v>
      </c>
      <c r="T15" s="181">
        <f>IF(OR(RIGHT($H15,3)="RGT",RIGHT($H15,3)="INC"),IF($G15=T$11,SUM($S36:T36)+$O15,IF(T$11&gt;$G15,T36,0)),0)</f>
        <v>0</v>
      </c>
      <c r="U15" s="181">
        <f>IF(OR(RIGHT($H15,3)="RGT",RIGHT($H15,3)="INC"),IF($G15=U$11,SUM($S36:U36)+$O15,IF(U$11&gt;$G15,U36,0)),0)</f>
        <v>0</v>
      </c>
      <c r="V15" s="181">
        <f>IF(OR(RIGHT($H15,3)="RGT",RIGHT($H15,3)="INC"),IF($G15=V$11,SUM($S36:V36)+$O15,IF(V$11&gt;$G15,V36,0)),0)</f>
        <v>0</v>
      </c>
      <c r="W15" s="181">
        <f>IF(OR(RIGHT($H15,3)="RGT",RIGHT($H15,3)="INC"),IF($G15=W$11,SUM($S36:W36)+$O15,IF(W$11&gt;$G15,W36,0)),0)</f>
        <v>0</v>
      </c>
      <c r="X15" s="181">
        <f>IF(OR(RIGHT($H15,3)="RGT",RIGHT($H15,3)="INC"),IF($G15=X$11,SUM($S36:X36)+$O15,IF(X$11&gt;$G15,X36,0)),0)</f>
        <v>0</v>
      </c>
      <c r="Y15" s="181">
        <f>IF(OR(RIGHT($H15,3)="RGT",RIGHT($H15,3)="INC"),IF($G15=Y$11,SUM($S36:Y36)+$O15,IF(Y$11&gt;$G15,Y36,0)),0)</f>
        <v>0</v>
      </c>
      <c r="Z15" s="181">
        <f>IF(OR(RIGHT($H15,3)="RGT",RIGHT($H15,3)="INC"),IF($G15=Z$11,SUM($S36:Z36)+$O15,IF(Z$11&gt;$G15,Z36,0)),0)</f>
        <v>0</v>
      </c>
      <c r="AA15" s="181">
        <f>IF(OR(RIGHT($H15,3)="RGT",RIGHT($H15,3)="INC"),IF($G15=AA$11,SUM($S36:AA36)+$O15,IF(AA$11&gt;$G15,AA36,0)),0)</f>
        <v>0</v>
      </c>
      <c r="AB15" s="181">
        <f>IF(OR(RIGHT($H15,3)="RGT",RIGHT($H15,3)="INC"),IF($G15=AB$11,SUM($S36:AB36)+$O15,IF(AB$11&gt;$G15,AB36,0)),0)</f>
        <v>0</v>
      </c>
      <c r="AC15" s="181">
        <f>IF(OR(RIGHT($H15,3)="RGT",RIGHT($H15,3)="INC"),IF($G15=AC$11,SUM($S36:AC36)+$O15,IF(AC$11&gt;$G15,AC36,0)),0)</f>
        <v>0</v>
      </c>
      <c r="AD15" s="182">
        <f>IF(OR(RIGHT($H15,3)="RGT",RIGHT($H15,3)="INC"),IF($G15=AD$11,SUM($S36:AD36)+$O15,IF(AD$11&gt;$G15,AD36,0)),0)</f>
        <v>0</v>
      </c>
      <c r="AE15" s="181">
        <f>IF(OR(RIGHT($H15,3)="RGT",RIGHT($H15,3)="INC"),IF($G15=AE$11,SUM($S36:AE36)+$O15,IF(AE$11&gt;$G15,AE36,0)),0)</f>
        <v>0</v>
      </c>
      <c r="AF15" s="181">
        <f>IF(OR(RIGHT($H15,3)="RGT",RIGHT($H15,3)="INC"),IF($G15=AF$11,SUM($S36:AF36)+$O15,IF(AF$11&gt;$G15,AF36,0)),0)</f>
        <v>0</v>
      </c>
      <c r="AG15" s="181">
        <f>IF(OR(RIGHT($H15,3)="RGT",RIGHT($H15,3)="INC"),IF($G15=AG$11,SUM($S36:AG36)+$O15,IF(AG$11&gt;$G15,AG36,0)),0)</f>
        <v>0</v>
      </c>
      <c r="AH15" s="181">
        <f>IF(OR(RIGHT($H15,3)="RGT",RIGHT($H15,3)="INC"),IF($G15=AH$11,SUM($S36:AH36)+$O15,IF(AH$11&gt;$G15,AH36,0)),0)</f>
        <v>0</v>
      </c>
      <c r="AI15" s="181">
        <f>IF(OR(RIGHT($H15,3)="RGT",RIGHT($H15,3)="INC"),IF($G15=AI$11,SUM($S36:AI36)+$O15,IF(AI$11&gt;$G15,AI36,0)),0)</f>
        <v>0</v>
      </c>
      <c r="AJ15" s="181">
        <f>IF(OR(RIGHT($H15,3)="RGT",RIGHT($H15,3)="INC"),IF($G15=AJ$11,SUM($S36:AJ36)+$O15,IF(AJ$11&gt;$G15,AJ36,0)),0)</f>
        <v>0</v>
      </c>
      <c r="AK15" s="181">
        <f>IF(OR(RIGHT($H15,3)="RGT",RIGHT($H15,3)="INC"),IF($G15=AK$11,SUM($S36:AK36)+$O15,IF(AK$11&gt;$G15,AK36,0)),0)</f>
        <v>0</v>
      </c>
      <c r="AL15" s="181">
        <f>IF(OR(RIGHT($H15,3)="RGT",RIGHT($H15,3)="INC"),IF($G15=AL$11,SUM($S36:AL36)+$O15,IF(AL$11&gt;$G15,AL36,0)),0)</f>
        <v>0</v>
      </c>
      <c r="AM15" s="181">
        <f>IF(OR(RIGHT($H15,3)="RGT",RIGHT($H15,3)="INC"),IF($G15=AM$11,SUM($S36:AM36)+$O15,IF(AM$11&gt;$G15,AM36,0)),0)</f>
        <v>0</v>
      </c>
      <c r="AN15" s="181">
        <f>IF(OR(RIGHT($H15,3)="RGT",RIGHT($H15,3)="INC"),IF($G15=AN$11,SUM($S36:AN36)+$O15,IF(AN$11&gt;$G15,AN36,0)),0)</f>
        <v>0</v>
      </c>
      <c r="AO15" s="181">
        <f>IF(OR(RIGHT($H15,3)="RGT",RIGHT($H15,3)="INC"),IF($G15=AO$11,SUM($S36:AO36)+$O15,IF(AO$11&gt;$G15,AO36,0)),0)</f>
        <v>0</v>
      </c>
      <c r="AP15" s="182">
        <f>IF(OR(RIGHT($H15,3)="RGT",RIGHT($H15,3)="INC"),IF($G15=AP$11,SUM($S36:AP36)+$O15,IF(AP$11&gt;$G15,AP36,0)),0)</f>
        <v>0</v>
      </c>
    </row>
    <row r="16" spans="1:42" s="183" customFormat="1" x14ac:dyDescent="0.25">
      <c r="A16" s="178" t="str">
        <f t="shared" si="6"/>
        <v>Devers Colorado River (DCR)</v>
      </c>
      <c r="B16" s="179" t="s">
        <v>33</v>
      </c>
      <c r="C16" s="154" t="s">
        <v>79</v>
      </c>
      <c r="D16" s="66" t="s">
        <v>80</v>
      </c>
      <c r="E16" s="58">
        <v>4847</v>
      </c>
      <c r="F16" s="155" t="s">
        <v>70</v>
      </c>
      <c r="G16" s="59">
        <v>41609</v>
      </c>
      <c r="H16" s="60" t="s">
        <v>288</v>
      </c>
      <c r="I16" s="61">
        <v>0</v>
      </c>
      <c r="J16" s="62">
        <v>1</v>
      </c>
      <c r="K16" s="63"/>
      <c r="L16" s="122">
        <v>0</v>
      </c>
      <c r="M16" s="64">
        <f t="shared" si="1"/>
        <v>9.3815999999999988</v>
      </c>
      <c r="N16" s="64">
        <f t="shared" si="2"/>
        <v>0</v>
      </c>
      <c r="O16" s="64">
        <f t="shared" si="3"/>
        <v>0</v>
      </c>
      <c r="P16" s="64">
        <f t="shared" si="4"/>
        <v>9.3815999999999988</v>
      </c>
      <c r="Q16" s="65">
        <f t="shared" si="5"/>
        <v>0</v>
      </c>
      <c r="R16" s="59"/>
      <c r="S16" s="180">
        <f>IF(OR(RIGHT($H16,3)="RGT",RIGHT($H16,3)="INC"),IF($G16=S$11,SUM($S37:S37)+$O16,IF(S$11&gt;$G16,S37,0)),0)</f>
        <v>3.6684899999999998</v>
      </c>
      <c r="T16" s="181">
        <f>IF(OR(RIGHT($H16,3)="RGT",RIGHT($H16,3)="INC"),IF($G16=T$11,SUM($S37:T37)+$O16,IF(T$11&gt;$G16,T37,0)),0)</f>
        <v>2.7950300000000001</v>
      </c>
      <c r="U16" s="181">
        <f>IF(OR(RIGHT($H16,3)="RGT",RIGHT($H16,3)="INC"),IF($G16=U$11,SUM($S37:U37)+$O16,IF(U$11&gt;$G16,U37,0)),0)</f>
        <v>2.9180799999999998</v>
      </c>
      <c r="V16" s="181">
        <f>IF(OR(RIGHT($H16,3)="RGT",RIGHT($H16,3)="INC"),IF($G16=V$11,SUM($S37:V37)+$O16,IF(V$11&gt;$G16,V37,0)),0)</f>
        <v>0</v>
      </c>
      <c r="W16" s="181">
        <f>IF(OR(RIGHT($H16,3)="RGT",RIGHT($H16,3)="INC"),IF($G16=W$11,SUM($S37:W37)+$O16,IF(W$11&gt;$G16,W37,0)),0)</f>
        <v>0</v>
      </c>
      <c r="X16" s="181">
        <f>IF(OR(RIGHT($H16,3)="RGT",RIGHT($H16,3)="INC"),IF($G16=X$11,SUM($S37:X37)+$O16,IF(X$11&gt;$G16,X37,0)),0)</f>
        <v>0</v>
      </c>
      <c r="Y16" s="181">
        <f>IF(OR(RIGHT($H16,3)="RGT",RIGHT($H16,3)="INC"),IF($G16=Y$11,SUM($S37:Y37)+$O16,IF(Y$11&gt;$G16,Y37,0)),0)</f>
        <v>0</v>
      </c>
      <c r="Z16" s="181">
        <f>IF(OR(RIGHT($H16,3)="RGT",RIGHT($H16,3)="INC"),IF($G16=Z$11,SUM($S37:Z37)+$O16,IF(Z$11&gt;$G16,Z37,0)),0)</f>
        <v>0</v>
      </c>
      <c r="AA16" s="181">
        <f>IF(OR(RIGHT($H16,3)="RGT",RIGHT($H16,3)="INC"),IF($G16=AA$11,SUM($S37:AA37)+$O16,IF(AA$11&gt;$G16,AA37,0)),0)</f>
        <v>0</v>
      </c>
      <c r="AB16" s="181">
        <f>IF(OR(RIGHT($H16,3)="RGT",RIGHT($H16,3)="INC"),IF($G16=AB$11,SUM($S37:AB37)+$O16,IF(AB$11&gt;$G16,AB37,0)),0)</f>
        <v>0</v>
      </c>
      <c r="AC16" s="181">
        <f>IF(OR(RIGHT($H16,3)="RGT",RIGHT($H16,3)="INC"),IF($G16=AC$11,SUM($S37:AC37)+$O16,IF(AC$11&gt;$G16,AC37,0)),0)</f>
        <v>0</v>
      </c>
      <c r="AD16" s="182">
        <f>IF(OR(RIGHT($H16,3)="RGT",RIGHT($H16,3)="INC"),IF($G16=AD$11,SUM($S37:AD37)+$O16,IF(AD$11&gt;$G16,AD37,0)),0)</f>
        <v>0</v>
      </c>
      <c r="AE16" s="181">
        <f>IF(OR(RIGHT($H16,3)="RGT",RIGHT($H16,3)="INC"),IF($G16=AE$11,SUM($S37:AE37)+$O16,IF(AE$11&gt;$G16,AE37,0)),0)</f>
        <v>0</v>
      </c>
      <c r="AF16" s="181">
        <f>IF(OR(RIGHT($H16,3)="RGT",RIGHT($H16,3)="INC"),IF($G16=AF$11,SUM($S37:AF37)+$O16,IF(AF$11&gt;$G16,AF37,0)),0)</f>
        <v>0</v>
      </c>
      <c r="AG16" s="181">
        <f>IF(OR(RIGHT($H16,3)="RGT",RIGHT($H16,3)="INC"),IF($G16=AG$11,SUM($S37:AG37)+$O16,IF(AG$11&gt;$G16,AG37,0)),0)</f>
        <v>0</v>
      </c>
      <c r="AH16" s="181">
        <f>IF(OR(RIGHT($H16,3)="RGT",RIGHT($H16,3)="INC"),IF($G16=AH$11,SUM($S37:AH37)+$O16,IF(AH$11&gt;$G16,AH37,0)),0)</f>
        <v>0</v>
      </c>
      <c r="AI16" s="181">
        <f>IF(OR(RIGHT($H16,3)="RGT",RIGHT($H16,3)="INC"),IF($G16=AI$11,SUM($S37:AI37)+$O16,IF(AI$11&gt;$G16,AI37,0)),0)</f>
        <v>0</v>
      </c>
      <c r="AJ16" s="181">
        <f>IF(OR(RIGHT($H16,3)="RGT",RIGHT($H16,3)="INC"),IF($G16=AJ$11,SUM($S37:AJ37)+$O16,IF(AJ$11&gt;$G16,AJ37,0)),0)</f>
        <v>0</v>
      </c>
      <c r="AK16" s="181">
        <f>IF(OR(RIGHT($H16,3)="RGT",RIGHT($H16,3)="INC"),IF($G16=AK$11,SUM($S37:AK37)+$O16,IF(AK$11&gt;$G16,AK37,0)),0)</f>
        <v>0</v>
      </c>
      <c r="AL16" s="181">
        <f>IF(OR(RIGHT($H16,3)="RGT",RIGHT($H16,3)="INC"),IF($G16=AL$11,SUM($S37:AL37)+$O16,IF(AL$11&gt;$G16,AL37,0)),0)</f>
        <v>0</v>
      </c>
      <c r="AM16" s="181">
        <f>IF(OR(RIGHT($H16,3)="RGT",RIGHT($H16,3)="INC"),IF($G16=AM$11,SUM($S37:AM37)+$O16,IF(AM$11&gt;$G16,AM37,0)),0)</f>
        <v>0</v>
      </c>
      <c r="AN16" s="181">
        <f>IF(OR(RIGHT($H16,3)="RGT",RIGHT($H16,3)="INC"),IF($G16=AN$11,SUM($S37:AN37)+$O16,IF(AN$11&gt;$G16,AN37,0)),0)</f>
        <v>0</v>
      </c>
      <c r="AO16" s="181">
        <f>IF(OR(RIGHT($H16,3)="RGT",RIGHT($H16,3)="INC"),IF($G16=AO$11,SUM($S37:AO37)+$O16,IF(AO$11&gt;$G16,AO37,0)),0)</f>
        <v>0</v>
      </c>
      <c r="AP16" s="182">
        <f>IF(OR(RIGHT($H16,3)="RGT",RIGHT($H16,3)="INC"),IF($G16=AP$11,SUM($S37:AP37)+$O16,IF(AP$11&gt;$G16,AP37,0)),0)</f>
        <v>0</v>
      </c>
    </row>
    <row r="17" spans="1:43" s="183" customFormat="1" x14ac:dyDescent="0.25">
      <c r="A17" s="178" t="str">
        <f t="shared" si="6"/>
        <v>Devers Colorado River (DCR)</v>
      </c>
      <c r="B17" s="179" t="s">
        <v>33</v>
      </c>
      <c r="C17" s="154" t="s">
        <v>81</v>
      </c>
      <c r="D17" s="66" t="s">
        <v>82</v>
      </c>
      <c r="E17" s="58">
        <v>4847</v>
      </c>
      <c r="F17" s="155" t="s">
        <v>70</v>
      </c>
      <c r="G17" s="59">
        <v>41518</v>
      </c>
      <c r="H17" s="60" t="s">
        <v>288</v>
      </c>
      <c r="I17" s="61">
        <v>0</v>
      </c>
      <c r="J17" s="62">
        <v>1</v>
      </c>
      <c r="K17" s="63"/>
      <c r="L17" s="122">
        <v>0</v>
      </c>
      <c r="M17" s="64">
        <f t="shared" si="1"/>
        <v>23.79027</v>
      </c>
      <c r="N17" s="64">
        <f t="shared" si="2"/>
        <v>0</v>
      </c>
      <c r="O17" s="64">
        <f t="shared" si="3"/>
        <v>0</v>
      </c>
      <c r="P17" s="64">
        <f t="shared" si="4"/>
        <v>23.79027</v>
      </c>
      <c r="Q17" s="65">
        <f t="shared" si="5"/>
        <v>0</v>
      </c>
      <c r="R17" s="59"/>
      <c r="S17" s="180">
        <f>IF(OR(RIGHT($H17,3)="RGT",RIGHT($H17,3)="INC"),IF($G17=S$11,SUM($S38:S38)+$O17,IF(S$11&gt;$G17,S38,0)),0)</f>
        <v>2.8633899999999999</v>
      </c>
      <c r="T17" s="181">
        <f>IF(OR(RIGHT($H17,3)="RGT",RIGHT($H17,3)="INC"),IF($G17=T$11,SUM($S38:T38)+$O17,IF(T$11&gt;$G17,T38,0)),0)</f>
        <v>2.4691100000000001</v>
      </c>
      <c r="U17" s="181">
        <f>IF(OR(RIGHT($H17,3)="RGT",RIGHT($H17,3)="INC"),IF($G17=U$11,SUM($S38:U38)+$O17,IF(U$11&gt;$G17,U38,0)),0)</f>
        <v>18.45777</v>
      </c>
      <c r="V17" s="181">
        <f>IF(OR(RIGHT($H17,3)="RGT",RIGHT($H17,3)="INC"),IF($G17=V$11,SUM($S38:V38)+$O17,IF(V$11&gt;$G17,V38,0)),0)</f>
        <v>0</v>
      </c>
      <c r="W17" s="181">
        <f>IF(OR(RIGHT($H17,3)="RGT",RIGHT($H17,3)="INC"),IF($G17=W$11,SUM($S38:W38)+$O17,IF(W$11&gt;$G17,W38,0)),0)</f>
        <v>0</v>
      </c>
      <c r="X17" s="181">
        <f>IF(OR(RIGHT($H17,3)="RGT",RIGHT($H17,3)="INC"),IF($G17=X$11,SUM($S38:X38)+$O17,IF(X$11&gt;$G17,X38,0)),0)</f>
        <v>0</v>
      </c>
      <c r="Y17" s="181">
        <f>IF(OR(RIGHT($H17,3)="RGT",RIGHT($H17,3)="INC"),IF($G17=Y$11,SUM($S38:Y38)+$O17,IF(Y$11&gt;$G17,Y38,0)),0)</f>
        <v>0</v>
      </c>
      <c r="Z17" s="181">
        <f>IF(OR(RIGHT($H17,3)="RGT",RIGHT($H17,3)="INC"),IF($G17=Z$11,SUM($S38:Z38)+$O17,IF(Z$11&gt;$G17,Z38,0)),0)</f>
        <v>0</v>
      </c>
      <c r="AA17" s="181">
        <f>IF(OR(RIGHT($H17,3)="RGT",RIGHT($H17,3)="INC"),IF($G17=AA$11,SUM($S38:AA38)+$O17,IF(AA$11&gt;$G17,AA38,0)),0)</f>
        <v>0</v>
      </c>
      <c r="AB17" s="181">
        <f>IF(OR(RIGHT($H17,3)="RGT",RIGHT($H17,3)="INC"),IF($G17=AB$11,SUM($S38:AB38)+$O17,IF(AB$11&gt;$G17,AB38,0)),0)</f>
        <v>0</v>
      </c>
      <c r="AC17" s="181">
        <f>IF(OR(RIGHT($H17,3)="RGT",RIGHT($H17,3)="INC"),IF($G17=AC$11,SUM($S38:AC38)+$O17,IF(AC$11&gt;$G17,AC38,0)),0)</f>
        <v>0</v>
      </c>
      <c r="AD17" s="182">
        <f>IF(OR(RIGHT($H17,3)="RGT",RIGHT($H17,3)="INC"),IF($G17=AD$11,SUM($S38:AD38)+$O17,IF(AD$11&gt;$G17,AD38,0)),0)</f>
        <v>0</v>
      </c>
      <c r="AE17" s="181">
        <f>IF(OR(RIGHT($H17,3)="RGT",RIGHT($H17,3)="INC"),IF($G17=AE$11,SUM($S38:AE38)+$O17,IF(AE$11&gt;$G17,AE38,0)),0)</f>
        <v>0</v>
      </c>
      <c r="AF17" s="181">
        <f>IF(OR(RIGHT($H17,3)="RGT",RIGHT($H17,3)="INC"),IF($G17=AF$11,SUM($S38:AF38)+$O17,IF(AF$11&gt;$G17,AF38,0)),0)</f>
        <v>0</v>
      </c>
      <c r="AG17" s="181">
        <f>IF(OR(RIGHT($H17,3)="RGT",RIGHT($H17,3)="INC"),IF($G17=AG$11,SUM($S38:AG38)+$O17,IF(AG$11&gt;$G17,AG38,0)),0)</f>
        <v>0</v>
      </c>
      <c r="AH17" s="181">
        <f>IF(OR(RIGHT($H17,3)="RGT",RIGHT($H17,3)="INC"),IF($G17=AH$11,SUM($S38:AH38)+$O17,IF(AH$11&gt;$G17,AH38,0)),0)</f>
        <v>0</v>
      </c>
      <c r="AI17" s="181">
        <f>IF(OR(RIGHT($H17,3)="RGT",RIGHT($H17,3)="INC"),IF($G17=AI$11,SUM($S38:AI38)+$O17,IF(AI$11&gt;$G17,AI38,0)),0)</f>
        <v>0</v>
      </c>
      <c r="AJ17" s="181">
        <f>IF(OR(RIGHT($H17,3)="RGT",RIGHT($H17,3)="INC"),IF($G17=AJ$11,SUM($S38:AJ38)+$O17,IF(AJ$11&gt;$G17,AJ38,0)),0)</f>
        <v>0</v>
      </c>
      <c r="AK17" s="181">
        <f>IF(OR(RIGHT($H17,3)="RGT",RIGHT($H17,3)="INC"),IF($G17=AK$11,SUM($S38:AK38)+$O17,IF(AK$11&gt;$G17,AK38,0)),0)</f>
        <v>0</v>
      </c>
      <c r="AL17" s="181">
        <f>IF(OR(RIGHT($H17,3)="RGT",RIGHT($H17,3)="INC"),IF($G17=AL$11,SUM($S38:AL38)+$O17,IF(AL$11&gt;$G17,AL38,0)),0)</f>
        <v>0</v>
      </c>
      <c r="AM17" s="181">
        <f>IF(OR(RIGHT($H17,3)="RGT",RIGHT($H17,3)="INC"),IF($G17=AM$11,SUM($S38:AM38)+$O17,IF(AM$11&gt;$G17,AM38,0)),0)</f>
        <v>0</v>
      </c>
      <c r="AN17" s="181">
        <f>IF(OR(RIGHT($H17,3)="RGT",RIGHT($H17,3)="INC"),IF($G17=AN$11,SUM($S38:AN38)+$O17,IF(AN$11&gt;$G17,AN38,0)),0)</f>
        <v>0</v>
      </c>
      <c r="AO17" s="181">
        <f>IF(OR(RIGHT($H17,3)="RGT",RIGHT($H17,3)="INC"),IF($G17=AO$11,SUM($S38:AO38)+$O17,IF(AO$11&gt;$G17,AO38,0)),0)</f>
        <v>0</v>
      </c>
      <c r="AP17" s="182">
        <f>IF(OR(RIGHT($H17,3)="RGT",RIGHT($H17,3)="INC"),IF($G17=AP$11,SUM($S38:AP38)+$O17,IF(AP$11&gt;$G17,AP38,0)),0)</f>
        <v>0</v>
      </c>
    </row>
    <row r="18" spans="1:43" s="183" customFormat="1" x14ac:dyDescent="0.25">
      <c r="A18" s="178" t="str">
        <f t="shared" si="6"/>
        <v>Devers Colorado River (DCR)</v>
      </c>
      <c r="B18" s="179" t="s">
        <v>33</v>
      </c>
      <c r="C18" s="154" t="s">
        <v>72</v>
      </c>
      <c r="D18" s="66" t="s">
        <v>83</v>
      </c>
      <c r="E18" s="58">
        <v>4847</v>
      </c>
      <c r="F18" s="155" t="s">
        <v>70</v>
      </c>
      <c r="G18" s="59">
        <v>41609</v>
      </c>
      <c r="H18" s="60" t="s">
        <v>264</v>
      </c>
      <c r="I18" s="61">
        <v>0</v>
      </c>
      <c r="J18" s="62">
        <v>1</v>
      </c>
      <c r="K18" s="63"/>
      <c r="L18" s="122">
        <v>0</v>
      </c>
      <c r="M18" s="64">
        <f t="shared" si="1"/>
        <v>8.3638899999999996</v>
      </c>
      <c r="N18" s="64">
        <f t="shared" si="2"/>
        <v>0</v>
      </c>
      <c r="O18" s="64">
        <f t="shared" si="3"/>
        <v>0</v>
      </c>
      <c r="P18" s="64">
        <f t="shared" si="4"/>
        <v>8.3638899999999996</v>
      </c>
      <c r="Q18" s="65">
        <f t="shared" si="5"/>
        <v>0</v>
      </c>
      <c r="R18" s="59"/>
      <c r="S18" s="180">
        <f>IF(OR(RIGHT($H18,3)="RGT",RIGHT($H18,3)="INC"),IF($G18=S$11,SUM($S39:S39)+$O18,IF(S$11&gt;$G18,S39,0)),0)</f>
        <v>1.6625699999999999</v>
      </c>
      <c r="T18" s="181">
        <f>IF(OR(RIGHT($H18,3)="RGT",RIGHT($H18,3)="INC"),IF($G18=T$11,SUM($S39:T39)+$O18,IF(T$11&gt;$G18,T39,0)),0)</f>
        <v>5.0520500000000004</v>
      </c>
      <c r="U18" s="181">
        <f>IF(OR(RIGHT($H18,3)="RGT",RIGHT($H18,3)="INC"),IF($G18=U$11,SUM($S39:U39)+$O18,IF(U$11&gt;$G18,U39,0)),0)</f>
        <v>1.64927</v>
      </c>
      <c r="V18" s="181">
        <f>IF(OR(RIGHT($H18,3)="RGT",RIGHT($H18,3)="INC"),IF($G18=V$11,SUM($S39:V39)+$O18,IF(V$11&gt;$G18,V39,0)),0)</f>
        <v>0</v>
      </c>
      <c r="W18" s="181">
        <f>IF(OR(RIGHT($H18,3)="RGT",RIGHT($H18,3)="INC"),IF($G18=W$11,SUM($S39:W39)+$O18,IF(W$11&gt;$G18,W39,0)),0)</f>
        <v>0</v>
      </c>
      <c r="X18" s="181">
        <f>IF(OR(RIGHT($H18,3)="RGT",RIGHT($H18,3)="INC"),IF($G18=X$11,SUM($S39:X39)+$O18,IF(X$11&gt;$G18,X39,0)),0)</f>
        <v>0</v>
      </c>
      <c r="Y18" s="181">
        <f>IF(OR(RIGHT($H18,3)="RGT",RIGHT($H18,3)="INC"),IF($G18=Y$11,SUM($S39:Y39)+$O18,IF(Y$11&gt;$G18,Y39,0)),0)</f>
        <v>0</v>
      </c>
      <c r="Z18" s="181">
        <f>IF(OR(RIGHT($H18,3)="RGT",RIGHT($H18,3)="INC"),IF($G18=Z$11,SUM($S39:Z39)+$O18,IF(Z$11&gt;$G18,Z39,0)),0)</f>
        <v>0</v>
      </c>
      <c r="AA18" s="181">
        <f>IF(OR(RIGHT($H18,3)="RGT",RIGHT($H18,3)="INC"),IF($G18=AA$11,SUM($S39:AA39)+$O18,IF(AA$11&gt;$G18,AA39,0)),0)</f>
        <v>0</v>
      </c>
      <c r="AB18" s="181">
        <f>IF(OR(RIGHT($H18,3)="RGT",RIGHT($H18,3)="INC"),IF($G18=AB$11,SUM($S39:AB39)+$O18,IF(AB$11&gt;$G18,AB39,0)),0)</f>
        <v>0</v>
      </c>
      <c r="AC18" s="181">
        <f>IF(OR(RIGHT($H18,3)="RGT",RIGHT($H18,3)="INC"),IF($G18=AC$11,SUM($S39:AC39)+$O18,IF(AC$11&gt;$G18,AC39,0)),0)</f>
        <v>0</v>
      </c>
      <c r="AD18" s="182">
        <f>IF(OR(RIGHT($H18,3)="RGT",RIGHT($H18,3)="INC"),IF($G18=AD$11,SUM($S39:AD39)+$O18,IF(AD$11&gt;$G18,AD39,0)),0)</f>
        <v>0</v>
      </c>
      <c r="AE18" s="181">
        <f>IF(OR(RIGHT($H18,3)="RGT",RIGHT($H18,3)="INC"),IF($G18=AE$11,SUM($S39:AE39)+$O18,IF(AE$11&gt;$G18,AE39,0)),0)</f>
        <v>0</v>
      </c>
      <c r="AF18" s="181">
        <f>IF(OR(RIGHT($H18,3)="RGT",RIGHT($H18,3)="INC"),IF($G18=AF$11,SUM($S39:AF39)+$O18,IF(AF$11&gt;$G18,AF39,0)),0)</f>
        <v>0</v>
      </c>
      <c r="AG18" s="181">
        <f>IF(OR(RIGHT($H18,3)="RGT",RIGHT($H18,3)="INC"),IF($G18=AG$11,SUM($S39:AG39)+$O18,IF(AG$11&gt;$G18,AG39,0)),0)</f>
        <v>0</v>
      </c>
      <c r="AH18" s="181">
        <f>IF(OR(RIGHT($H18,3)="RGT",RIGHT($H18,3)="INC"),IF($G18=AH$11,SUM($S39:AH39)+$O18,IF(AH$11&gt;$G18,AH39,0)),0)</f>
        <v>0</v>
      </c>
      <c r="AI18" s="181">
        <f>IF(OR(RIGHT($H18,3)="RGT",RIGHT($H18,3)="INC"),IF($G18=AI$11,SUM($S39:AI39)+$O18,IF(AI$11&gt;$G18,AI39,0)),0)</f>
        <v>0</v>
      </c>
      <c r="AJ18" s="181">
        <f>IF(OR(RIGHT($H18,3)="RGT",RIGHT($H18,3)="INC"),IF($G18=AJ$11,SUM($S39:AJ39)+$O18,IF(AJ$11&gt;$G18,AJ39,0)),0)</f>
        <v>0</v>
      </c>
      <c r="AK18" s="181">
        <f>IF(OR(RIGHT($H18,3)="RGT",RIGHT($H18,3)="INC"),IF($G18=AK$11,SUM($S39:AK39)+$O18,IF(AK$11&gt;$G18,AK39,0)),0)</f>
        <v>0</v>
      </c>
      <c r="AL18" s="181">
        <f>IF(OR(RIGHT($H18,3)="RGT",RIGHT($H18,3)="INC"),IF($G18=AL$11,SUM($S39:AL39)+$O18,IF(AL$11&gt;$G18,AL39,0)),0)</f>
        <v>0</v>
      </c>
      <c r="AM18" s="181">
        <f>IF(OR(RIGHT($H18,3)="RGT",RIGHT($H18,3)="INC"),IF($G18=AM$11,SUM($S39:AM39)+$O18,IF(AM$11&gt;$G18,AM39,0)),0)</f>
        <v>0</v>
      </c>
      <c r="AN18" s="181">
        <f>IF(OR(RIGHT($H18,3)="RGT",RIGHT($H18,3)="INC"),IF($G18=AN$11,SUM($S39:AN39)+$O18,IF(AN$11&gt;$G18,AN39,0)),0)</f>
        <v>0</v>
      </c>
      <c r="AO18" s="181">
        <f>IF(OR(RIGHT($H18,3)="RGT",RIGHT($H18,3)="INC"),IF($G18=AO$11,SUM($S39:AO39)+$O18,IF(AO$11&gt;$G18,AO39,0)),0)</f>
        <v>0</v>
      </c>
      <c r="AP18" s="182">
        <f>IF(OR(RIGHT($H18,3)="RGT",RIGHT($H18,3)="INC"),IF($G18=AP$11,SUM($S39:AP39)+$O18,IF(AP$11&gt;$G18,AP39,0)),0)</f>
        <v>0</v>
      </c>
    </row>
    <row r="19" spans="1:43" s="183" customFormat="1" x14ac:dyDescent="0.25">
      <c r="A19" s="178" t="str">
        <f t="shared" si="6"/>
        <v>Devers Colorado River (DCR)</v>
      </c>
      <c r="B19" s="179" t="s">
        <v>33</v>
      </c>
      <c r="C19" s="154" t="s">
        <v>84</v>
      </c>
      <c r="D19" s="66" t="s">
        <v>85</v>
      </c>
      <c r="E19" s="58">
        <v>4847</v>
      </c>
      <c r="F19" s="155" t="s">
        <v>70</v>
      </c>
      <c r="G19" s="59">
        <v>41426</v>
      </c>
      <c r="H19" s="60" t="s">
        <v>288</v>
      </c>
      <c r="I19" s="61">
        <v>0</v>
      </c>
      <c r="J19" s="62">
        <v>1</v>
      </c>
      <c r="K19" s="63"/>
      <c r="L19" s="122">
        <v>0</v>
      </c>
      <c r="M19" s="64">
        <f t="shared" si="1"/>
        <v>275.34956</v>
      </c>
      <c r="N19" s="64">
        <f t="shared" si="2"/>
        <v>0</v>
      </c>
      <c r="O19" s="64">
        <f t="shared" si="3"/>
        <v>0</v>
      </c>
      <c r="P19" s="64">
        <f t="shared" si="4"/>
        <v>275.34956</v>
      </c>
      <c r="Q19" s="65">
        <f t="shared" si="5"/>
        <v>0</v>
      </c>
      <c r="R19" s="59"/>
      <c r="S19" s="180">
        <f>IF(OR(RIGHT($H19,3)="RGT",RIGHT($H19,3)="INC"),IF($G19=S$11,SUM($S40:S40)+$O19,IF(S$11&gt;$G19,S40,0)),0)</f>
        <v>7.8702500000000004</v>
      </c>
      <c r="T19" s="181">
        <f>IF(OR(RIGHT($H19,3)="RGT",RIGHT($H19,3)="INC"),IF($G19=T$11,SUM($S40:T40)+$O19,IF(T$11&gt;$G19,T40,0)),0)</f>
        <v>7.6709300000000002</v>
      </c>
      <c r="U19" s="181">
        <f>IF(OR(RIGHT($H19,3)="RGT",RIGHT($H19,3)="INC"),IF($G19=U$11,SUM($S40:U40)+$O19,IF(U$11&gt;$G19,U40,0)),0)</f>
        <v>59.80838</v>
      </c>
      <c r="V19" s="181">
        <f>IF(OR(RIGHT($H19,3)="RGT",RIGHT($H19,3)="INC"),IF($G19=V$11,SUM($S40:V40)+$O19,IF(V$11&gt;$G19,V40,0)),0)</f>
        <v>0</v>
      </c>
      <c r="W19" s="181">
        <f>IF(OR(RIGHT($H19,3)="RGT",RIGHT($H19,3)="INC"),IF($G19=W$11,SUM($S40:W40)+$O19,IF(W$11&gt;$G19,W40,0)),0)</f>
        <v>0</v>
      </c>
      <c r="X19" s="181">
        <f>IF(OR(RIGHT($H19,3)="RGT",RIGHT($H19,3)="INC"),IF($G19=X$11,SUM($S40:X40)+$O19,IF(X$11&gt;$G19,X40,0)),0)</f>
        <v>200</v>
      </c>
      <c r="Y19" s="181">
        <f>IF(OR(RIGHT($H19,3)="RGT",RIGHT($H19,3)="INC"),IF($G19=Y$11,SUM($S40:Y40)+$O19,IF(Y$11&gt;$G19,Y40,0)),0)</f>
        <v>0</v>
      </c>
      <c r="Z19" s="181">
        <f>IF(OR(RIGHT($H19,3)="RGT",RIGHT($H19,3)="INC"),IF($G19=Z$11,SUM($S40:Z40)+$O19,IF(Z$11&gt;$G19,Z40,0)),0)</f>
        <v>0</v>
      </c>
      <c r="AA19" s="181">
        <f>IF(OR(RIGHT($H19,3)="RGT",RIGHT($H19,3)="INC"),IF($G19=AA$11,SUM($S40:AA40)+$O19,IF(AA$11&gt;$G19,AA40,0)),0)</f>
        <v>0</v>
      </c>
      <c r="AB19" s="181">
        <f>IF(OR(RIGHT($H19,3)="RGT",RIGHT($H19,3)="INC"),IF($G19=AB$11,SUM($S40:AB40)+$O19,IF(AB$11&gt;$G19,AB40,0)),0)</f>
        <v>0</v>
      </c>
      <c r="AC19" s="181">
        <f>IF(OR(RIGHT($H19,3)="RGT",RIGHT($H19,3)="INC"),IF($G19=AC$11,SUM($S40:AC40)+$O19,IF(AC$11&gt;$G19,AC40,0)),0)</f>
        <v>0</v>
      </c>
      <c r="AD19" s="182">
        <f>IF(OR(RIGHT($H19,3)="RGT",RIGHT($H19,3)="INC"),IF($G19=AD$11,SUM($S40:AD40)+$O19,IF(AD$11&gt;$G19,AD40,0)),0)</f>
        <v>0</v>
      </c>
      <c r="AE19" s="181">
        <f>IF(OR(RIGHT($H19,3)="RGT",RIGHT($H19,3)="INC"),IF($G19=AE$11,SUM($S40:AE40)+$O19,IF(AE$11&gt;$G19,AE40,0)),0)</f>
        <v>0</v>
      </c>
      <c r="AF19" s="181">
        <f>IF(OR(RIGHT($H19,3)="RGT",RIGHT($H19,3)="INC"),IF($G19=AF$11,SUM($S40:AF40)+$O19,IF(AF$11&gt;$G19,AF40,0)),0)</f>
        <v>0</v>
      </c>
      <c r="AG19" s="181">
        <f>IF(OR(RIGHT($H19,3)="RGT",RIGHT($H19,3)="INC"),IF($G19=AG$11,SUM($S40:AG40)+$O19,IF(AG$11&gt;$G19,AG40,0)),0)</f>
        <v>0</v>
      </c>
      <c r="AH19" s="181">
        <f>IF(OR(RIGHT($H19,3)="RGT",RIGHT($H19,3)="INC"),IF($G19=AH$11,SUM($S40:AH40)+$O19,IF(AH$11&gt;$G19,AH40,0)),0)</f>
        <v>0</v>
      </c>
      <c r="AI19" s="181">
        <f>IF(OR(RIGHT($H19,3)="RGT",RIGHT($H19,3)="INC"),IF($G19=AI$11,SUM($S40:AI40)+$O19,IF(AI$11&gt;$G19,AI40,0)),0)</f>
        <v>0</v>
      </c>
      <c r="AJ19" s="181">
        <f>IF(OR(RIGHT($H19,3)="RGT",RIGHT($H19,3)="INC"),IF($G19=AJ$11,SUM($S40:AJ40)+$O19,IF(AJ$11&gt;$G19,AJ40,0)),0)</f>
        <v>0</v>
      </c>
      <c r="AK19" s="181">
        <f>IF(OR(RIGHT($H19,3)="RGT",RIGHT($H19,3)="INC"),IF($G19=AK$11,SUM($S40:AK40)+$O19,IF(AK$11&gt;$G19,AK40,0)),0)</f>
        <v>0</v>
      </c>
      <c r="AL19" s="181">
        <f>IF(OR(RIGHT($H19,3)="RGT",RIGHT($H19,3)="INC"),IF($G19=AL$11,SUM($S40:AL40)+$O19,IF(AL$11&gt;$G19,AL40,0)),0)</f>
        <v>0</v>
      </c>
      <c r="AM19" s="181">
        <f>IF(OR(RIGHT($H19,3)="RGT",RIGHT($H19,3)="INC"),IF($G19=AM$11,SUM($S40:AM40)+$O19,IF(AM$11&gt;$G19,AM40,0)),0)</f>
        <v>0</v>
      </c>
      <c r="AN19" s="181">
        <f>IF(OR(RIGHT($H19,3)="RGT",RIGHT($H19,3)="INC"),IF($G19=AN$11,SUM($S40:AN40)+$O19,IF(AN$11&gt;$G19,AN40,0)),0)</f>
        <v>0</v>
      </c>
      <c r="AO19" s="181">
        <f>IF(OR(RIGHT($H19,3)="RGT",RIGHT($H19,3)="INC"),IF($G19=AO$11,SUM($S40:AO40)+$O19,IF(AO$11&gt;$G19,AO40,0)),0)</f>
        <v>0</v>
      </c>
      <c r="AP19" s="182">
        <f>IF(OR(RIGHT($H19,3)="RGT",RIGHT($H19,3)="INC"),IF($G19=AP$11,SUM($S40:AP40)+$O19,IF(AP$11&gt;$G19,AP40,0)),0)</f>
        <v>0</v>
      </c>
    </row>
    <row r="20" spans="1:43" s="183" customFormat="1" x14ac:dyDescent="0.25">
      <c r="A20" s="178" t="str">
        <f t="shared" si="6"/>
        <v>Devers Colorado River (DCR)</v>
      </c>
      <c r="B20" s="179" t="s">
        <v>33</v>
      </c>
      <c r="C20" s="154" t="s">
        <v>86</v>
      </c>
      <c r="D20" s="66" t="s">
        <v>87</v>
      </c>
      <c r="E20" s="58">
        <v>4847</v>
      </c>
      <c r="F20" s="155" t="s">
        <v>70</v>
      </c>
      <c r="G20" s="278">
        <v>42156</v>
      </c>
      <c r="H20" s="60" t="s">
        <v>288</v>
      </c>
      <c r="I20" s="61">
        <v>0</v>
      </c>
      <c r="J20" s="62">
        <v>1</v>
      </c>
      <c r="K20" s="63"/>
      <c r="L20" s="122">
        <v>86.020760000001644</v>
      </c>
      <c r="M20" s="64">
        <f t="shared" si="1"/>
        <v>-0.15804999999999936</v>
      </c>
      <c r="N20" s="64">
        <f t="shared" si="2"/>
        <v>0</v>
      </c>
      <c r="O20" s="64">
        <f>$L20*$J20*(1-$I20)</f>
        <v>86.020760000001644</v>
      </c>
      <c r="P20" s="64">
        <f>$M20*$J20*(1-$I20)</f>
        <v>-0.15804999999999936</v>
      </c>
      <c r="Q20" s="65">
        <f t="shared" si="5"/>
        <v>0</v>
      </c>
      <c r="R20" s="59"/>
      <c r="S20" s="180">
        <f>IF(OR(RIGHT($H20,3)="RGT",RIGHT($H20,3)="INC"),IF($G20=S$11,SUM($S41:S41)+$O20,IF(S$11&gt;$G20,S41,0)),0)</f>
        <v>0</v>
      </c>
      <c r="T20" s="181">
        <f>IF(OR(RIGHT($H20,3)="RGT",RIGHT($H20,3)="INC"),IF($G20=T$11,SUM($S41:T41)+$O20,IF(T$11&gt;$G20,T41,0)),0)</f>
        <v>0</v>
      </c>
      <c r="U20" s="181">
        <f>IF(OR(RIGHT($H20,3)="RGT",RIGHT($H20,3)="INC"),IF($G20=U$11,SUM($S41:U41)+$O20,IF(U$11&gt;$G20,U41,0)),0)</f>
        <v>0</v>
      </c>
      <c r="V20" s="181">
        <f>IF(OR(RIGHT($H20,3)="RGT",RIGHT($H20,3)="INC"),IF($G20=V$11,SUM($S41:V41)+$O20,IF(V$11&gt;$G20,V41,0)),0)</f>
        <v>0</v>
      </c>
      <c r="W20" s="181">
        <f>IF(OR(RIGHT($H20,3)="RGT",RIGHT($H20,3)="INC"),IF($G20=W$11,SUM($S41:W41)+$O20,IF(W$11&gt;$G20,W41,0)),0)</f>
        <v>0</v>
      </c>
      <c r="X20" s="181">
        <f>IF(OR(RIGHT($H20,3)="RGT",RIGHT($H20,3)="INC"),IF($G20=X$11,SUM($S41:X41)+$O20,IF(X$11&gt;$G20,X41,0)),0)</f>
        <v>85.862710000001641</v>
      </c>
      <c r="Y20" s="181">
        <f>IF(OR(RIGHT($H20,3)="RGT",RIGHT($H20,3)="INC"),IF($G20=Y$11,SUM($S41:Y41)+$O20,IF(Y$11&gt;$G20,Y41,0)),0)</f>
        <v>0</v>
      </c>
      <c r="Z20" s="181">
        <f>IF(OR(RIGHT($H20,3)="RGT",RIGHT($H20,3)="INC"),IF($G20=Z$11,SUM($S41:Z41)+$O20,IF(Z$11&gt;$G20,Z41,0)),0)</f>
        <v>0</v>
      </c>
      <c r="AA20" s="181">
        <f>IF(OR(RIGHT($H20,3)="RGT",RIGHT($H20,3)="INC"),IF($G20=AA$11,SUM($S41:AA41)+$O20,IF(AA$11&gt;$G20,AA41,0)),0)</f>
        <v>0</v>
      </c>
      <c r="AB20" s="181">
        <f>IF(OR(RIGHT($H20,3)="RGT",RIGHT($H20,3)="INC"),IF($G20=AB$11,SUM($S41:AB41)+$O20,IF(AB$11&gt;$G20,AB41,0)),0)</f>
        <v>0</v>
      </c>
      <c r="AC20" s="181">
        <f>IF(OR(RIGHT($H20,3)="RGT",RIGHT($H20,3)="INC"),IF($G20=AC$11,SUM($S41:AC41)+$O20,IF(AC$11&gt;$G20,AC41,0)),0)</f>
        <v>0</v>
      </c>
      <c r="AD20" s="182">
        <f>IF(OR(RIGHT($H20,3)="RGT",RIGHT($H20,3)="INC"),IF($G20=AD$11,SUM($S41:AD41)+$O20,IF(AD$11&gt;$G20,AD41,0)),0)</f>
        <v>0</v>
      </c>
      <c r="AE20" s="181">
        <f>IF(OR(RIGHT($H20,3)="RGT",RIGHT($H20,3)="INC"),IF($G20=AE$11,SUM($S41:AE41)+$O20,IF(AE$11&gt;$G20,AE41,0)),0)</f>
        <v>0</v>
      </c>
      <c r="AF20" s="181">
        <f>IF(OR(RIGHT($H20,3)="RGT",RIGHT($H20,3)="INC"),IF($G20=AF$11,SUM($S41:AF41)+$O20,IF(AF$11&gt;$G20,AF41,0)),0)</f>
        <v>0</v>
      </c>
      <c r="AG20" s="181">
        <f>IF(OR(RIGHT($H20,3)="RGT",RIGHT($H20,3)="INC"),IF($G20=AG$11,SUM($S41:AG41)+$O20,IF(AG$11&gt;$G20,AG41,0)),0)</f>
        <v>0</v>
      </c>
      <c r="AH20" s="181">
        <f>IF(OR(RIGHT($H20,3)="RGT",RIGHT($H20,3)="INC"),IF($G20=AH$11,SUM($S41:AH41)+$O20,IF(AH$11&gt;$G20,AH41,0)),0)</f>
        <v>0</v>
      </c>
      <c r="AI20" s="181">
        <f>IF(OR(RIGHT($H20,3)="RGT",RIGHT($H20,3)="INC"),IF($G20=AI$11,SUM($S41:AI41)+$O20,IF(AI$11&gt;$G20,AI41,0)),0)</f>
        <v>0</v>
      </c>
      <c r="AJ20" s="181">
        <f>IF(OR(RIGHT($H20,3)="RGT",RIGHT($H20,3)="INC"),IF($G20=AJ$11,SUM($S41:AJ41)+$O20,IF(AJ$11&gt;$G20,AJ41,0)),0)</f>
        <v>0</v>
      </c>
      <c r="AK20" s="181">
        <f>IF(OR(RIGHT($H20,3)="RGT",RIGHT($H20,3)="INC"),IF($G20=AK$11,SUM($S41:AK41)+$O20,IF(AK$11&gt;$G20,AK41,0)),0)</f>
        <v>0</v>
      </c>
      <c r="AL20" s="181">
        <f>IF(OR(RIGHT($H20,3)="RGT",RIGHT($H20,3)="INC"),IF($G20=AL$11,SUM($S41:AL41)+$O20,IF(AL$11&gt;$G20,AL41,0)),0)</f>
        <v>0</v>
      </c>
      <c r="AM20" s="181">
        <f>IF(OR(RIGHT($H20,3)="RGT",RIGHT($H20,3)="INC"),IF($G20=AM$11,SUM($S41:AM41)+$O20,IF(AM$11&gt;$G20,AM41,0)),0)</f>
        <v>0</v>
      </c>
      <c r="AN20" s="181">
        <f>IF(OR(RIGHT($H20,3)="RGT",RIGHT($H20,3)="INC"),IF($G20=AN$11,SUM($S41:AN41)+$O20,IF(AN$11&gt;$G20,AN41,0)),0)</f>
        <v>0</v>
      </c>
      <c r="AO20" s="181">
        <f>IF(OR(RIGHT($H20,3)="RGT",RIGHT($H20,3)="INC"),IF($G20=AO$11,SUM($S41:AO41)+$O20,IF(AO$11&gt;$G20,AO41,0)),0)</f>
        <v>0</v>
      </c>
      <c r="AP20" s="182">
        <f>IF(OR(RIGHT($H20,3)="RGT",RIGHT($H20,3)="INC"),IF($G20=AP$11,SUM($S41:AP41)+$O20,IF(AP$11&gt;$G20,AP41,0)),0)</f>
        <v>0</v>
      </c>
    </row>
    <row r="21" spans="1:43" s="183" customFormat="1" x14ac:dyDescent="0.25">
      <c r="A21" s="178" t="str">
        <f t="shared" si="6"/>
        <v>Devers Colorado River (DCR)</v>
      </c>
      <c r="B21" s="179" t="s">
        <v>33</v>
      </c>
      <c r="C21" s="154" t="s">
        <v>88</v>
      </c>
      <c r="D21" s="66" t="s">
        <v>89</v>
      </c>
      <c r="E21" s="58">
        <v>4847</v>
      </c>
      <c r="F21" s="155" t="s">
        <v>70</v>
      </c>
      <c r="G21" s="59">
        <v>41518</v>
      </c>
      <c r="H21" s="60" t="s">
        <v>264</v>
      </c>
      <c r="I21" s="61">
        <v>0</v>
      </c>
      <c r="J21" s="62">
        <v>1</v>
      </c>
      <c r="K21" s="63"/>
      <c r="L21" s="122">
        <v>0</v>
      </c>
      <c r="M21" s="64">
        <f t="shared" si="1"/>
        <v>0</v>
      </c>
      <c r="N21" s="64">
        <f t="shared" si="2"/>
        <v>0</v>
      </c>
      <c r="O21" s="64">
        <f t="shared" si="3"/>
        <v>0</v>
      </c>
      <c r="P21" s="64">
        <f t="shared" si="4"/>
        <v>0</v>
      </c>
      <c r="Q21" s="65">
        <f t="shared" si="5"/>
        <v>0</v>
      </c>
      <c r="R21" s="59"/>
      <c r="S21" s="180">
        <f>IF(OR(RIGHT($H21,3)="RGT",RIGHT($H21,3)="INC"),IF($G21=S$11,SUM($S42:S42)+$O21,IF(S$11&gt;$G21,S42,0)),0)</f>
        <v>0</v>
      </c>
      <c r="T21" s="181">
        <f>IF(OR(RIGHT($H21,3)="RGT",RIGHT($H21,3)="INC"),IF($G21=T$11,SUM($S42:T42)+$O21,IF(T$11&gt;$G21,T42,0)),0)</f>
        <v>0</v>
      </c>
      <c r="U21" s="181">
        <f>IF(OR(RIGHT($H21,3)="RGT",RIGHT($H21,3)="INC"),IF($G21=U$11,SUM($S42:U42)+$O21,IF(U$11&gt;$G21,U42,0)),0)</f>
        <v>0</v>
      </c>
      <c r="V21" s="181">
        <f>IF(OR(RIGHT($H21,3)="RGT",RIGHT($H21,3)="INC"),IF($G21=V$11,SUM($S42:V42)+$O21,IF(V$11&gt;$G21,V42,0)),0)</f>
        <v>0</v>
      </c>
      <c r="W21" s="181">
        <f>IF(OR(RIGHT($H21,3)="RGT",RIGHT($H21,3)="INC"),IF($G21=W$11,SUM($S42:W42)+$O21,IF(W$11&gt;$G21,W42,0)),0)</f>
        <v>0</v>
      </c>
      <c r="X21" s="181">
        <f>IF(OR(RIGHT($H21,3)="RGT",RIGHT($H21,3)="INC"),IF($G21=X$11,SUM($S42:X42)+$O21,IF(X$11&gt;$G21,X42,0)),0)</f>
        <v>0</v>
      </c>
      <c r="Y21" s="181">
        <f>IF(OR(RIGHT($H21,3)="RGT",RIGHT($H21,3)="INC"),IF($G21=Y$11,SUM($S42:Y42)+$O21,IF(Y$11&gt;$G21,Y42,0)),0)</f>
        <v>0</v>
      </c>
      <c r="Z21" s="181">
        <f>IF(OR(RIGHT($H21,3)="RGT",RIGHT($H21,3)="INC"),IF($G21=Z$11,SUM($S42:Z42)+$O21,IF(Z$11&gt;$G21,Z42,0)),0)</f>
        <v>0</v>
      </c>
      <c r="AA21" s="181">
        <f>IF(OR(RIGHT($H21,3)="RGT",RIGHT($H21,3)="INC"),IF($G21=AA$11,SUM($S42:AA42)+$O21,IF(AA$11&gt;$G21,AA42,0)),0)</f>
        <v>0</v>
      </c>
      <c r="AB21" s="181">
        <f>IF(OR(RIGHT($H21,3)="RGT",RIGHT($H21,3)="INC"),IF($G21=AB$11,SUM($S42:AB42)+$O21,IF(AB$11&gt;$G21,AB42,0)),0)</f>
        <v>0</v>
      </c>
      <c r="AC21" s="181">
        <f>IF(OR(RIGHT($H21,3)="RGT",RIGHT($H21,3)="INC"),IF($G21=AC$11,SUM($S42:AC42)+$O21,IF(AC$11&gt;$G21,AC42,0)),0)</f>
        <v>0</v>
      </c>
      <c r="AD21" s="182">
        <f>IF(OR(RIGHT($H21,3)="RGT",RIGHT($H21,3)="INC"),IF($G21=AD$11,SUM($S42:AD42)+$O21,IF(AD$11&gt;$G21,AD42,0)),0)</f>
        <v>0</v>
      </c>
      <c r="AE21" s="181">
        <f>IF(OR(RIGHT($H21,3)="RGT",RIGHT($H21,3)="INC"),IF($G21=AE$11,SUM($S42:AE42)+$O21,IF(AE$11&gt;$G21,AE42,0)),0)</f>
        <v>0</v>
      </c>
      <c r="AF21" s="181">
        <f>IF(OR(RIGHT($H21,3)="RGT",RIGHT($H21,3)="INC"),IF($G21=AF$11,SUM($S42:AF42)+$O21,IF(AF$11&gt;$G21,AF42,0)),0)</f>
        <v>0</v>
      </c>
      <c r="AG21" s="181">
        <f>IF(OR(RIGHT($H21,3)="RGT",RIGHT($H21,3)="INC"),IF($G21=AG$11,SUM($S42:AG42)+$O21,IF(AG$11&gt;$G21,AG42,0)),0)</f>
        <v>0</v>
      </c>
      <c r="AH21" s="181">
        <f>IF(OR(RIGHT($H21,3)="RGT",RIGHT($H21,3)="INC"),IF($G21=AH$11,SUM($S42:AH42)+$O21,IF(AH$11&gt;$G21,AH42,0)),0)</f>
        <v>0</v>
      </c>
      <c r="AI21" s="181">
        <f>IF(OR(RIGHT($H21,3)="RGT",RIGHT($H21,3)="INC"),IF($G21=AI$11,SUM($S42:AI42)+$O21,IF(AI$11&gt;$G21,AI42,0)),0)</f>
        <v>0</v>
      </c>
      <c r="AJ21" s="181">
        <f>IF(OR(RIGHT($H21,3)="RGT",RIGHT($H21,3)="INC"),IF($G21=AJ$11,SUM($S42:AJ42)+$O21,IF(AJ$11&gt;$G21,AJ42,0)),0)</f>
        <v>0</v>
      </c>
      <c r="AK21" s="181">
        <f>IF(OR(RIGHT($H21,3)="RGT",RIGHT($H21,3)="INC"),IF($G21=AK$11,SUM($S42:AK42)+$O21,IF(AK$11&gt;$G21,AK42,0)),0)</f>
        <v>0</v>
      </c>
      <c r="AL21" s="181">
        <f>IF(OR(RIGHT($H21,3)="RGT",RIGHT($H21,3)="INC"),IF($G21=AL$11,SUM($S42:AL42)+$O21,IF(AL$11&gt;$G21,AL42,0)),0)</f>
        <v>0</v>
      </c>
      <c r="AM21" s="181">
        <f>IF(OR(RIGHT($H21,3)="RGT",RIGHT($H21,3)="INC"),IF($G21=AM$11,SUM($S42:AM42)+$O21,IF(AM$11&gt;$G21,AM42,0)),0)</f>
        <v>0</v>
      </c>
      <c r="AN21" s="181">
        <f>IF(OR(RIGHT($H21,3)="RGT",RIGHT($H21,3)="INC"),IF($G21=AN$11,SUM($S42:AN42)+$O21,IF(AN$11&gt;$G21,AN42,0)),0)</f>
        <v>0</v>
      </c>
      <c r="AO21" s="181">
        <f>IF(OR(RIGHT($H21,3)="RGT",RIGHT($H21,3)="INC"),IF($G21=AO$11,SUM($S42:AO42)+$O21,IF(AO$11&gt;$G21,AO42,0)),0)</f>
        <v>0</v>
      </c>
      <c r="AP21" s="182">
        <f>IF(OR(RIGHT($H21,3)="RGT",RIGHT($H21,3)="INC"),IF($G21=AP$11,SUM($S42:AP42)+$O21,IF(AP$11&gt;$G21,AP42,0)),0)</f>
        <v>0</v>
      </c>
    </row>
    <row r="22" spans="1:43" s="183" customFormat="1" x14ac:dyDescent="0.25">
      <c r="A22" s="178" t="str">
        <f t="shared" si="6"/>
        <v>Devers Colorado River (DCR)</v>
      </c>
      <c r="B22" s="179" t="s">
        <v>33</v>
      </c>
      <c r="C22" s="279" t="s">
        <v>84</v>
      </c>
      <c r="D22" s="280" t="s">
        <v>485</v>
      </c>
      <c r="E22" s="58">
        <v>4847</v>
      </c>
      <c r="F22" s="155" t="s">
        <v>70</v>
      </c>
      <c r="G22" s="281">
        <v>42095</v>
      </c>
      <c r="H22" s="60" t="s">
        <v>288</v>
      </c>
      <c r="I22" s="61">
        <v>0</v>
      </c>
      <c r="J22" s="62">
        <v>1</v>
      </c>
      <c r="K22" s="63"/>
      <c r="L22" s="282">
        <v>3.7122100000000002</v>
      </c>
      <c r="M22" s="283">
        <f t="shared" ref="M22:M23" si="7">SUM(S43:AD43)</f>
        <v>25</v>
      </c>
      <c r="N22" s="64">
        <f t="shared" ref="N22:N23" si="8">SUM(AE43:AP43)</f>
        <v>0</v>
      </c>
      <c r="O22" s="64">
        <f t="shared" si="3"/>
        <v>3.7122100000000002</v>
      </c>
      <c r="P22" s="64">
        <f t="shared" si="4"/>
        <v>25</v>
      </c>
      <c r="Q22" s="65">
        <f t="shared" si="5"/>
        <v>0</v>
      </c>
      <c r="R22" s="59"/>
      <c r="S22" s="180">
        <f>IF(OR(RIGHT($H22,3)="RGT",RIGHT($H22,3)="INC"),IF($G22=S$11,SUM($S43:S43)+$O22,IF(S$11&gt;$G22,S43,0)),0)</f>
        <v>0</v>
      </c>
      <c r="T22" s="181">
        <f>IF(OR(RIGHT($H22,3)="RGT",RIGHT($H22,3)="INC"),IF($G22=T$11,SUM($S43:T43)+$O22,IF(T$11&gt;$G22,T43,0)),0)</f>
        <v>0</v>
      </c>
      <c r="U22" s="181">
        <f>IF(OR(RIGHT($H22,3)="RGT",RIGHT($H22,3)="INC"),IF($G22=U$11,SUM($S43:U43)+$O22,IF(U$11&gt;$G22,U43,0)),0)</f>
        <v>0</v>
      </c>
      <c r="V22" s="181">
        <f>IF(OR(RIGHT($H22,3)="RGT",RIGHT($H22,3)="INC"),IF($G22=V$11,SUM($S43:V43)+$O22,IF(V$11&gt;$G22,V43,0)),0)</f>
        <v>4.40543</v>
      </c>
      <c r="W22" s="181">
        <f>IF(OR(RIGHT($H22,3)="RGT",RIGHT($H22,3)="INC"),IF($G22=W$11,SUM($S43:W43)+$O22,IF(W$11&gt;$G22,W43,0)),0)</f>
        <v>3.0383475</v>
      </c>
      <c r="X22" s="181">
        <f>IF(OR(RIGHT($H22,3)="RGT",RIGHT($H22,3)="INC"),IF($G22=X$11,SUM($S43:X43)+$O22,IF(X$11&gt;$G22,X43,0)),0)</f>
        <v>3.0383475</v>
      </c>
      <c r="Y22" s="181">
        <f>IF(OR(RIGHT($H22,3)="RGT",RIGHT($H22,3)="INC"),IF($G22=Y$11,SUM($S43:Y43)+$O22,IF(Y$11&gt;$G22,Y43,0)),0)</f>
        <v>3.0383475</v>
      </c>
      <c r="Z22" s="181">
        <f>IF(OR(RIGHT($H22,3)="RGT",RIGHT($H22,3)="INC"),IF($G22=Z$11,SUM($S43:Z43)+$O22,IF(Z$11&gt;$G22,Z43,0)),0)</f>
        <v>3.0383475</v>
      </c>
      <c r="AA22" s="181">
        <f>IF(OR(RIGHT($H22,3)="RGT",RIGHT($H22,3)="INC"),IF($G22=AA$11,SUM($S43:AA43)+$O22,IF(AA$11&gt;$G22,AA43,0)),0)</f>
        <v>3.0383475</v>
      </c>
      <c r="AB22" s="181">
        <f>IF(OR(RIGHT($H22,3)="RGT",RIGHT($H22,3)="INC"),IF($G22=AB$11,SUM($S43:AB43)+$O22,IF(AB$11&gt;$G22,AB43,0)),0)</f>
        <v>3.0383475</v>
      </c>
      <c r="AC22" s="181">
        <f>IF(OR(RIGHT($H22,3)="RGT",RIGHT($H22,3)="INC"),IF($G22=AC$11,SUM($S43:AC43)+$O22,IF(AC$11&gt;$G22,AC43,0)),0)</f>
        <v>3.0383475</v>
      </c>
      <c r="AD22" s="182">
        <f>IF(OR(RIGHT($H22,3)="RGT",RIGHT($H22,3)="INC"),IF($G22=AD$11,SUM($S43:AD43)+$O22,IF(AD$11&gt;$G22,AD43,0)),0)</f>
        <v>3.0383475</v>
      </c>
      <c r="AE22" s="181">
        <f>IF(OR(RIGHT($H22,3)="RGT",RIGHT($H22,3)="INC"),IF($G22=AE$11,SUM($S43:AE43)+$O22,IF(AE$11&gt;$G22,AE43,0)),0)</f>
        <v>0</v>
      </c>
      <c r="AF22" s="181">
        <f>IF(OR(RIGHT($H22,3)="RGT",RIGHT($H22,3)="INC"),IF($G22=AF$11,SUM($S43:AF43)+$O22,IF(AF$11&gt;$G22,AF43,0)),0)</f>
        <v>0</v>
      </c>
      <c r="AG22" s="181">
        <f>IF(OR(RIGHT($H22,3)="RGT",RIGHT($H22,3)="INC"),IF($G22=AG$11,SUM($S43:AG43)+$O22,IF(AG$11&gt;$G22,AG43,0)),0)</f>
        <v>0</v>
      </c>
      <c r="AH22" s="181">
        <f>IF(OR(RIGHT($H22,3)="RGT",RIGHT($H22,3)="INC"),IF($G22=AH$11,SUM($S43:AH43)+$O22,IF(AH$11&gt;$G22,AH43,0)),0)</f>
        <v>0</v>
      </c>
      <c r="AI22" s="181">
        <f>IF(OR(RIGHT($H22,3)="RGT",RIGHT($H22,3)="INC"),IF($G22=AI$11,SUM($S43:AI43)+$O22,IF(AI$11&gt;$G22,AI43,0)),0)</f>
        <v>0</v>
      </c>
      <c r="AJ22" s="181">
        <f>IF(OR(RIGHT($H22,3)="RGT",RIGHT($H22,3)="INC"),IF($G22=AJ$11,SUM($S43:AJ43)+$O22,IF(AJ$11&gt;$G22,AJ43,0)),0)</f>
        <v>0</v>
      </c>
      <c r="AK22" s="181">
        <f>IF(OR(RIGHT($H22,3)="RGT",RIGHT($H22,3)="INC"),IF($G22=AK$11,SUM($S43:AK43)+$O22,IF(AK$11&gt;$G22,AK43,0)),0)</f>
        <v>0</v>
      </c>
      <c r="AL22" s="181">
        <f>IF(OR(RIGHT($H22,3)="RGT",RIGHT($H22,3)="INC"),IF($G22=AL$11,SUM($S43:AL43)+$O22,IF(AL$11&gt;$G22,AL43,0)),0)</f>
        <v>0</v>
      </c>
      <c r="AM22" s="181">
        <f>IF(OR(RIGHT($H22,3)="RGT",RIGHT($H22,3)="INC"),IF($G22=AM$11,SUM($S43:AM43)+$O22,IF(AM$11&gt;$G22,AM43,0)),0)</f>
        <v>0</v>
      </c>
      <c r="AN22" s="181">
        <f>IF(OR(RIGHT($H22,3)="RGT",RIGHT($H22,3)="INC"),IF($G22=AN$11,SUM($S43:AN43)+$O22,IF(AN$11&gt;$G22,AN43,0)),0)</f>
        <v>0</v>
      </c>
      <c r="AO22" s="181">
        <f>IF(OR(RIGHT($H22,3)="RGT",RIGHT($H22,3)="INC"),IF($G22=AO$11,SUM($S43:AO43)+$O22,IF(AO$11&gt;$G22,AO43,0)),0)</f>
        <v>0</v>
      </c>
      <c r="AP22" s="182">
        <f>IF(OR(RIGHT($H22,3)="RGT",RIGHT($H22,3)="INC"),IF($G22=AP$11,SUM($S43:AP43)+$O22,IF(AP$11&gt;$G22,AP43,0)),0)</f>
        <v>0</v>
      </c>
    </row>
    <row r="23" spans="1:43" s="183" customFormat="1" x14ac:dyDescent="0.25">
      <c r="A23" s="178" t="str">
        <f t="shared" si="6"/>
        <v>Devers Colorado River (DCR)</v>
      </c>
      <c r="B23" s="179" t="s">
        <v>33</v>
      </c>
      <c r="C23" s="154" t="s">
        <v>68</v>
      </c>
      <c r="D23" s="66" t="s">
        <v>295</v>
      </c>
      <c r="E23" s="58">
        <v>4847</v>
      </c>
      <c r="F23" s="155" t="s">
        <v>70</v>
      </c>
      <c r="G23" s="59">
        <v>41609</v>
      </c>
      <c r="H23" s="60" t="s">
        <v>264</v>
      </c>
      <c r="I23" s="61">
        <v>0</v>
      </c>
      <c r="J23" s="62">
        <v>1</v>
      </c>
      <c r="K23" s="63"/>
      <c r="L23" s="122">
        <v>0</v>
      </c>
      <c r="M23" s="64">
        <f t="shared" si="7"/>
        <v>54.617579999999997</v>
      </c>
      <c r="N23" s="64">
        <f t="shared" si="8"/>
        <v>0</v>
      </c>
      <c r="O23" s="64">
        <f t="shared" si="3"/>
        <v>0</v>
      </c>
      <c r="P23" s="64">
        <f t="shared" si="4"/>
        <v>54.617579999999997</v>
      </c>
      <c r="Q23" s="65">
        <f t="shared" si="5"/>
        <v>0</v>
      </c>
      <c r="R23" s="59"/>
      <c r="S23" s="180">
        <f>IF(OR(RIGHT($H23,3)="RGT",RIGHT($H23,3)="INC"),IF($G23=S$11,SUM($S44:S44)+$O23,IF(S$11&gt;$G23,S44,0)),0)</f>
        <v>0.13449</v>
      </c>
      <c r="T23" s="181">
        <f>IF(OR(RIGHT($H23,3)="RGT",RIGHT($H23,3)="INC"),IF($G23=T$11,SUM($S44:T44)+$O23,IF(T$11&gt;$G23,T44,0)),0)</f>
        <v>0</v>
      </c>
      <c r="U23" s="181">
        <f>IF(OR(RIGHT($H23,3)="RGT",RIGHT($H23,3)="INC"),IF($G23=U$11,SUM($S44:U44)+$O23,IF(U$11&gt;$G23,U44,0)),0)</f>
        <v>54.483089999999997</v>
      </c>
      <c r="V23" s="181">
        <f>IF(OR(RIGHT($H23,3)="RGT",RIGHT($H23,3)="INC"),IF($G23=V$11,SUM($S44:V44)+$O23,IF(V$11&gt;$G23,V44,0)),0)</f>
        <v>0</v>
      </c>
      <c r="W23" s="181">
        <f>IF(OR(RIGHT($H23,3)="RGT",RIGHT($H23,3)="INC"),IF($G23=W$11,SUM($S44:W44)+$O23,IF(W$11&gt;$G23,W44,0)),0)</f>
        <v>0</v>
      </c>
      <c r="X23" s="181">
        <f>IF(OR(RIGHT($H23,3)="RGT",RIGHT($H23,3)="INC"),IF($G23=X$11,SUM($S44:X44)+$O23,IF(X$11&gt;$G23,X44,0)),0)</f>
        <v>0</v>
      </c>
      <c r="Y23" s="181">
        <f>IF(OR(RIGHT($H23,3)="RGT",RIGHT($H23,3)="INC"),IF($G23=Y$11,SUM($S44:Y44)+$O23,IF(Y$11&gt;$G23,Y44,0)),0)</f>
        <v>0</v>
      </c>
      <c r="Z23" s="181">
        <f>IF(OR(RIGHT($H23,3)="RGT",RIGHT($H23,3)="INC"),IF($G23=Z$11,SUM($S44:Z44)+$O23,IF(Z$11&gt;$G23,Z44,0)),0)</f>
        <v>0</v>
      </c>
      <c r="AA23" s="181">
        <f>IF(OR(RIGHT($H23,3)="RGT",RIGHT($H23,3)="INC"),IF($G23=AA$11,SUM($S44:AA44)+$O23,IF(AA$11&gt;$G23,AA44,0)),0)</f>
        <v>0</v>
      </c>
      <c r="AB23" s="181">
        <f>IF(OR(RIGHT($H23,3)="RGT",RIGHT($H23,3)="INC"),IF($G23=AB$11,SUM($S44:AB44)+$O23,IF(AB$11&gt;$G23,AB44,0)),0)</f>
        <v>0</v>
      </c>
      <c r="AC23" s="181">
        <f>IF(OR(RIGHT($H23,3)="RGT",RIGHT($H23,3)="INC"),IF($G23=AC$11,SUM($S44:AC44)+$O23,IF(AC$11&gt;$G23,AC44,0)),0)</f>
        <v>0</v>
      </c>
      <c r="AD23" s="182">
        <f>IF(OR(RIGHT($H23,3)="RGT",RIGHT($H23,3)="INC"),IF($G23=AD$11,SUM($S44:AD44)+$O23,IF(AD$11&gt;$G23,AD44,0)),0)</f>
        <v>0</v>
      </c>
      <c r="AE23" s="181">
        <f>IF(OR(RIGHT($H23,3)="RGT",RIGHT($H23,3)="INC"),IF($G23=AE$11,SUM($S44:AE44)+$O23,IF(AE$11&gt;$G23,AE44,0)),0)</f>
        <v>0</v>
      </c>
      <c r="AF23" s="181">
        <f>IF(OR(RIGHT($H23,3)="RGT",RIGHT($H23,3)="INC"),IF($G23=AF$11,SUM($S44:AF44)+$O23,IF(AF$11&gt;$G23,AF44,0)),0)</f>
        <v>0</v>
      </c>
      <c r="AG23" s="181">
        <f>IF(OR(RIGHT($H23,3)="RGT",RIGHT($H23,3)="INC"),IF($G23=AG$11,SUM($S44:AG44)+$O23,IF(AG$11&gt;$G23,AG44,0)),0)</f>
        <v>0</v>
      </c>
      <c r="AH23" s="181">
        <f>IF(OR(RIGHT($H23,3)="RGT",RIGHT($H23,3)="INC"),IF($G23=AH$11,SUM($S44:AH44)+$O23,IF(AH$11&gt;$G23,AH44,0)),0)</f>
        <v>0</v>
      </c>
      <c r="AI23" s="181">
        <f>IF(OR(RIGHT($H23,3)="RGT",RIGHT($H23,3)="INC"),IF($G23=AI$11,SUM($S44:AI44)+$O23,IF(AI$11&gt;$G23,AI44,0)),0)</f>
        <v>0</v>
      </c>
      <c r="AJ23" s="181">
        <f>IF(OR(RIGHT($H23,3)="RGT",RIGHT($H23,3)="INC"),IF($G23=AJ$11,SUM($S44:AJ44)+$O23,IF(AJ$11&gt;$G23,AJ44,0)),0)</f>
        <v>0</v>
      </c>
      <c r="AK23" s="181">
        <f>IF(OR(RIGHT($H23,3)="RGT",RIGHT($H23,3)="INC"),IF($G23=AK$11,SUM($S44:AK44)+$O23,IF(AK$11&gt;$G23,AK44,0)),0)</f>
        <v>0</v>
      </c>
      <c r="AL23" s="181">
        <f>IF(OR(RIGHT($H23,3)="RGT",RIGHT($H23,3)="INC"),IF($G23=AL$11,SUM($S44:AL44)+$O23,IF(AL$11&gt;$G23,AL44,0)),0)</f>
        <v>0</v>
      </c>
      <c r="AM23" s="181">
        <f>IF(OR(RIGHT($H23,3)="RGT",RIGHT($H23,3)="INC"),IF($G23=AM$11,SUM($S44:AM44)+$O23,IF(AM$11&gt;$G23,AM44,0)),0)</f>
        <v>0</v>
      </c>
      <c r="AN23" s="181">
        <f>IF(OR(RIGHT($H23,3)="RGT",RIGHT($H23,3)="INC"),IF($G23=AN$11,SUM($S44:AN44)+$O23,IF(AN$11&gt;$G23,AN44,0)),0)</f>
        <v>0</v>
      </c>
      <c r="AO23" s="181">
        <f>IF(OR(RIGHT($H23,3)="RGT",RIGHT($H23,3)="INC"),IF($G23=AO$11,SUM($S44:AO44)+$O23,IF(AO$11&gt;$G23,AO44,0)),0)</f>
        <v>0</v>
      </c>
      <c r="AP23" s="182">
        <f>IF(OR(RIGHT($H23,3)="RGT",RIGHT($H23,3)="INC"),IF($G23=AP$11,SUM($S44:AP44)+$O23,IF(AP$11&gt;$G23,AP44,0)),0)</f>
        <v>0</v>
      </c>
    </row>
    <row r="24" spans="1:43" ht="15.75" thickBot="1" x14ac:dyDescent="0.3">
      <c r="B24" s="170" t="s">
        <v>61</v>
      </c>
      <c r="C24" s="226" t="s">
        <v>26</v>
      </c>
      <c r="D24" s="227"/>
      <c r="E24" s="227"/>
      <c r="F24" s="227"/>
      <c r="G24" s="227"/>
      <c r="H24" s="227"/>
      <c r="I24" s="227"/>
      <c r="J24" s="228"/>
      <c r="K24" s="63"/>
      <c r="L24" s="125">
        <f t="shared" ref="L24:Q24" si="9">SUM(L12:L23)</f>
        <v>89.732970000001643</v>
      </c>
      <c r="M24" s="126">
        <f t="shared" si="9"/>
        <v>2625.1043200000004</v>
      </c>
      <c r="N24" s="126">
        <f t="shared" si="9"/>
        <v>0</v>
      </c>
      <c r="O24" s="126">
        <f t="shared" si="9"/>
        <v>89.732970000001643</v>
      </c>
      <c r="P24" s="126">
        <f t="shared" si="9"/>
        <v>2625.1043200000004</v>
      </c>
      <c r="Q24" s="127">
        <f t="shared" si="9"/>
        <v>0</v>
      </c>
      <c r="R24" s="58"/>
      <c r="S24" s="184">
        <f t="shared" ref="S24:AP24" si="10">SUM(S12:S23)</f>
        <v>200.25457999999998</v>
      </c>
      <c r="T24" s="185">
        <f t="shared" si="10"/>
        <v>220.19018</v>
      </c>
      <c r="U24" s="185">
        <f t="shared" si="10"/>
        <v>-60.182389999999948</v>
      </c>
      <c r="V24" s="185">
        <f t="shared" si="10"/>
        <v>504.40543000000002</v>
      </c>
      <c r="W24" s="185">
        <f t="shared" si="10"/>
        <v>503.03834749999999</v>
      </c>
      <c r="X24" s="185">
        <f t="shared" si="10"/>
        <v>262.90105750000163</v>
      </c>
      <c r="Y24" s="185">
        <f t="shared" si="10"/>
        <v>215.03834749999999</v>
      </c>
      <c r="Z24" s="185">
        <f t="shared" si="10"/>
        <v>215.03834749999999</v>
      </c>
      <c r="AA24" s="185">
        <f t="shared" si="10"/>
        <v>215.03834749999999</v>
      </c>
      <c r="AB24" s="185">
        <f t="shared" si="10"/>
        <v>215.03834749999999</v>
      </c>
      <c r="AC24" s="185">
        <f t="shared" si="10"/>
        <v>221.03834749999999</v>
      </c>
      <c r="AD24" s="186">
        <f t="shared" si="10"/>
        <v>3.0383475</v>
      </c>
      <c r="AE24" s="185">
        <f t="shared" si="10"/>
        <v>0</v>
      </c>
      <c r="AF24" s="185">
        <f t="shared" si="10"/>
        <v>0</v>
      </c>
      <c r="AG24" s="185">
        <f t="shared" si="10"/>
        <v>0</v>
      </c>
      <c r="AH24" s="185">
        <f t="shared" si="10"/>
        <v>0</v>
      </c>
      <c r="AI24" s="185">
        <f t="shared" si="10"/>
        <v>0</v>
      </c>
      <c r="AJ24" s="185">
        <f t="shared" si="10"/>
        <v>0</v>
      </c>
      <c r="AK24" s="185">
        <f t="shared" si="10"/>
        <v>0</v>
      </c>
      <c r="AL24" s="185">
        <f t="shared" si="10"/>
        <v>0</v>
      </c>
      <c r="AM24" s="185">
        <f t="shared" si="10"/>
        <v>0</v>
      </c>
      <c r="AN24" s="185">
        <f t="shared" si="10"/>
        <v>0</v>
      </c>
      <c r="AO24" s="185">
        <f t="shared" si="10"/>
        <v>0</v>
      </c>
      <c r="AP24" s="186">
        <f t="shared" si="10"/>
        <v>0</v>
      </c>
      <c r="AQ24" s="183"/>
    </row>
    <row r="25" spans="1:43" s="107" customFormat="1" ht="15.75" thickTop="1" x14ac:dyDescent="0.25">
      <c r="A25" s="187"/>
      <c r="B25" s="188"/>
      <c r="C25" s="189"/>
      <c r="D25" s="190"/>
      <c r="E25" s="191"/>
      <c r="F25" s="192"/>
      <c r="G25" s="192"/>
      <c r="I25" s="192"/>
      <c r="J25" s="192"/>
      <c r="K25" s="63"/>
      <c r="R25" s="58"/>
      <c r="S25" s="192"/>
      <c r="T25" s="192"/>
      <c r="U25" s="192"/>
      <c r="V25" s="192"/>
      <c r="W25" s="192"/>
      <c r="X25" s="192"/>
      <c r="Y25" s="192"/>
      <c r="Z25" s="192"/>
      <c r="AA25" s="192"/>
      <c r="AB25" s="192"/>
      <c r="AC25" s="192"/>
      <c r="AD25" s="192"/>
      <c r="AE25" s="192"/>
      <c r="AF25" s="192"/>
      <c r="AG25" s="192"/>
      <c r="AH25" s="192"/>
      <c r="AI25" s="192"/>
      <c r="AJ25" s="192"/>
      <c r="AK25" s="192"/>
      <c r="AL25" s="192"/>
      <c r="AM25" s="192"/>
      <c r="AN25" s="192"/>
      <c r="AO25" s="192"/>
      <c r="AP25" s="192"/>
      <c r="AQ25" s="183"/>
    </row>
    <row r="26" spans="1:43" ht="15.75" thickBot="1" x14ac:dyDescent="0.3">
      <c r="C26" s="226" t="str">
        <f>"Total Incremental Plant Balance - "&amp;C6</f>
        <v>Total Incremental Plant Balance - Devers Colorado River (DCR)</v>
      </c>
      <c r="D26" s="227"/>
      <c r="E26" s="227"/>
      <c r="F26" s="227"/>
      <c r="G26" s="227"/>
      <c r="H26" s="227"/>
      <c r="I26" s="227"/>
      <c r="J26" s="228"/>
      <c r="K26" s="63"/>
      <c r="L26" s="125"/>
      <c r="M26" s="126"/>
      <c r="N26" s="126"/>
      <c r="O26" s="126"/>
      <c r="P26" s="126"/>
      <c r="Q26" s="127"/>
      <c r="R26" s="58"/>
      <c r="S26" s="184">
        <f>S24</f>
        <v>200.25457999999998</v>
      </c>
      <c r="T26" s="185">
        <f>T24+S26</f>
        <v>420.44475999999997</v>
      </c>
      <c r="U26" s="185">
        <f>U24+T26</f>
        <v>360.26237000000003</v>
      </c>
      <c r="V26" s="185">
        <f t="shared" ref="V26:AL26" si="11">V24+U26</f>
        <v>864.66780000000006</v>
      </c>
      <c r="W26" s="185">
        <f t="shared" si="11"/>
        <v>1367.7061475</v>
      </c>
      <c r="X26" s="185">
        <f t="shared" si="11"/>
        <v>1630.6072050000016</v>
      </c>
      <c r="Y26" s="185">
        <f t="shared" si="11"/>
        <v>1845.6455525000015</v>
      </c>
      <c r="Z26" s="185">
        <f t="shared" si="11"/>
        <v>2060.6839000000014</v>
      </c>
      <c r="AA26" s="185">
        <f t="shared" si="11"/>
        <v>2275.7222475000012</v>
      </c>
      <c r="AB26" s="185">
        <f t="shared" si="11"/>
        <v>2490.7605950000011</v>
      </c>
      <c r="AC26" s="185">
        <f t="shared" si="11"/>
        <v>2711.798942500001</v>
      </c>
      <c r="AD26" s="186">
        <f t="shared" si="11"/>
        <v>2714.8372900000008</v>
      </c>
      <c r="AE26" s="185">
        <f>AE24+AD26</f>
        <v>2714.8372900000008</v>
      </c>
      <c r="AF26" s="185">
        <f t="shared" si="11"/>
        <v>2714.8372900000008</v>
      </c>
      <c r="AG26" s="185">
        <f t="shared" si="11"/>
        <v>2714.8372900000008</v>
      </c>
      <c r="AH26" s="185">
        <f t="shared" si="11"/>
        <v>2714.8372900000008</v>
      </c>
      <c r="AI26" s="185">
        <f t="shared" si="11"/>
        <v>2714.8372900000008</v>
      </c>
      <c r="AJ26" s="185">
        <f t="shared" si="11"/>
        <v>2714.8372900000008</v>
      </c>
      <c r="AK26" s="185">
        <f t="shared" si="11"/>
        <v>2714.8372900000008</v>
      </c>
      <c r="AL26" s="185">
        <f t="shared" si="11"/>
        <v>2714.8372900000008</v>
      </c>
      <c r="AM26" s="185">
        <f>AM24+AL26</f>
        <v>2714.8372900000008</v>
      </c>
      <c r="AN26" s="185">
        <f>AN24+AM26</f>
        <v>2714.8372900000008</v>
      </c>
      <c r="AO26" s="185">
        <f>AO24+AN26</f>
        <v>2714.8372900000008</v>
      </c>
      <c r="AP26" s="186">
        <f>AP24+AO26</f>
        <v>2714.8372900000008</v>
      </c>
      <c r="AQ26" s="183"/>
    </row>
    <row r="27" spans="1:43" ht="15.75" thickTop="1" x14ac:dyDescent="0.25">
      <c r="C27" s="67"/>
      <c r="D27" s="68"/>
      <c r="E27" s="67"/>
      <c r="F27" s="273"/>
      <c r="G27" s="273"/>
      <c r="H27" s="273"/>
      <c r="I27" s="273"/>
      <c r="J27" s="273"/>
      <c r="K27" s="63"/>
      <c r="L27" s="129"/>
      <c r="M27" s="129"/>
      <c r="N27" s="129"/>
      <c r="O27" s="129"/>
      <c r="P27" s="129"/>
      <c r="Q27" s="129"/>
      <c r="R27" s="58"/>
      <c r="S27" s="193"/>
      <c r="T27" s="193"/>
      <c r="U27" s="193"/>
      <c r="V27" s="193"/>
      <c r="W27" s="193"/>
      <c r="X27" s="193"/>
      <c r="Y27" s="193"/>
      <c r="Z27" s="193"/>
      <c r="AA27" s="193"/>
      <c r="AB27" s="193"/>
      <c r="AC27" s="193"/>
      <c r="AD27" s="193"/>
      <c r="AE27" s="193"/>
      <c r="AF27" s="193"/>
      <c r="AG27" s="193"/>
      <c r="AH27" s="193"/>
      <c r="AI27" s="193"/>
      <c r="AJ27" s="193"/>
      <c r="AK27" s="193"/>
      <c r="AL27" s="193"/>
      <c r="AM27" s="193"/>
      <c r="AN27" s="193"/>
      <c r="AO27" s="193"/>
      <c r="AP27" s="193"/>
      <c r="AQ27" s="183"/>
    </row>
    <row r="28" spans="1:43" s="107" customFormat="1" x14ac:dyDescent="0.25">
      <c r="A28" s="187"/>
      <c r="B28" s="188"/>
      <c r="C28" s="189"/>
      <c r="D28" s="190"/>
      <c r="E28" s="191"/>
      <c r="F28" s="192"/>
      <c r="G28" s="192"/>
      <c r="I28" s="192"/>
      <c r="J28" s="192"/>
      <c r="K28" s="63"/>
      <c r="L28" s="119"/>
      <c r="M28" s="119"/>
      <c r="N28" s="119"/>
      <c r="O28" s="119"/>
      <c r="P28" s="119"/>
      <c r="Q28" s="119"/>
      <c r="R28" s="58"/>
      <c r="S28" s="194"/>
      <c r="T28" s="194"/>
      <c r="U28" s="194"/>
      <c r="V28" s="194"/>
      <c r="W28" s="194"/>
      <c r="X28" s="194"/>
      <c r="Y28" s="194"/>
      <c r="Z28" s="194"/>
      <c r="AA28" s="194"/>
      <c r="AB28" s="194"/>
      <c r="AC28" s="194"/>
      <c r="AD28" s="194"/>
      <c r="AE28" s="194"/>
      <c r="AF28" s="194"/>
      <c r="AG28" s="194"/>
      <c r="AH28" s="194"/>
      <c r="AI28" s="194"/>
      <c r="AJ28" s="194"/>
      <c r="AK28" s="194"/>
      <c r="AL28" s="194"/>
      <c r="AM28" s="194"/>
      <c r="AN28" s="194"/>
      <c r="AO28" s="194"/>
      <c r="AP28" s="194"/>
      <c r="AQ28" s="183"/>
    </row>
    <row r="29" spans="1:43" s="107" customFormat="1" x14ac:dyDescent="0.25">
      <c r="A29" s="187"/>
      <c r="B29" s="188"/>
      <c r="C29" s="176" t="s">
        <v>34</v>
      </c>
      <c r="D29" s="172"/>
      <c r="E29" s="173"/>
      <c r="F29" s="106"/>
      <c r="G29" s="106"/>
      <c r="H29" s="105"/>
      <c r="I29" s="106"/>
      <c r="J29" s="106"/>
      <c r="K29" s="63"/>
      <c r="L29" s="105"/>
      <c r="M29" s="105"/>
      <c r="N29" s="105"/>
      <c r="O29" s="105"/>
      <c r="P29" s="105"/>
      <c r="Q29" s="105"/>
      <c r="R29" s="58"/>
      <c r="S29" s="106"/>
      <c r="T29" s="106"/>
      <c r="U29" s="106"/>
      <c r="V29" s="106"/>
      <c r="W29" s="106"/>
      <c r="X29" s="106"/>
      <c r="Y29" s="106"/>
      <c r="Z29" s="106"/>
      <c r="AA29" s="106"/>
      <c r="AB29" s="106"/>
      <c r="AC29" s="106"/>
      <c r="AD29" s="106"/>
      <c r="AE29" s="106"/>
      <c r="AF29" s="106"/>
      <c r="AG29" s="106"/>
      <c r="AH29" s="106"/>
      <c r="AI29" s="106"/>
      <c r="AJ29" s="106"/>
      <c r="AK29" s="106"/>
      <c r="AL29" s="106"/>
      <c r="AM29" s="106"/>
      <c r="AN29" s="106"/>
      <c r="AO29" s="106"/>
      <c r="AP29" s="106"/>
      <c r="AQ29" s="183"/>
    </row>
    <row r="30" spans="1:43" s="107" customFormat="1" x14ac:dyDescent="0.25">
      <c r="A30" s="187"/>
      <c r="B30" s="188"/>
      <c r="C30" s="173" t="s">
        <v>35</v>
      </c>
      <c r="D30" s="172"/>
      <c r="E30" s="173"/>
      <c r="F30" s="106"/>
      <c r="G30" s="106"/>
      <c r="H30" s="105"/>
      <c r="I30" s="106"/>
      <c r="J30" s="106"/>
      <c r="K30" s="63"/>
      <c r="L30" s="105"/>
      <c r="M30" s="105"/>
      <c r="N30" s="105"/>
      <c r="O30" s="105"/>
      <c r="P30" s="105"/>
      <c r="Q30" s="105"/>
      <c r="R30" s="58"/>
      <c r="S30" s="195"/>
      <c r="T30" s="195"/>
      <c r="U30" s="195"/>
      <c r="V30" s="195"/>
      <c r="W30" s="195"/>
      <c r="X30" s="195"/>
      <c r="Y30" s="195"/>
      <c r="Z30" s="195"/>
      <c r="AA30" s="195"/>
      <c r="AB30" s="195"/>
      <c r="AC30" s="195"/>
      <c r="AD30" s="195"/>
      <c r="AE30" s="106"/>
      <c r="AF30" s="106"/>
      <c r="AG30" s="106"/>
      <c r="AH30" s="106"/>
      <c r="AI30" s="106"/>
      <c r="AJ30" s="106"/>
      <c r="AK30" s="106"/>
      <c r="AL30" s="106"/>
      <c r="AM30" s="106"/>
      <c r="AN30" s="106"/>
      <c r="AO30" s="106"/>
      <c r="AP30" s="106"/>
      <c r="AQ30" s="183"/>
    </row>
    <row r="31" spans="1:43" s="107" customFormat="1" ht="15.75" thickBot="1" x14ac:dyDescent="0.3">
      <c r="A31" s="187"/>
      <c r="B31" s="188"/>
      <c r="C31" s="173"/>
      <c r="D31" s="172"/>
      <c r="E31" s="173"/>
      <c r="F31" s="106"/>
      <c r="G31" s="106"/>
      <c r="H31" s="105"/>
      <c r="I31" s="106"/>
      <c r="J31" s="106"/>
      <c r="K31" s="63"/>
      <c r="L31" s="105"/>
      <c r="M31" s="105"/>
      <c r="N31" s="105"/>
      <c r="O31" s="105"/>
      <c r="P31" s="105"/>
      <c r="Q31" s="105"/>
      <c r="R31" s="58"/>
      <c r="S31" s="106"/>
      <c r="T31" s="106"/>
      <c r="U31" s="106"/>
      <c r="V31" s="106"/>
      <c r="W31" s="106"/>
      <c r="X31" s="106"/>
      <c r="Y31" s="106"/>
      <c r="Z31" s="106"/>
      <c r="AA31" s="106"/>
      <c r="AB31" s="106"/>
      <c r="AC31" s="106"/>
      <c r="AD31" s="106"/>
      <c r="AE31" s="106"/>
      <c r="AF31" s="106"/>
      <c r="AG31" s="106"/>
      <c r="AH31" s="106"/>
      <c r="AI31" s="106"/>
      <c r="AJ31" s="106"/>
      <c r="AK31" s="106"/>
      <c r="AL31" s="106"/>
      <c r="AM31" s="106"/>
      <c r="AN31" s="106"/>
      <c r="AO31" s="106"/>
      <c r="AP31" s="106"/>
      <c r="AQ31" s="183"/>
    </row>
    <row r="32" spans="1:43" s="117" customFormat="1" ht="30.75" thickBot="1" x14ac:dyDescent="0.3">
      <c r="A32" s="169"/>
      <c r="B32" s="170"/>
      <c r="C32" s="51" t="s">
        <v>15</v>
      </c>
      <c r="D32" s="52" t="s">
        <v>16</v>
      </c>
      <c r="E32" s="53" t="s">
        <v>17</v>
      </c>
      <c r="F32" s="54" t="s">
        <v>18</v>
      </c>
      <c r="G32" s="45" t="s">
        <v>19</v>
      </c>
      <c r="H32" s="45" t="s">
        <v>20</v>
      </c>
      <c r="I32" s="45" t="s">
        <v>21</v>
      </c>
      <c r="J32" s="46" t="s">
        <v>22</v>
      </c>
      <c r="K32" s="63"/>
      <c r="L32" s="44" t="str">
        <f>L$11</f>
        <v>2014 CWIP</v>
      </c>
      <c r="M32" s="45" t="str">
        <f>M$11</f>
        <v>2015 Total Expenditures</v>
      </c>
      <c r="N32" s="45" t="str">
        <f t="shared" ref="N32:Q32" si="12">N$11</f>
        <v>2016 Total Expenditures</v>
      </c>
      <c r="O32" s="45" t="str">
        <f t="shared" si="12"/>
        <v>2014 ISO CWIP Less Collectible</v>
      </c>
      <c r="P32" s="45" t="str">
        <f t="shared" si="12"/>
        <v>2015 ISO Expenditures Less Collectible</v>
      </c>
      <c r="Q32" s="46" t="str">
        <f t="shared" si="12"/>
        <v>2016 ISO Expenditures Less Collectible</v>
      </c>
      <c r="R32" s="58"/>
      <c r="S32" s="204">
        <f>$D$3</f>
        <v>42005</v>
      </c>
      <c r="T32" s="84">
        <f t="shared" ref="T32:AL32" si="13">DATE(YEAR(S32),MONTH(S32)+1,DAY(S32))</f>
        <v>42036</v>
      </c>
      <c r="U32" s="84">
        <f t="shared" si="13"/>
        <v>42064</v>
      </c>
      <c r="V32" s="84">
        <f t="shared" si="13"/>
        <v>42095</v>
      </c>
      <c r="W32" s="84">
        <f t="shared" si="13"/>
        <v>42125</v>
      </c>
      <c r="X32" s="84">
        <f t="shared" si="13"/>
        <v>42156</v>
      </c>
      <c r="Y32" s="84">
        <f t="shared" si="13"/>
        <v>42186</v>
      </c>
      <c r="Z32" s="84">
        <f t="shared" si="13"/>
        <v>42217</v>
      </c>
      <c r="AA32" s="84">
        <f t="shared" si="13"/>
        <v>42248</v>
      </c>
      <c r="AB32" s="84">
        <f t="shared" si="13"/>
        <v>42278</v>
      </c>
      <c r="AC32" s="84">
        <f t="shared" si="13"/>
        <v>42309</v>
      </c>
      <c r="AD32" s="205">
        <f t="shared" si="13"/>
        <v>42339</v>
      </c>
      <c r="AE32" s="84">
        <f>DATE(YEAR(AD32),MONTH(AD32)+1,DAY(AD32))</f>
        <v>42370</v>
      </c>
      <c r="AF32" s="84">
        <f t="shared" si="13"/>
        <v>42401</v>
      </c>
      <c r="AG32" s="84">
        <f t="shared" si="13"/>
        <v>42430</v>
      </c>
      <c r="AH32" s="84">
        <f t="shared" si="13"/>
        <v>42461</v>
      </c>
      <c r="AI32" s="84">
        <f t="shared" si="13"/>
        <v>42491</v>
      </c>
      <c r="AJ32" s="84">
        <f t="shared" si="13"/>
        <v>42522</v>
      </c>
      <c r="AK32" s="84">
        <f t="shared" si="13"/>
        <v>42552</v>
      </c>
      <c r="AL32" s="84">
        <f t="shared" si="13"/>
        <v>42583</v>
      </c>
      <c r="AM32" s="84">
        <f>DATE(YEAR(AL32),MONTH(AL32)+1,DAY(AL32))</f>
        <v>42614</v>
      </c>
      <c r="AN32" s="84">
        <f>DATE(YEAR(AM32),MONTH(AM32)+1,DAY(AM32))</f>
        <v>42644</v>
      </c>
      <c r="AO32" s="84">
        <f>DATE(YEAR(AN32),MONTH(AN32)+1,DAY(AN32))</f>
        <v>42675</v>
      </c>
      <c r="AP32" s="84">
        <f>DATE(YEAR(AO32),MONTH(AO32)+1,DAY(AO32))</f>
        <v>42705</v>
      </c>
      <c r="AQ32" s="196"/>
    </row>
    <row r="33" spans="1:43" s="183" customFormat="1" x14ac:dyDescent="0.25">
      <c r="A33" s="178" t="str">
        <f t="shared" ref="A33:A44" si="14">+$C$6</f>
        <v>Devers Colorado River (DCR)</v>
      </c>
      <c r="B33" s="179" t="s">
        <v>36</v>
      </c>
      <c r="C33" s="56" t="str">
        <f t="shared" ref="C33:J43" si="15">C12</f>
        <v>CET-ET-TP-EC-484700</v>
      </c>
      <c r="D33" s="57" t="str">
        <f t="shared" si="15"/>
        <v xml:space="preserve">DCR: Preliminary Engineering, Licensing </v>
      </c>
      <c r="E33" s="58">
        <f t="shared" si="15"/>
        <v>4847</v>
      </c>
      <c r="F33" s="60" t="str">
        <f t="shared" si="15"/>
        <v>High</v>
      </c>
      <c r="G33" s="59">
        <f t="shared" si="15"/>
        <v>41640</v>
      </c>
      <c r="H33" s="60" t="str">
        <f t="shared" si="15"/>
        <v>TR-LINEINC</v>
      </c>
      <c r="I33" s="61">
        <f t="shared" si="15"/>
        <v>0</v>
      </c>
      <c r="J33" s="62">
        <f t="shared" si="15"/>
        <v>1</v>
      </c>
      <c r="K33" s="63"/>
      <c r="L33" s="234">
        <f t="shared" ref="L33:N43" si="16">L12</f>
        <v>0</v>
      </c>
      <c r="M33" s="64">
        <f t="shared" si="16"/>
        <v>0.11478999999999928</v>
      </c>
      <c r="N33" s="64">
        <f t="shared" si="16"/>
        <v>0</v>
      </c>
      <c r="O33" s="64">
        <f t="shared" ref="O33:O44" si="17">$L33*$J33*(1-$I33)</f>
        <v>0</v>
      </c>
      <c r="P33" s="64">
        <f t="shared" ref="P33:P44" si="18">$M33*$J33*(1-$I33)</f>
        <v>0.11478999999999928</v>
      </c>
      <c r="Q33" s="65">
        <f t="shared" ref="Q33:Q44" si="19">$N33*$J33*(1-$I33)</f>
        <v>0</v>
      </c>
      <c r="R33" s="59"/>
      <c r="S33" s="206">
        <v>3.2523299999999997</v>
      </c>
      <c r="T33" s="207">
        <v>0</v>
      </c>
      <c r="U33" s="207">
        <v>22.862459999999999</v>
      </c>
      <c r="V33" s="207">
        <v>0</v>
      </c>
      <c r="W33" s="207">
        <v>0</v>
      </c>
      <c r="X33" s="207">
        <v>-26</v>
      </c>
      <c r="Y33" s="207">
        <v>0</v>
      </c>
      <c r="Z33" s="207">
        <v>0</v>
      </c>
      <c r="AA33" s="207">
        <v>0</v>
      </c>
      <c r="AB33" s="207">
        <v>0</v>
      </c>
      <c r="AC33" s="207">
        <v>0</v>
      </c>
      <c r="AD33" s="207">
        <v>0</v>
      </c>
      <c r="AE33" s="207">
        <v>0</v>
      </c>
      <c r="AF33" s="207">
        <v>0</v>
      </c>
      <c r="AG33" s="207">
        <v>0</v>
      </c>
      <c r="AH33" s="207">
        <v>0</v>
      </c>
      <c r="AI33" s="207">
        <v>0</v>
      </c>
      <c r="AJ33" s="207">
        <v>0</v>
      </c>
      <c r="AK33" s="207">
        <v>0</v>
      </c>
      <c r="AL33" s="207">
        <v>0</v>
      </c>
      <c r="AM33" s="207">
        <v>0</v>
      </c>
      <c r="AN33" s="207">
        <v>0</v>
      </c>
      <c r="AO33" s="207">
        <v>0</v>
      </c>
      <c r="AP33" s="197">
        <v>0</v>
      </c>
    </row>
    <row r="34" spans="1:43" s="183" customFormat="1" x14ac:dyDescent="0.25">
      <c r="A34" s="178" t="str">
        <f t="shared" si="14"/>
        <v>Devers Colorado River (DCR)</v>
      </c>
      <c r="B34" s="179" t="s">
        <v>36</v>
      </c>
      <c r="C34" s="56" t="str">
        <f t="shared" si="15"/>
        <v>CET-ET-TP-EC-484701</v>
      </c>
      <c r="D34" s="66" t="str">
        <f t="shared" si="15"/>
        <v>Devers - Colorado River #2 500KV T/L: Build 110 mile single circuit 500kV T/L with 2B-2156 ACSR conductor, including OPGW, paralleling the existing Devers - Palo Verde #1 500kV T/L terminating at Colorado River Substation.</v>
      </c>
      <c r="E34" s="58">
        <f t="shared" si="15"/>
        <v>4847</v>
      </c>
      <c r="F34" s="60" t="str">
        <f t="shared" si="15"/>
        <v>High</v>
      </c>
      <c r="G34" s="59">
        <f t="shared" si="15"/>
        <v>41426</v>
      </c>
      <c r="H34" s="60" t="str">
        <f t="shared" si="15"/>
        <v>TR-LINEINC</v>
      </c>
      <c r="I34" s="61">
        <f t="shared" si="15"/>
        <v>0</v>
      </c>
      <c r="J34" s="62">
        <f t="shared" si="15"/>
        <v>1</v>
      </c>
      <c r="K34" s="63"/>
      <c r="L34" s="234">
        <f t="shared" si="16"/>
        <v>0</v>
      </c>
      <c r="M34" s="64">
        <f t="shared" si="16"/>
        <v>409.07094999999998</v>
      </c>
      <c r="N34" s="64">
        <f t="shared" si="16"/>
        <v>0</v>
      </c>
      <c r="O34" s="64">
        <f t="shared" si="17"/>
        <v>0</v>
      </c>
      <c r="P34" s="64">
        <f t="shared" si="18"/>
        <v>409.07094999999998</v>
      </c>
      <c r="Q34" s="65">
        <f t="shared" si="19"/>
        <v>0</v>
      </c>
      <c r="R34" s="59"/>
      <c r="S34" s="180">
        <v>146.92802</v>
      </c>
      <c r="T34" s="181">
        <v>14.5784</v>
      </c>
      <c r="U34" s="181">
        <v>247.56452999999999</v>
      </c>
      <c r="V34" s="181">
        <v>0</v>
      </c>
      <c r="W34" s="181">
        <v>0</v>
      </c>
      <c r="X34" s="181">
        <v>0</v>
      </c>
      <c r="Y34" s="181">
        <v>0</v>
      </c>
      <c r="Z34" s="181">
        <v>0</v>
      </c>
      <c r="AA34" s="181">
        <v>0</v>
      </c>
      <c r="AB34" s="181">
        <v>0</v>
      </c>
      <c r="AC34" s="181">
        <v>0</v>
      </c>
      <c r="AD34" s="181">
        <v>0</v>
      </c>
      <c r="AE34" s="181">
        <v>0</v>
      </c>
      <c r="AF34" s="181">
        <v>0</v>
      </c>
      <c r="AG34" s="181">
        <v>0</v>
      </c>
      <c r="AH34" s="181">
        <v>0</v>
      </c>
      <c r="AI34" s="181">
        <v>0</v>
      </c>
      <c r="AJ34" s="181">
        <v>0</v>
      </c>
      <c r="AK34" s="181">
        <v>0</v>
      </c>
      <c r="AL34" s="181">
        <v>0</v>
      </c>
      <c r="AM34" s="181">
        <v>0</v>
      </c>
      <c r="AN34" s="181">
        <v>0</v>
      </c>
      <c r="AO34" s="181">
        <v>0</v>
      </c>
      <c r="AP34" s="182">
        <v>0</v>
      </c>
    </row>
    <row r="35" spans="1:43" s="183" customFormat="1" x14ac:dyDescent="0.25">
      <c r="A35" s="178" t="str">
        <f t="shared" si="14"/>
        <v>Devers Colorado River (DCR)</v>
      </c>
      <c r="B35" s="179" t="s">
        <v>36</v>
      </c>
      <c r="C35" s="56" t="str">
        <f t="shared" si="15"/>
        <v>CET-ET-TP-EC-484705</v>
      </c>
      <c r="D35" s="66" t="str">
        <f t="shared" si="15"/>
        <v>Devers - Valley #2 500kV T/L: Build a new 42 mile single circuit 500kV T/L, including OPGW, with 2B-2156 KCMIL ACSR conductor, paralleling the existing Devers - Valley 500kV line.</v>
      </c>
      <c r="E35" s="58">
        <f t="shared" si="15"/>
        <v>4847</v>
      </c>
      <c r="F35" s="60" t="str">
        <f t="shared" si="15"/>
        <v>High</v>
      </c>
      <c r="G35" s="59">
        <f t="shared" si="15"/>
        <v>41518</v>
      </c>
      <c r="H35" s="60" t="str">
        <f t="shared" si="15"/>
        <v>TR-LINEINC</v>
      </c>
      <c r="I35" s="61">
        <f t="shared" si="15"/>
        <v>0</v>
      </c>
      <c r="J35" s="62">
        <f t="shared" si="15"/>
        <v>1</v>
      </c>
      <c r="K35" s="63"/>
      <c r="L35" s="234">
        <f t="shared" si="16"/>
        <v>0</v>
      </c>
      <c r="M35" s="64">
        <f t="shared" si="16"/>
        <v>1819.5737300000001</v>
      </c>
      <c r="N35" s="64">
        <f t="shared" si="16"/>
        <v>0</v>
      </c>
      <c r="O35" s="64">
        <f t="shared" si="17"/>
        <v>0</v>
      </c>
      <c r="P35" s="64">
        <f t="shared" si="18"/>
        <v>1819.5737300000001</v>
      </c>
      <c r="Q35" s="65">
        <f t="shared" si="19"/>
        <v>0</v>
      </c>
      <c r="R35" s="59"/>
      <c r="S35" s="180">
        <v>33.875039999999998</v>
      </c>
      <c r="T35" s="181">
        <v>187.62466000000001</v>
      </c>
      <c r="U35" s="181">
        <v>-467.92596999999995</v>
      </c>
      <c r="V35" s="181">
        <v>500</v>
      </c>
      <c r="W35" s="181">
        <v>500</v>
      </c>
      <c r="X35" s="181">
        <v>0</v>
      </c>
      <c r="Y35" s="181">
        <v>212</v>
      </c>
      <c r="Z35" s="181">
        <v>212</v>
      </c>
      <c r="AA35" s="181">
        <v>212</v>
      </c>
      <c r="AB35" s="181">
        <v>212</v>
      </c>
      <c r="AC35" s="181">
        <v>218</v>
      </c>
      <c r="AD35" s="181">
        <v>0</v>
      </c>
      <c r="AE35" s="181">
        <v>0</v>
      </c>
      <c r="AF35" s="181">
        <v>0</v>
      </c>
      <c r="AG35" s="181">
        <v>0</v>
      </c>
      <c r="AH35" s="181">
        <v>0</v>
      </c>
      <c r="AI35" s="181">
        <v>0</v>
      </c>
      <c r="AJ35" s="181">
        <v>0</v>
      </c>
      <c r="AK35" s="181">
        <v>0</v>
      </c>
      <c r="AL35" s="181">
        <v>0</v>
      </c>
      <c r="AM35" s="181">
        <v>0</v>
      </c>
      <c r="AN35" s="181">
        <v>0</v>
      </c>
      <c r="AO35" s="181">
        <v>0</v>
      </c>
      <c r="AP35" s="182">
        <v>0</v>
      </c>
    </row>
    <row r="36" spans="1:43" s="183" customFormat="1" x14ac:dyDescent="0.25">
      <c r="A36" s="178" t="str">
        <f t="shared" si="14"/>
        <v>Devers Colorado River (DCR)</v>
      </c>
      <c r="B36" s="179" t="s">
        <v>36</v>
      </c>
      <c r="C36" s="56" t="str">
        <f t="shared" si="15"/>
        <v>CET-ET-TP-EC-484716</v>
      </c>
      <c r="D36" s="66" t="str">
        <f t="shared" si="15"/>
        <v>I: DCR: Devers: Replace Circuit Breakers</v>
      </c>
      <c r="E36" s="58">
        <f t="shared" si="15"/>
        <v>4847</v>
      </c>
      <c r="F36" s="60" t="str">
        <f t="shared" si="15"/>
        <v>High</v>
      </c>
      <c r="G36" s="59">
        <f t="shared" si="15"/>
        <v>41395</v>
      </c>
      <c r="H36" s="60" t="str">
        <f t="shared" si="15"/>
        <v>TR-SUBINC</v>
      </c>
      <c r="I36" s="61">
        <f t="shared" si="15"/>
        <v>0</v>
      </c>
      <c r="J36" s="62">
        <f t="shared" si="15"/>
        <v>1</v>
      </c>
      <c r="K36" s="63"/>
      <c r="L36" s="234">
        <f t="shared" si="16"/>
        <v>0</v>
      </c>
      <c r="M36" s="64">
        <f t="shared" si="16"/>
        <v>0</v>
      </c>
      <c r="N36" s="64">
        <f t="shared" si="16"/>
        <v>0</v>
      </c>
      <c r="O36" s="64">
        <f t="shared" si="17"/>
        <v>0</v>
      </c>
      <c r="P36" s="64">
        <f t="shared" si="18"/>
        <v>0</v>
      </c>
      <c r="Q36" s="65">
        <f t="shared" si="19"/>
        <v>0</v>
      </c>
      <c r="R36" s="59"/>
      <c r="S36" s="180">
        <v>0</v>
      </c>
      <c r="T36" s="181">
        <v>0</v>
      </c>
      <c r="U36" s="181">
        <v>0</v>
      </c>
      <c r="V36" s="181">
        <v>0</v>
      </c>
      <c r="W36" s="181">
        <v>0</v>
      </c>
      <c r="X36" s="181">
        <v>0</v>
      </c>
      <c r="Y36" s="181">
        <v>0</v>
      </c>
      <c r="Z36" s="181">
        <v>0</v>
      </c>
      <c r="AA36" s="181">
        <v>0</v>
      </c>
      <c r="AB36" s="181">
        <v>0</v>
      </c>
      <c r="AC36" s="181">
        <v>0</v>
      </c>
      <c r="AD36" s="181">
        <v>0</v>
      </c>
      <c r="AE36" s="181">
        <v>0</v>
      </c>
      <c r="AF36" s="181">
        <v>0</v>
      </c>
      <c r="AG36" s="181">
        <v>0</v>
      </c>
      <c r="AH36" s="181">
        <v>0</v>
      </c>
      <c r="AI36" s="181">
        <v>0</v>
      </c>
      <c r="AJ36" s="181">
        <v>0</v>
      </c>
      <c r="AK36" s="181">
        <v>0</v>
      </c>
      <c r="AL36" s="181">
        <v>0</v>
      </c>
      <c r="AM36" s="181">
        <v>0</v>
      </c>
      <c r="AN36" s="181">
        <v>0</v>
      </c>
      <c r="AO36" s="181">
        <v>0</v>
      </c>
      <c r="AP36" s="182">
        <v>0</v>
      </c>
    </row>
    <row r="37" spans="1:43" s="183" customFormat="1" x14ac:dyDescent="0.25">
      <c r="A37" s="178" t="str">
        <f t="shared" si="14"/>
        <v>Devers Colorado River (DCR)</v>
      </c>
      <c r="B37" s="179" t="s">
        <v>36</v>
      </c>
      <c r="C37" s="56" t="str">
        <f t="shared" si="15"/>
        <v>CET-ET-TP-EC-484717</v>
      </c>
      <c r="D37" s="66" t="str">
        <f t="shared" si="15"/>
        <v>Devers Substation: Extend 500kV BUS two positions.</v>
      </c>
      <c r="E37" s="58">
        <f t="shared" si="15"/>
        <v>4847</v>
      </c>
      <c r="F37" s="60" t="str">
        <f t="shared" si="15"/>
        <v>High</v>
      </c>
      <c r="G37" s="59">
        <f t="shared" si="15"/>
        <v>41609</v>
      </c>
      <c r="H37" s="60" t="str">
        <f t="shared" si="15"/>
        <v>TR-SUBINC</v>
      </c>
      <c r="I37" s="61">
        <f t="shared" si="15"/>
        <v>0</v>
      </c>
      <c r="J37" s="62">
        <f t="shared" si="15"/>
        <v>1</v>
      </c>
      <c r="K37" s="63"/>
      <c r="L37" s="234">
        <f t="shared" si="16"/>
        <v>0</v>
      </c>
      <c r="M37" s="64">
        <f t="shared" si="16"/>
        <v>9.3815999999999988</v>
      </c>
      <c r="N37" s="64">
        <f t="shared" si="16"/>
        <v>0</v>
      </c>
      <c r="O37" s="64">
        <f t="shared" si="17"/>
        <v>0</v>
      </c>
      <c r="P37" s="64">
        <f t="shared" si="18"/>
        <v>9.3815999999999988</v>
      </c>
      <c r="Q37" s="65">
        <f t="shared" si="19"/>
        <v>0</v>
      </c>
      <c r="R37" s="59"/>
      <c r="S37" s="180">
        <v>3.6684899999999998</v>
      </c>
      <c r="T37" s="181">
        <v>2.7950300000000001</v>
      </c>
      <c r="U37" s="181">
        <v>2.9180799999999998</v>
      </c>
      <c r="V37" s="181">
        <v>0</v>
      </c>
      <c r="W37" s="181">
        <v>0</v>
      </c>
      <c r="X37" s="181">
        <v>0</v>
      </c>
      <c r="Y37" s="181">
        <v>0</v>
      </c>
      <c r="Z37" s="181">
        <v>0</v>
      </c>
      <c r="AA37" s="181">
        <v>0</v>
      </c>
      <c r="AB37" s="181">
        <v>0</v>
      </c>
      <c r="AC37" s="181">
        <v>0</v>
      </c>
      <c r="AD37" s="181">
        <v>0</v>
      </c>
      <c r="AE37" s="181">
        <v>0</v>
      </c>
      <c r="AF37" s="181">
        <v>0</v>
      </c>
      <c r="AG37" s="181">
        <v>0</v>
      </c>
      <c r="AH37" s="181">
        <v>0</v>
      </c>
      <c r="AI37" s="181">
        <v>0</v>
      </c>
      <c r="AJ37" s="181">
        <v>0</v>
      </c>
      <c r="AK37" s="181">
        <v>0</v>
      </c>
      <c r="AL37" s="181">
        <v>0</v>
      </c>
      <c r="AM37" s="181">
        <v>0</v>
      </c>
      <c r="AN37" s="181">
        <v>0</v>
      </c>
      <c r="AO37" s="181">
        <v>0</v>
      </c>
      <c r="AP37" s="182">
        <v>0</v>
      </c>
    </row>
    <row r="38" spans="1:43" s="183" customFormat="1" x14ac:dyDescent="0.25">
      <c r="A38" s="178" t="str">
        <f t="shared" si="14"/>
        <v>Devers Colorado River (DCR)</v>
      </c>
      <c r="B38" s="179" t="s">
        <v>36</v>
      </c>
      <c r="C38" s="56" t="str">
        <f t="shared" si="15"/>
        <v>CET-ET-TP-EC-484722</v>
      </c>
      <c r="D38" s="66" t="str">
        <f t="shared" si="15"/>
        <v>Valley Substation: Equip line position 8X with two 4000A, 63kA, 500kV circuit breakers and other associated equipment to terminate the new Devers - Valley #2 500kV T/L.</v>
      </c>
      <c r="E38" s="58">
        <f t="shared" si="15"/>
        <v>4847</v>
      </c>
      <c r="F38" s="60" t="str">
        <f t="shared" si="15"/>
        <v>High</v>
      </c>
      <c r="G38" s="59">
        <f t="shared" si="15"/>
        <v>41518</v>
      </c>
      <c r="H38" s="60" t="str">
        <f t="shared" si="15"/>
        <v>TR-SUBINC</v>
      </c>
      <c r="I38" s="61">
        <f t="shared" si="15"/>
        <v>0</v>
      </c>
      <c r="J38" s="62">
        <f t="shared" si="15"/>
        <v>1</v>
      </c>
      <c r="K38" s="63"/>
      <c r="L38" s="234">
        <f t="shared" si="16"/>
        <v>0</v>
      </c>
      <c r="M38" s="64">
        <f t="shared" si="16"/>
        <v>23.79027</v>
      </c>
      <c r="N38" s="64">
        <f t="shared" si="16"/>
        <v>0</v>
      </c>
      <c r="O38" s="64">
        <f t="shared" si="17"/>
        <v>0</v>
      </c>
      <c r="P38" s="64">
        <f t="shared" si="18"/>
        <v>23.79027</v>
      </c>
      <c r="Q38" s="65">
        <f t="shared" si="19"/>
        <v>0</v>
      </c>
      <c r="R38" s="59"/>
      <c r="S38" s="180">
        <v>2.8633899999999999</v>
      </c>
      <c r="T38" s="181">
        <v>2.4691100000000001</v>
      </c>
      <c r="U38" s="181">
        <v>18.45777</v>
      </c>
      <c r="V38" s="181">
        <v>0</v>
      </c>
      <c r="W38" s="181">
        <v>0</v>
      </c>
      <c r="X38" s="181">
        <v>0</v>
      </c>
      <c r="Y38" s="181">
        <v>0</v>
      </c>
      <c r="Z38" s="181">
        <v>0</v>
      </c>
      <c r="AA38" s="181">
        <v>0</v>
      </c>
      <c r="AB38" s="181">
        <v>0</v>
      </c>
      <c r="AC38" s="181">
        <v>0</v>
      </c>
      <c r="AD38" s="181">
        <v>0</v>
      </c>
      <c r="AE38" s="181">
        <v>0</v>
      </c>
      <c r="AF38" s="181">
        <v>0</v>
      </c>
      <c r="AG38" s="181">
        <v>0</v>
      </c>
      <c r="AH38" s="181">
        <v>0</v>
      </c>
      <c r="AI38" s="181">
        <v>0</v>
      </c>
      <c r="AJ38" s="181">
        <v>0</v>
      </c>
      <c r="AK38" s="181">
        <v>0</v>
      </c>
      <c r="AL38" s="181">
        <v>0</v>
      </c>
      <c r="AM38" s="181">
        <v>0</v>
      </c>
      <c r="AN38" s="181">
        <v>0</v>
      </c>
      <c r="AO38" s="181">
        <v>0</v>
      </c>
      <c r="AP38" s="182">
        <v>0</v>
      </c>
    </row>
    <row r="39" spans="1:43" s="183" customFormat="1" x14ac:dyDescent="0.25">
      <c r="A39" s="178" t="str">
        <f t="shared" si="14"/>
        <v>Devers Colorado River (DCR)</v>
      </c>
      <c r="B39" s="179" t="s">
        <v>36</v>
      </c>
      <c r="C39" s="56" t="str">
        <f t="shared" si="15"/>
        <v>CET-ET-TP-EC-484701</v>
      </c>
      <c r="D39" s="66" t="str">
        <f t="shared" si="15"/>
        <v xml:space="preserve">Devers-Colorado River 500KV SERIES CAP (CA): Install an additional 500KV SERIES CAPACITOR BANK for the new Devers - Colorado River No.2 500KV Transmission Line. </v>
      </c>
      <c r="E39" s="58">
        <f t="shared" si="15"/>
        <v>4847</v>
      </c>
      <c r="F39" s="60" t="str">
        <f t="shared" si="15"/>
        <v>High</v>
      </c>
      <c r="G39" s="59">
        <f t="shared" si="15"/>
        <v>41609</v>
      </c>
      <c r="H39" s="60" t="str">
        <f t="shared" si="15"/>
        <v>TR-LINEINC</v>
      </c>
      <c r="I39" s="61">
        <f t="shared" si="15"/>
        <v>0</v>
      </c>
      <c r="J39" s="62">
        <f t="shared" si="15"/>
        <v>1</v>
      </c>
      <c r="K39" s="63"/>
      <c r="L39" s="234">
        <f t="shared" si="16"/>
        <v>0</v>
      </c>
      <c r="M39" s="64">
        <f t="shared" si="16"/>
        <v>8.3638899999999996</v>
      </c>
      <c r="N39" s="64">
        <f t="shared" si="16"/>
        <v>0</v>
      </c>
      <c r="O39" s="64">
        <f t="shared" si="17"/>
        <v>0</v>
      </c>
      <c r="P39" s="64">
        <f t="shared" si="18"/>
        <v>8.3638899999999996</v>
      </c>
      <c r="Q39" s="65">
        <f t="shared" si="19"/>
        <v>0</v>
      </c>
      <c r="R39" s="59"/>
      <c r="S39" s="180">
        <v>1.6625699999999999</v>
      </c>
      <c r="T39" s="181">
        <v>5.0520500000000004</v>
      </c>
      <c r="U39" s="181">
        <v>1.64927</v>
      </c>
      <c r="V39" s="181">
        <v>0</v>
      </c>
      <c r="W39" s="181">
        <v>0</v>
      </c>
      <c r="X39" s="181">
        <v>0</v>
      </c>
      <c r="Y39" s="181">
        <v>0</v>
      </c>
      <c r="Z39" s="181">
        <v>0</v>
      </c>
      <c r="AA39" s="181">
        <v>0</v>
      </c>
      <c r="AB39" s="181">
        <v>0</v>
      </c>
      <c r="AC39" s="181">
        <v>0</v>
      </c>
      <c r="AD39" s="181">
        <v>0</v>
      </c>
      <c r="AE39" s="181">
        <v>0</v>
      </c>
      <c r="AF39" s="181">
        <v>0</v>
      </c>
      <c r="AG39" s="181">
        <v>0</v>
      </c>
      <c r="AH39" s="181">
        <v>0</v>
      </c>
      <c r="AI39" s="181">
        <v>0</v>
      </c>
      <c r="AJ39" s="181">
        <v>0</v>
      </c>
      <c r="AK39" s="181">
        <v>0</v>
      </c>
      <c r="AL39" s="181">
        <v>0</v>
      </c>
      <c r="AM39" s="181">
        <v>0</v>
      </c>
      <c r="AN39" s="181">
        <v>0</v>
      </c>
      <c r="AO39" s="181">
        <v>0</v>
      </c>
      <c r="AP39" s="182">
        <v>0</v>
      </c>
    </row>
    <row r="40" spans="1:43" s="183" customFormat="1" x14ac:dyDescent="0.25">
      <c r="A40" s="178" t="str">
        <f t="shared" si="14"/>
        <v>Devers Colorado River (DCR)</v>
      </c>
      <c r="B40" s="179" t="s">
        <v>36</v>
      </c>
      <c r="C40" s="56" t="str">
        <f t="shared" si="15"/>
        <v>CET-ET-TP-EC-484726</v>
      </c>
      <c r="D40" s="66" t="str">
        <f t="shared" si="15"/>
        <v>Colorado River Switchyard: Construct a new 6 position 500kV switchyard.</v>
      </c>
      <c r="E40" s="58">
        <f t="shared" si="15"/>
        <v>4847</v>
      </c>
      <c r="F40" s="60" t="str">
        <f t="shared" si="15"/>
        <v>High</v>
      </c>
      <c r="G40" s="59">
        <f t="shared" si="15"/>
        <v>41426</v>
      </c>
      <c r="H40" s="60" t="str">
        <f t="shared" si="15"/>
        <v>TR-SUBINC</v>
      </c>
      <c r="I40" s="61">
        <f t="shared" si="15"/>
        <v>0</v>
      </c>
      <c r="J40" s="62">
        <f t="shared" si="15"/>
        <v>1</v>
      </c>
      <c r="K40" s="63"/>
      <c r="L40" s="234">
        <f t="shared" si="16"/>
        <v>0</v>
      </c>
      <c r="M40" s="64">
        <f t="shared" si="16"/>
        <v>275.34956</v>
      </c>
      <c r="N40" s="64">
        <f t="shared" si="16"/>
        <v>0</v>
      </c>
      <c r="O40" s="64">
        <f t="shared" si="17"/>
        <v>0</v>
      </c>
      <c r="P40" s="64">
        <f t="shared" si="18"/>
        <v>275.34956</v>
      </c>
      <c r="Q40" s="65">
        <f t="shared" si="19"/>
        <v>0</v>
      </c>
      <c r="R40" s="59"/>
      <c r="S40" s="180">
        <v>7.8702500000000004</v>
      </c>
      <c r="T40" s="181">
        <v>7.6709300000000002</v>
      </c>
      <c r="U40" s="181">
        <v>59.80838</v>
      </c>
      <c r="V40" s="181">
        <v>0</v>
      </c>
      <c r="W40" s="181">
        <v>0</v>
      </c>
      <c r="X40" s="181">
        <v>200</v>
      </c>
      <c r="Y40" s="181">
        <v>0</v>
      </c>
      <c r="Z40" s="181">
        <v>0</v>
      </c>
      <c r="AA40" s="181">
        <v>0</v>
      </c>
      <c r="AB40" s="181">
        <v>0</v>
      </c>
      <c r="AC40" s="181">
        <v>0</v>
      </c>
      <c r="AD40" s="181">
        <v>0</v>
      </c>
      <c r="AE40" s="181">
        <v>0</v>
      </c>
      <c r="AF40" s="181">
        <v>0</v>
      </c>
      <c r="AG40" s="181">
        <v>0</v>
      </c>
      <c r="AH40" s="181">
        <v>0</v>
      </c>
      <c r="AI40" s="181">
        <v>0</v>
      </c>
      <c r="AJ40" s="181">
        <v>0</v>
      </c>
      <c r="AK40" s="181">
        <v>0</v>
      </c>
      <c r="AL40" s="181">
        <v>0</v>
      </c>
      <c r="AM40" s="181">
        <v>0</v>
      </c>
      <c r="AN40" s="181">
        <v>0</v>
      </c>
      <c r="AO40" s="181">
        <v>0</v>
      </c>
      <c r="AP40" s="182">
        <v>0</v>
      </c>
    </row>
    <row r="41" spans="1:43" s="183" customFormat="1" x14ac:dyDescent="0.25">
      <c r="A41" s="178" t="str">
        <f t="shared" si="14"/>
        <v>Devers Colorado River (DCR)</v>
      </c>
      <c r="B41" s="179" t="s">
        <v>36</v>
      </c>
      <c r="C41" s="56" t="str">
        <f t="shared" si="15"/>
        <v>CET-ET-TP-EC-484728</v>
      </c>
      <c r="D41" s="66" t="str">
        <f t="shared" si="15"/>
        <v>Development of the Material Yards and helicopter assembly yards.</v>
      </c>
      <c r="E41" s="58">
        <f t="shared" si="15"/>
        <v>4847</v>
      </c>
      <c r="F41" s="60" t="str">
        <f t="shared" si="15"/>
        <v>High</v>
      </c>
      <c r="G41" s="278">
        <f t="shared" si="15"/>
        <v>42156</v>
      </c>
      <c r="H41" s="60" t="str">
        <f t="shared" si="15"/>
        <v>TR-SUBINC</v>
      </c>
      <c r="I41" s="61">
        <f t="shared" si="15"/>
        <v>0</v>
      </c>
      <c r="J41" s="62">
        <f t="shared" si="15"/>
        <v>1</v>
      </c>
      <c r="K41" s="63"/>
      <c r="L41" s="234">
        <f t="shared" si="16"/>
        <v>86.020760000001644</v>
      </c>
      <c r="M41" s="64">
        <f t="shared" si="16"/>
        <v>-0.15804999999999936</v>
      </c>
      <c r="N41" s="64">
        <f t="shared" si="16"/>
        <v>0</v>
      </c>
      <c r="O41" s="64">
        <f t="shared" si="17"/>
        <v>86.020760000001644</v>
      </c>
      <c r="P41" s="64">
        <f t="shared" si="18"/>
        <v>-0.15804999999999936</v>
      </c>
      <c r="Q41" s="65">
        <f t="shared" si="19"/>
        <v>0</v>
      </c>
      <c r="R41" s="59"/>
      <c r="S41" s="180">
        <v>8.501100000000001</v>
      </c>
      <c r="T41" s="181">
        <v>1.37748</v>
      </c>
      <c r="U41" s="181">
        <v>2.9633699999999998</v>
      </c>
      <c r="V41" s="181">
        <v>0</v>
      </c>
      <c r="W41" s="181">
        <v>0</v>
      </c>
      <c r="X41" s="181">
        <v>-13</v>
      </c>
      <c r="Y41" s="181">
        <v>0</v>
      </c>
      <c r="Z41" s="181">
        <v>0</v>
      </c>
      <c r="AA41" s="181">
        <v>0</v>
      </c>
      <c r="AB41" s="181">
        <v>0</v>
      </c>
      <c r="AC41" s="181">
        <v>0</v>
      </c>
      <c r="AD41" s="181">
        <v>0</v>
      </c>
      <c r="AE41" s="181">
        <v>0</v>
      </c>
      <c r="AF41" s="181">
        <v>0</v>
      </c>
      <c r="AG41" s="181">
        <v>0</v>
      </c>
      <c r="AH41" s="181">
        <v>0</v>
      </c>
      <c r="AI41" s="181">
        <v>0</v>
      </c>
      <c r="AJ41" s="181">
        <v>0</v>
      </c>
      <c r="AK41" s="181">
        <v>0</v>
      </c>
      <c r="AL41" s="181">
        <v>0</v>
      </c>
      <c r="AM41" s="181">
        <v>0</v>
      </c>
      <c r="AN41" s="181">
        <v>0</v>
      </c>
      <c r="AO41" s="181">
        <v>0</v>
      </c>
      <c r="AP41" s="182">
        <v>0</v>
      </c>
    </row>
    <row r="42" spans="1:43" s="183" customFormat="1" x14ac:dyDescent="0.25">
      <c r="A42" s="178" t="str">
        <f t="shared" si="14"/>
        <v>Devers Colorado River (DCR)</v>
      </c>
      <c r="B42" s="179" t="s">
        <v>36</v>
      </c>
      <c r="C42" s="56" t="str">
        <f t="shared" si="15"/>
        <v>CET-ET-TP-EC-484704</v>
      </c>
      <c r="D42" s="66" t="str">
        <f t="shared" si="15"/>
        <v>Devers - Valley T/L: Relocate approximately 0.25 mile of existing single - circuit 500kV T/L.</v>
      </c>
      <c r="E42" s="58">
        <f t="shared" si="15"/>
        <v>4847</v>
      </c>
      <c r="F42" s="60" t="str">
        <f t="shared" si="15"/>
        <v>High</v>
      </c>
      <c r="G42" s="59">
        <f t="shared" si="15"/>
        <v>41518</v>
      </c>
      <c r="H42" s="60" t="str">
        <f t="shared" si="15"/>
        <v>TR-LINEINC</v>
      </c>
      <c r="I42" s="61">
        <f t="shared" si="15"/>
        <v>0</v>
      </c>
      <c r="J42" s="62">
        <f t="shared" si="15"/>
        <v>1</v>
      </c>
      <c r="K42" s="63"/>
      <c r="L42" s="234">
        <f t="shared" si="16"/>
        <v>0</v>
      </c>
      <c r="M42" s="64">
        <f t="shared" si="16"/>
        <v>0</v>
      </c>
      <c r="N42" s="64">
        <f t="shared" si="16"/>
        <v>0</v>
      </c>
      <c r="O42" s="64">
        <f t="shared" si="17"/>
        <v>0</v>
      </c>
      <c r="P42" s="64">
        <f t="shared" si="18"/>
        <v>0</v>
      </c>
      <c r="Q42" s="65">
        <f t="shared" si="19"/>
        <v>0</v>
      </c>
      <c r="R42" s="59"/>
      <c r="S42" s="180">
        <v>0</v>
      </c>
      <c r="T42" s="181">
        <v>0</v>
      </c>
      <c r="U42" s="181">
        <v>0</v>
      </c>
      <c r="V42" s="181">
        <v>0</v>
      </c>
      <c r="W42" s="181">
        <v>0</v>
      </c>
      <c r="X42" s="181">
        <v>0</v>
      </c>
      <c r="Y42" s="181">
        <v>0</v>
      </c>
      <c r="Z42" s="181">
        <v>0</v>
      </c>
      <c r="AA42" s="181">
        <v>0</v>
      </c>
      <c r="AB42" s="181">
        <v>0</v>
      </c>
      <c r="AC42" s="181">
        <v>0</v>
      </c>
      <c r="AD42" s="181">
        <v>0</v>
      </c>
      <c r="AE42" s="181">
        <v>0</v>
      </c>
      <c r="AF42" s="181">
        <v>0</v>
      </c>
      <c r="AG42" s="181">
        <v>0</v>
      </c>
      <c r="AH42" s="181">
        <v>0</v>
      </c>
      <c r="AI42" s="181">
        <v>0</v>
      </c>
      <c r="AJ42" s="181">
        <v>0</v>
      </c>
      <c r="AK42" s="181">
        <v>0</v>
      </c>
      <c r="AL42" s="181">
        <v>0</v>
      </c>
      <c r="AM42" s="181">
        <v>0</v>
      </c>
      <c r="AN42" s="181">
        <v>0</v>
      </c>
      <c r="AO42" s="181">
        <v>0</v>
      </c>
      <c r="AP42" s="182">
        <v>0</v>
      </c>
    </row>
    <row r="43" spans="1:43" s="183" customFormat="1" x14ac:dyDescent="0.25">
      <c r="A43" s="178" t="str">
        <f t="shared" si="14"/>
        <v>Devers Colorado River (DCR)</v>
      </c>
      <c r="B43" s="179" t="s">
        <v>36</v>
      </c>
      <c r="C43" s="56" t="str">
        <f t="shared" si="15"/>
        <v>CET-ET-TP-EC-484726</v>
      </c>
      <c r="D43" s="66" t="str">
        <f t="shared" si="15"/>
        <v>Colorado River Substation: Upgrade HVAC system kV MEER Building</v>
      </c>
      <c r="E43" s="58">
        <f t="shared" si="15"/>
        <v>4847</v>
      </c>
      <c r="F43" s="60" t="str">
        <f t="shared" si="15"/>
        <v>High</v>
      </c>
      <c r="G43" s="278">
        <f t="shared" si="15"/>
        <v>42095</v>
      </c>
      <c r="H43" s="60" t="str">
        <f t="shared" si="15"/>
        <v>TR-SUBINC</v>
      </c>
      <c r="I43" s="61">
        <f t="shared" si="15"/>
        <v>0</v>
      </c>
      <c r="J43" s="62">
        <f t="shared" si="15"/>
        <v>1</v>
      </c>
      <c r="K43" s="63"/>
      <c r="L43" s="284">
        <f t="shared" si="16"/>
        <v>3.7122100000000002</v>
      </c>
      <c r="M43" s="64">
        <f t="shared" si="16"/>
        <v>25</v>
      </c>
      <c r="N43" s="64">
        <f t="shared" si="16"/>
        <v>0</v>
      </c>
      <c r="O43" s="64">
        <f t="shared" si="17"/>
        <v>3.7122100000000002</v>
      </c>
      <c r="P43" s="64">
        <f t="shared" si="18"/>
        <v>25</v>
      </c>
      <c r="Q43" s="65">
        <f t="shared" si="19"/>
        <v>0</v>
      </c>
      <c r="R43" s="59"/>
      <c r="S43" s="180">
        <v>0.41079000000000004</v>
      </c>
      <c r="T43" s="181">
        <v>-7.3400000000000002E-3</v>
      </c>
      <c r="U43" s="181">
        <v>8.7870000000000004E-2</v>
      </c>
      <c r="V43" s="181">
        <v>0.2019</v>
      </c>
      <c r="W43" s="181">
        <v>3.0383475</v>
      </c>
      <c r="X43" s="181">
        <v>3.0383475</v>
      </c>
      <c r="Y43" s="181">
        <v>3.0383475</v>
      </c>
      <c r="Z43" s="181">
        <v>3.0383475</v>
      </c>
      <c r="AA43" s="181">
        <v>3.0383475</v>
      </c>
      <c r="AB43" s="181">
        <v>3.0383475</v>
      </c>
      <c r="AC43" s="181">
        <v>3.0383475</v>
      </c>
      <c r="AD43" s="181">
        <v>3.0383475</v>
      </c>
      <c r="AE43" s="181">
        <v>0</v>
      </c>
      <c r="AF43" s="181">
        <v>0</v>
      </c>
      <c r="AG43" s="181">
        <v>0</v>
      </c>
      <c r="AH43" s="181">
        <v>0</v>
      </c>
      <c r="AI43" s="181">
        <v>0</v>
      </c>
      <c r="AJ43" s="181">
        <v>0</v>
      </c>
      <c r="AK43" s="181">
        <v>0</v>
      </c>
      <c r="AL43" s="181">
        <v>0</v>
      </c>
      <c r="AM43" s="181">
        <v>0</v>
      </c>
      <c r="AN43" s="181">
        <v>0</v>
      </c>
      <c r="AO43" s="181">
        <v>0</v>
      </c>
      <c r="AP43" s="182">
        <v>0</v>
      </c>
    </row>
    <row r="44" spans="1:43" s="183" customFormat="1" ht="15.75" thickBot="1" x14ac:dyDescent="0.3">
      <c r="A44" s="178" t="str">
        <f t="shared" si="14"/>
        <v>Devers Colorado River (DCR)</v>
      </c>
      <c r="B44" s="179" t="s">
        <v>36</v>
      </c>
      <c r="C44" s="56" t="str">
        <f t="shared" ref="C44:J44" si="20">C23</f>
        <v>CET-ET-TP-EC-484700</v>
      </c>
      <c r="D44" s="66" t="str">
        <f t="shared" si="20"/>
        <v>Devers - Palo Verde 500kV T/L (CA): Loop existing DPV 500kV T/L into Colorado River Switchyard.</v>
      </c>
      <c r="E44" s="58">
        <f t="shared" si="20"/>
        <v>4847</v>
      </c>
      <c r="F44" s="60" t="str">
        <f t="shared" si="20"/>
        <v>High</v>
      </c>
      <c r="G44" s="59">
        <f t="shared" si="20"/>
        <v>41609</v>
      </c>
      <c r="H44" s="60" t="str">
        <f t="shared" si="20"/>
        <v>TR-LINEINC</v>
      </c>
      <c r="I44" s="61">
        <f t="shared" si="20"/>
        <v>0</v>
      </c>
      <c r="J44" s="62">
        <f t="shared" si="20"/>
        <v>1</v>
      </c>
      <c r="K44" s="63"/>
      <c r="L44" s="234">
        <f t="shared" ref="L44:N44" si="21">L23</f>
        <v>0</v>
      </c>
      <c r="M44" s="64">
        <f t="shared" si="21"/>
        <v>54.617579999999997</v>
      </c>
      <c r="N44" s="64">
        <f t="shared" si="21"/>
        <v>0</v>
      </c>
      <c r="O44" s="64">
        <f t="shared" si="17"/>
        <v>0</v>
      </c>
      <c r="P44" s="64">
        <f t="shared" si="18"/>
        <v>54.617579999999997</v>
      </c>
      <c r="Q44" s="65">
        <f t="shared" si="19"/>
        <v>0</v>
      </c>
      <c r="R44" s="59"/>
      <c r="S44" s="257">
        <v>0.13449</v>
      </c>
      <c r="T44" s="258">
        <v>0</v>
      </c>
      <c r="U44" s="258">
        <v>54.483089999999997</v>
      </c>
      <c r="V44" s="258">
        <v>0</v>
      </c>
      <c r="W44" s="258">
        <v>0</v>
      </c>
      <c r="X44" s="258">
        <v>0</v>
      </c>
      <c r="Y44" s="258">
        <v>0</v>
      </c>
      <c r="Z44" s="258">
        <v>0</v>
      </c>
      <c r="AA44" s="258">
        <v>0</v>
      </c>
      <c r="AB44" s="258">
        <v>0</v>
      </c>
      <c r="AC44" s="258">
        <v>0</v>
      </c>
      <c r="AD44" s="258">
        <v>0</v>
      </c>
      <c r="AE44" s="258">
        <v>0</v>
      </c>
      <c r="AF44" s="258">
        <v>0</v>
      </c>
      <c r="AG44" s="258">
        <v>0</v>
      </c>
      <c r="AH44" s="258">
        <v>0</v>
      </c>
      <c r="AI44" s="258">
        <v>0</v>
      </c>
      <c r="AJ44" s="258">
        <v>0</v>
      </c>
      <c r="AK44" s="258">
        <v>0</v>
      </c>
      <c r="AL44" s="258">
        <v>0</v>
      </c>
      <c r="AM44" s="258">
        <v>0</v>
      </c>
      <c r="AN44" s="258">
        <v>0</v>
      </c>
      <c r="AO44" s="258">
        <v>0</v>
      </c>
      <c r="AP44" s="259">
        <v>0</v>
      </c>
    </row>
    <row r="45" spans="1:43" ht="15.75" thickBot="1" x14ac:dyDescent="0.3">
      <c r="C45" s="226" t="s">
        <v>37</v>
      </c>
      <c r="D45" s="227"/>
      <c r="E45" s="227"/>
      <c r="F45" s="227"/>
      <c r="G45" s="227"/>
      <c r="H45" s="227"/>
      <c r="I45" s="227"/>
      <c r="J45" s="228"/>
      <c r="K45" s="63"/>
      <c r="L45" s="125">
        <f t="shared" ref="L45:Q45" si="22">SUM(L33:L44)</f>
        <v>89.732970000001643</v>
      </c>
      <c r="M45" s="126">
        <f t="shared" si="22"/>
        <v>2625.1043200000004</v>
      </c>
      <c r="N45" s="126">
        <f t="shared" si="22"/>
        <v>0</v>
      </c>
      <c r="O45" s="126">
        <f t="shared" si="22"/>
        <v>89.732970000001643</v>
      </c>
      <c r="P45" s="126">
        <f t="shared" si="22"/>
        <v>2625.1043200000004</v>
      </c>
      <c r="Q45" s="127">
        <f t="shared" si="22"/>
        <v>0</v>
      </c>
      <c r="R45" s="58"/>
      <c r="S45" s="208">
        <f t="shared" ref="S45:AP45" si="23">SUM(S33:S44)</f>
        <v>209.16646999999998</v>
      </c>
      <c r="T45" s="209">
        <f t="shared" si="23"/>
        <v>221.56031999999999</v>
      </c>
      <c r="U45" s="209">
        <f t="shared" si="23"/>
        <v>-57.131149999999955</v>
      </c>
      <c r="V45" s="209">
        <f t="shared" si="23"/>
        <v>500.20190000000002</v>
      </c>
      <c r="W45" s="209">
        <f t="shared" si="23"/>
        <v>503.03834749999999</v>
      </c>
      <c r="X45" s="209">
        <f t="shared" si="23"/>
        <v>164.03834749999999</v>
      </c>
      <c r="Y45" s="209">
        <f t="shared" si="23"/>
        <v>215.03834749999999</v>
      </c>
      <c r="Z45" s="209">
        <f t="shared" si="23"/>
        <v>215.03834749999999</v>
      </c>
      <c r="AA45" s="209">
        <f t="shared" si="23"/>
        <v>215.03834749999999</v>
      </c>
      <c r="AB45" s="209">
        <f t="shared" si="23"/>
        <v>215.03834749999999</v>
      </c>
      <c r="AC45" s="209">
        <f t="shared" si="23"/>
        <v>221.03834749999999</v>
      </c>
      <c r="AD45" s="210">
        <f t="shared" si="23"/>
        <v>3.0383475</v>
      </c>
      <c r="AE45" s="209">
        <f t="shared" si="23"/>
        <v>0</v>
      </c>
      <c r="AF45" s="209">
        <f t="shared" si="23"/>
        <v>0</v>
      </c>
      <c r="AG45" s="209">
        <f t="shared" si="23"/>
        <v>0</v>
      </c>
      <c r="AH45" s="209">
        <f t="shared" si="23"/>
        <v>0</v>
      </c>
      <c r="AI45" s="209">
        <f t="shared" si="23"/>
        <v>0</v>
      </c>
      <c r="AJ45" s="209">
        <f t="shared" si="23"/>
        <v>0</v>
      </c>
      <c r="AK45" s="209">
        <f t="shared" si="23"/>
        <v>0</v>
      </c>
      <c r="AL45" s="209">
        <f t="shared" si="23"/>
        <v>0</v>
      </c>
      <c r="AM45" s="209">
        <f t="shared" si="23"/>
        <v>0</v>
      </c>
      <c r="AN45" s="209">
        <f t="shared" si="23"/>
        <v>0</v>
      </c>
      <c r="AO45" s="209">
        <f t="shared" si="23"/>
        <v>0</v>
      </c>
      <c r="AP45" s="209">
        <f t="shared" si="23"/>
        <v>0</v>
      </c>
      <c r="AQ45" s="196"/>
    </row>
    <row r="46" spans="1:43" s="118" customFormat="1" ht="15.75" thickTop="1" x14ac:dyDescent="0.25">
      <c r="A46" s="187"/>
      <c r="B46" s="188"/>
      <c r="C46" s="173"/>
      <c r="D46" s="172"/>
      <c r="E46" s="173"/>
      <c r="F46" s="106"/>
      <c r="G46" s="106"/>
      <c r="H46" s="105"/>
      <c r="I46" s="106"/>
      <c r="J46" s="106"/>
      <c r="K46" s="63"/>
      <c r="L46" s="105"/>
      <c r="M46" s="105"/>
      <c r="N46" s="105"/>
      <c r="O46" s="105"/>
      <c r="P46" s="105"/>
      <c r="Q46" s="105"/>
      <c r="R46" s="58"/>
      <c r="S46" s="212"/>
      <c r="T46" s="212"/>
      <c r="U46" s="212"/>
      <c r="V46" s="212"/>
      <c r="W46" s="212"/>
      <c r="X46" s="212"/>
      <c r="Y46" s="212"/>
      <c r="Z46" s="212"/>
      <c r="AA46" s="212"/>
      <c r="AB46" s="212"/>
      <c r="AC46" s="212"/>
      <c r="AD46" s="212"/>
      <c r="AE46" s="212"/>
      <c r="AF46" s="212"/>
      <c r="AG46" s="212"/>
      <c r="AH46" s="212"/>
      <c r="AI46" s="212"/>
      <c r="AJ46" s="212"/>
      <c r="AK46" s="212"/>
      <c r="AL46" s="212"/>
      <c r="AM46" s="212"/>
      <c r="AN46" s="212"/>
      <c r="AO46" s="212"/>
      <c r="AP46" s="212"/>
      <c r="AQ46" s="183"/>
    </row>
    <row r="47" spans="1:43" x14ac:dyDescent="0.25">
      <c r="C47" s="67"/>
      <c r="D47" s="68"/>
      <c r="E47" s="67"/>
      <c r="F47" s="273"/>
      <c r="G47" s="273"/>
      <c r="H47" s="273"/>
      <c r="I47" s="273"/>
      <c r="J47" s="273"/>
      <c r="K47" s="63"/>
      <c r="L47" s="129"/>
      <c r="M47" s="129"/>
      <c r="N47" s="129"/>
      <c r="O47" s="129"/>
      <c r="P47" s="129"/>
      <c r="Q47" s="129"/>
      <c r="R47" s="58"/>
      <c r="S47" s="266"/>
      <c r="T47" s="266"/>
      <c r="U47" s="266"/>
      <c r="V47" s="266"/>
      <c r="W47" s="266"/>
      <c r="X47" s="266"/>
      <c r="Y47" s="266"/>
      <c r="Z47" s="266"/>
      <c r="AA47" s="266"/>
      <c r="AB47" s="266"/>
      <c r="AC47" s="266"/>
      <c r="AD47" s="266"/>
      <c r="AE47" s="193"/>
      <c r="AF47" s="193"/>
      <c r="AG47" s="193"/>
      <c r="AH47" s="193"/>
      <c r="AI47" s="193"/>
      <c r="AJ47" s="193"/>
      <c r="AK47" s="193"/>
      <c r="AL47" s="193"/>
      <c r="AM47" s="193"/>
      <c r="AN47" s="193"/>
      <c r="AO47" s="193"/>
      <c r="AP47" s="193"/>
      <c r="AQ47" s="183"/>
    </row>
    <row r="48" spans="1:43" s="107" customFormat="1" x14ac:dyDescent="0.25">
      <c r="A48" s="187"/>
      <c r="B48" s="188"/>
      <c r="C48" s="229"/>
      <c r="D48" s="229"/>
      <c r="E48" s="229"/>
      <c r="F48" s="229"/>
      <c r="G48" s="229"/>
      <c r="H48" s="229"/>
      <c r="I48" s="229"/>
      <c r="J48" s="229"/>
      <c r="K48" s="63"/>
      <c r="L48" s="129"/>
      <c r="M48" s="129"/>
      <c r="N48" s="129"/>
      <c r="O48" s="129"/>
      <c r="P48" s="129"/>
      <c r="Q48" s="129"/>
      <c r="R48" s="58"/>
      <c r="S48" s="267"/>
      <c r="T48" s="267"/>
      <c r="U48" s="267"/>
      <c r="V48" s="267"/>
      <c r="W48" s="267"/>
      <c r="X48" s="267"/>
      <c r="Y48" s="267"/>
      <c r="Z48" s="267"/>
      <c r="AA48" s="267"/>
      <c r="AB48" s="267"/>
      <c r="AC48" s="267"/>
      <c r="AD48" s="193"/>
      <c r="AE48" s="193"/>
      <c r="AF48" s="193"/>
      <c r="AG48" s="193"/>
      <c r="AH48" s="193"/>
      <c r="AI48" s="193"/>
      <c r="AJ48" s="193"/>
      <c r="AK48" s="193"/>
      <c r="AL48" s="193"/>
      <c r="AM48" s="193"/>
      <c r="AN48" s="193"/>
      <c r="AO48" s="193"/>
      <c r="AP48" s="193"/>
      <c r="AQ48" s="183"/>
    </row>
    <row r="49" spans="1:43" ht="18.75" x14ac:dyDescent="0.25">
      <c r="C49" s="275" t="s">
        <v>38</v>
      </c>
      <c r="D49" s="276"/>
      <c r="E49" s="276"/>
      <c r="F49" s="277"/>
      <c r="G49" s="277"/>
      <c r="H49" s="277"/>
      <c r="I49" s="277"/>
      <c r="J49" s="277"/>
      <c r="K49" s="63"/>
      <c r="R49" s="58"/>
      <c r="AQ49" s="183"/>
    </row>
    <row r="50" spans="1:43" x14ac:dyDescent="0.25">
      <c r="K50" s="63"/>
      <c r="R50" s="58"/>
      <c r="AQ50" s="183"/>
    </row>
    <row r="51" spans="1:43" x14ac:dyDescent="0.25">
      <c r="C51" s="176" t="s">
        <v>31</v>
      </c>
      <c r="K51" s="63"/>
      <c r="R51" s="58"/>
      <c r="AQ51" s="183"/>
    </row>
    <row r="52" spans="1:43" ht="15" customHeight="1" x14ac:dyDescent="0.25">
      <c r="C52" s="225" t="s">
        <v>32</v>
      </c>
      <c r="D52" s="225"/>
      <c r="E52" s="225"/>
      <c r="F52" s="225"/>
      <c r="G52" s="225"/>
      <c r="H52" s="225"/>
      <c r="I52" s="225"/>
      <c r="J52" s="225"/>
      <c r="K52" s="63"/>
      <c r="R52" s="58"/>
      <c r="AQ52" s="183"/>
    </row>
    <row r="53" spans="1:43" ht="15.75" thickBot="1" x14ac:dyDescent="0.3">
      <c r="K53" s="63"/>
      <c r="R53" s="58"/>
      <c r="AQ53" s="183"/>
    </row>
    <row r="54" spans="1:43" s="117" customFormat="1" ht="30.75" thickBot="1" x14ac:dyDescent="0.3">
      <c r="A54" s="169"/>
      <c r="B54" s="170"/>
      <c r="C54" s="51" t="s">
        <v>15</v>
      </c>
      <c r="D54" s="52" t="s">
        <v>16</v>
      </c>
      <c r="E54" s="53" t="s">
        <v>17</v>
      </c>
      <c r="F54" s="54" t="s">
        <v>18</v>
      </c>
      <c r="G54" s="45" t="s">
        <v>19</v>
      </c>
      <c r="H54" s="45" t="s">
        <v>20</v>
      </c>
      <c r="I54" s="45" t="s">
        <v>21</v>
      </c>
      <c r="J54" s="46" t="s">
        <v>22</v>
      </c>
      <c r="K54" s="63"/>
      <c r="L54" s="44" t="str">
        <f t="shared" ref="L54:Q54" si="24">L$11</f>
        <v>2014 CWIP</v>
      </c>
      <c r="M54" s="45" t="str">
        <f t="shared" si="24"/>
        <v>2015 Total Expenditures</v>
      </c>
      <c r="N54" s="45" t="str">
        <f t="shared" si="24"/>
        <v>2016 Total Expenditures</v>
      </c>
      <c r="O54" s="45" t="str">
        <f t="shared" si="24"/>
        <v>2014 ISO CWIP Less Collectible</v>
      </c>
      <c r="P54" s="45" t="str">
        <f t="shared" si="24"/>
        <v>2015 ISO Expenditures Less Collectible</v>
      </c>
      <c r="Q54" s="46" t="str">
        <f t="shared" si="24"/>
        <v>2016 ISO Expenditures Less Collectible</v>
      </c>
      <c r="R54" s="58"/>
      <c r="S54" s="69">
        <f>$D$3</f>
        <v>42005</v>
      </c>
      <c r="T54" s="54">
        <f t="shared" ref="T54:AL54" si="25">DATE(YEAR(S54),MONTH(S54)+1,DAY(S54))</f>
        <v>42036</v>
      </c>
      <c r="U54" s="54">
        <f t="shared" si="25"/>
        <v>42064</v>
      </c>
      <c r="V54" s="54">
        <f t="shared" si="25"/>
        <v>42095</v>
      </c>
      <c r="W54" s="54">
        <f t="shared" si="25"/>
        <v>42125</v>
      </c>
      <c r="X54" s="54">
        <f t="shared" si="25"/>
        <v>42156</v>
      </c>
      <c r="Y54" s="54">
        <f t="shared" si="25"/>
        <v>42186</v>
      </c>
      <c r="Z54" s="54">
        <f t="shared" si="25"/>
        <v>42217</v>
      </c>
      <c r="AA54" s="54">
        <f t="shared" si="25"/>
        <v>42248</v>
      </c>
      <c r="AB54" s="54">
        <f t="shared" si="25"/>
        <v>42278</v>
      </c>
      <c r="AC54" s="54">
        <f t="shared" si="25"/>
        <v>42309</v>
      </c>
      <c r="AD54" s="177">
        <f t="shared" si="25"/>
        <v>42339</v>
      </c>
      <c r="AE54" s="54">
        <f>DATE(YEAR(AD54),MONTH(AD54)+1,DAY(AD54))</f>
        <v>42370</v>
      </c>
      <c r="AF54" s="54">
        <f t="shared" si="25"/>
        <v>42401</v>
      </c>
      <c r="AG54" s="54">
        <f t="shared" si="25"/>
        <v>42430</v>
      </c>
      <c r="AH54" s="54">
        <f t="shared" si="25"/>
        <v>42461</v>
      </c>
      <c r="AI54" s="54">
        <f t="shared" si="25"/>
        <v>42491</v>
      </c>
      <c r="AJ54" s="54">
        <f t="shared" si="25"/>
        <v>42522</v>
      </c>
      <c r="AK54" s="54">
        <f t="shared" si="25"/>
        <v>42552</v>
      </c>
      <c r="AL54" s="54">
        <f t="shared" si="25"/>
        <v>42583</v>
      </c>
      <c r="AM54" s="54">
        <f>DATE(YEAR(AL54),MONTH(AL54)+1,DAY(AL54))</f>
        <v>42614</v>
      </c>
      <c r="AN54" s="54">
        <f>DATE(YEAR(AM54),MONTH(AM54)+1,DAY(AM54))</f>
        <v>42644</v>
      </c>
      <c r="AO54" s="54">
        <f>DATE(YEAR(AN54),MONTH(AN54)+1,DAY(AN54))</f>
        <v>42675</v>
      </c>
      <c r="AP54" s="177">
        <f>DATE(YEAR(AO54),MONTH(AO54)+1,DAY(AO54))</f>
        <v>42705</v>
      </c>
      <c r="AQ54" s="183"/>
    </row>
    <row r="55" spans="1:43" s="202" customFormat="1" x14ac:dyDescent="0.25">
      <c r="A55" s="198" t="str">
        <f>+$C$49</f>
        <v>Tehachapi Segments 3B &amp; 3C</v>
      </c>
      <c r="B55" s="179" t="s">
        <v>33</v>
      </c>
      <c r="C55" s="156" t="s">
        <v>154</v>
      </c>
      <c r="D55" s="157" t="s">
        <v>155</v>
      </c>
      <c r="E55" s="158">
        <v>7183</v>
      </c>
      <c r="F55" s="159" t="s">
        <v>70</v>
      </c>
      <c r="G55" s="160">
        <v>41244</v>
      </c>
      <c r="H55" s="70" t="s">
        <v>264</v>
      </c>
      <c r="I55" s="161">
        <v>0</v>
      </c>
      <c r="J55" s="162">
        <v>1</v>
      </c>
      <c r="K55" s="63"/>
      <c r="L55" s="233">
        <v>0</v>
      </c>
      <c r="M55" s="71">
        <f>SUM(S71:AD71)</f>
        <v>309.10591999999997</v>
      </c>
      <c r="N55" s="71">
        <f>SUM(AE71:AP71)</f>
        <v>0</v>
      </c>
      <c r="O55" s="71">
        <f t="shared" ref="O55:O61" si="26">$L55*$J55*(1-$I55)</f>
        <v>0</v>
      </c>
      <c r="P55" s="64">
        <f t="shared" ref="P55:P61" si="27">$M55*$J55*(1-$I55)</f>
        <v>309.10591999999997</v>
      </c>
      <c r="Q55" s="65">
        <f t="shared" ref="Q55:Q61" si="28">$N55*$J55*(1-$I55)</f>
        <v>0</v>
      </c>
      <c r="R55" s="59"/>
      <c r="S55" s="199">
        <f>IF(OR(RIGHT($H55,3)="RGT",RIGHT($H55,3)="INC"),IF($G55=S$54,SUM($S71:S71)+$O55,IF(S$54&gt;$G55,S71,0)),0)</f>
        <v>16.516449999999999</v>
      </c>
      <c r="T55" s="200">
        <f>IF(OR(RIGHT($H55,3)="RGT",RIGHT($H55,3)="INC"),IF($G55=T$54,SUM($S71:T71)+$O55,IF(T$54&gt;$G55,T71,0)),0)</f>
        <v>1.7241</v>
      </c>
      <c r="U55" s="200">
        <f>IF(OR(RIGHT($H55,3)="RGT",RIGHT($H55,3)="INC"),IF($G55=U$54,SUM($S71:U71)+$O55,IF(U$54&gt;$G55,U71,0)),0)</f>
        <v>8.6187299999999993</v>
      </c>
      <c r="V55" s="200">
        <f>IF(OR(RIGHT($H55,3)="RGT",RIGHT($H55,3)="INC"),IF($G55=V$54,SUM($S71:V71)+$O55,IF(V$54&gt;$G55,V71,0)),0)</f>
        <v>21.903299999999998</v>
      </c>
      <c r="W55" s="200">
        <f>IF(OR(RIGHT($H55,3)="RGT",RIGHT($H55,3)="INC"),IF($G55=W$54,SUM($S71:W71)+$O55,IF(W$54&gt;$G55,W71,0)),0)</f>
        <v>21.904400000000003</v>
      </c>
      <c r="X55" s="200">
        <f>IF(OR(RIGHT($H55,3)="RGT",RIGHT($H55,3)="INC"),IF($G55=X$54,SUM($S71:X71)+$O55,IF(X$54&gt;$G55,X71,0)),0)</f>
        <v>21.9055</v>
      </c>
      <c r="Y55" s="200">
        <f>IF(OR(RIGHT($H55,3)="RGT",RIGHT($H55,3)="INC"),IF($G55=Y$54,SUM($S71:Y71)+$O55,IF(Y$54&gt;$G55,Y71,0)),0)</f>
        <v>21.906599999999997</v>
      </c>
      <c r="Z55" s="200">
        <f>IF(OR(RIGHT($H55,3)="RGT",RIGHT($H55,3)="INC"),IF($G55=Z$54,SUM($S71:Z71)+$O55,IF(Z$54&gt;$G55,Z71,0)),0)</f>
        <v>21.907700000000002</v>
      </c>
      <c r="AA55" s="200">
        <f>IF(OR(RIGHT($H55,3)="RGT",RIGHT($H55,3)="INC"),IF($G55=AA$54,SUM($S71:AA71)+$O55,IF(AA$54&gt;$G55,AA71,0)),0)</f>
        <v>21.908799999999999</v>
      </c>
      <c r="AB55" s="200">
        <f>IF(OR(RIGHT($H55,3)="RGT",RIGHT($H55,3)="INC"),IF($G55=AB$54,SUM($S71:AB71)+$O55,IF(AB$54&gt;$G55,AB71,0)),0)</f>
        <v>21.9099</v>
      </c>
      <c r="AC55" s="200">
        <f>IF(OR(RIGHT($H55,3)="RGT",RIGHT($H55,3)="INC"),IF($G55=AC$54,SUM($S71:AC71)+$O55,IF(AC$54&gt;$G55,AC71,0)),0)</f>
        <v>21.911000000000001</v>
      </c>
      <c r="AD55" s="201">
        <f>IF(OR(RIGHT($H55,3)="RGT",RIGHT($H55,3)="INC"),IF($G55=AD$54,SUM($S71:AD71)+$O55,IF(AD$54&gt;$G55,AD71,0)),0)</f>
        <v>106.98944</v>
      </c>
      <c r="AE55" s="200">
        <f>IF(OR(RIGHT($H55,3)="RGT",RIGHT($H55,3)="INC"),IF($G55=AE$54,SUM($S71:AE71)+$O55,IF(AE$54&gt;$G55,AE71,0)),0)</f>
        <v>0</v>
      </c>
      <c r="AF55" s="200">
        <f>IF(OR(RIGHT($H55,3)="RGT",RIGHT($H55,3)="INC"),IF($G55=AF$54,SUM($S71:AF71)+$O55,IF(AF$54&gt;$G55,AF71,0)),0)</f>
        <v>0</v>
      </c>
      <c r="AG55" s="200">
        <f>IF(OR(RIGHT($H55,3)="RGT",RIGHT($H55,3)="INC"),IF($G55=AG$54,SUM($S71:AG71)+$O55,IF(AG$54&gt;$G55,AG71,0)),0)</f>
        <v>0</v>
      </c>
      <c r="AH55" s="200">
        <f>IF(OR(RIGHT($H55,3)="RGT",RIGHT($H55,3)="INC"),IF($G55=AH$54,SUM($S71:AH71)+$O55,IF(AH$54&gt;$G55,AH71,0)),0)</f>
        <v>0</v>
      </c>
      <c r="AI55" s="200">
        <f>IF(OR(RIGHT($H55,3)="RGT",RIGHT($H55,3)="INC"),IF($G55=AI$54,SUM($S71:AI71)+$O55,IF(AI$54&gt;$G55,AI71,0)),0)</f>
        <v>0</v>
      </c>
      <c r="AJ55" s="200">
        <f>IF(OR(RIGHT($H55,3)="RGT",RIGHT($H55,3)="INC"),IF($G55=AJ$54,SUM($S71:AJ71)+$O55,IF(AJ$54&gt;$G55,AJ71,0)),0)</f>
        <v>0</v>
      </c>
      <c r="AK55" s="200">
        <f>IF(OR(RIGHT($H55,3)="RGT",RIGHT($H55,3)="INC"),IF($G55=AK$54,SUM($S71:AK71)+$O55,IF(AK$54&gt;$G55,AK71,0)),0)</f>
        <v>0</v>
      </c>
      <c r="AL55" s="200">
        <f>IF(OR(RIGHT($H55,3)="RGT",RIGHT($H55,3)="INC"),IF($G55=AL$54,SUM($S71:AL71)+$O55,IF(AL$54&gt;$G55,AL71,0)),0)</f>
        <v>0</v>
      </c>
      <c r="AM55" s="200">
        <f>IF(OR(RIGHT($H55,3)="RGT",RIGHT($H55,3)="INC"),IF($G55=AM$54,SUM($S71:AM71)+$O55,IF(AM$54&gt;$G55,AM71,0)),0)</f>
        <v>0</v>
      </c>
      <c r="AN55" s="200">
        <f>IF(OR(RIGHT($H55,3)="RGT",RIGHT($H55,3)="INC"),IF($G55=AN$54,SUM($S71:AN71)+$O55,IF(AN$54&gt;$G55,AN71,0)),0)</f>
        <v>0</v>
      </c>
      <c r="AO55" s="200">
        <f>IF(OR(RIGHT($H55,3)="RGT",RIGHT($H55,3)="INC"),IF($G55=AO$54,SUM($S71:AO71)+$O55,IF(AO$54&gt;$G55,AO71,0)),0)</f>
        <v>0</v>
      </c>
      <c r="AP55" s="201">
        <f>IF(OR(RIGHT($H55,3)="RGT",RIGHT($H55,3)="INC"),IF($G55=AP$54,SUM($S71:AP71)+$O55,IF(AP$54&gt;$G55,AP71,0)),0)</f>
        <v>0</v>
      </c>
      <c r="AQ55" s="183"/>
    </row>
    <row r="56" spans="1:43" s="202" customFormat="1" x14ac:dyDescent="0.25">
      <c r="A56" s="198" t="str">
        <f t="shared" ref="A56:A61" si="29">+$C$49</f>
        <v>Tehachapi Segments 3B &amp; 3C</v>
      </c>
      <c r="B56" s="179" t="s">
        <v>33</v>
      </c>
      <c r="C56" s="156" t="s">
        <v>156</v>
      </c>
      <c r="D56" s="163" t="s">
        <v>157</v>
      </c>
      <c r="E56" s="158">
        <v>7183</v>
      </c>
      <c r="F56" s="159" t="s">
        <v>70</v>
      </c>
      <c r="G56" s="160">
        <v>41244</v>
      </c>
      <c r="H56" s="70" t="s">
        <v>288</v>
      </c>
      <c r="I56" s="161">
        <v>0</v>
      </c>
      <c r="J56" s="162">
        <v>1</v>
      </c>
      <c r="K56" s="63"/>
      <c r="L56" s="122">
        <v>0</v>
      </c>
      <c r="M56" s="71">
        <f>SUM(S72:AD72)</f>
        <v>0</v>
      </c>
      <c r="N56" s="71">
        <f>SUM(AE72:AP72)</f>
        <v>0</v>
      </c>
      <c r="O56" s="71">
        <f t="shared" si="26"/>
        <v>0</v>
      </c>
      <c r="P56" s="64">
        <f t="shared" si="27"/>
        <v>0</v>
      </c>
      <c r="Q56" s="65">
        <f t="shared" si="28"/>
        <v>0</v>
      </c>
      <c r="R56" s="59"/>
      <c r="S56" s="199">
        <f>IF(OR(RIGHT($H56,3)="RGT",RIGHT($H56,3)="INC"),IF($G56=S$54,SUM($S72:S72)+$O56,IF(S$54&gt;$G56,S72,0)),0)</f>
        <v>0</v>
      </c>
      <c r="T56" s="200">
        <f>IF(OR(RIGHT($H56,3)="RGT",RIGHT($H56,3)="INC"),IF($G56=T$54,SUM($S72:T72)+$O56,IF(T$54&gt;$G56,T72,0)),0)</f>
        <v>0</v>
      </c>
      <c r="U56" s="200">
        <f>IF(OR(RIGHT($H56,3)="RGT",RIGHT($H56,3)="INC"),IF($G56=U$54,SUM($S72:U72)+$O56,IF(U$54&gt;$G56,U72,0)),0)</f>
        <v>0</v>
      </c>
      <c r="V56" s="200">
        <f>IF(OR(RIGHT($H56,3)="RGT",RIGHT($H56,3)="INC"),IF($G56=V$54,SUM($S72:V72)+$O56,IF(V$54&gt;$G56,V72,0)),0)</f>
        <v>0</v>
      </c>
      <c r="W56" s="200">
        <f>IF(OR(RIGHT($H56,3)="RGT",RIGHT($H56,3)="INC"),IF($G56=W$54,SUM($S72:W72)+$O56,IF(W$54&gt;$G56,W72,0)),0)</f>
        <v>0</v>
      </c>
      <c r="X56" s="200">
        <f>IF(OR(RIGHT($H56,3)="RGT",RIGHT($H56,3)="INC"),IF($G56=X$54,SUM($S72:X72)+$O56,IF(X$54&gt;$G56,X72,0)),0)</f>
        <v>0</v>
      </c>
      <c r="Y56" s="200">
        <f>IF(OR(RIGHT($H56,3)="RGT",RIGHT($H56,3)="INC"),IF($G56=Y$54,SUM($S72:Y72)+$O56,IF(Y$54&gt;$G56,Y72,0)),0)</f>
        <v>0</v>
      </c>
      <c r="Z56" s="200">
        <f>IF(OR(RIGHT($H56,3)="RGT",RIGHT($H56,3)="INC"),IF($G56=Z$54,SUM($S72:Z72)+$O56,IF(Z$54&gt;$G56,Z72,0)),0)</f>
        <v>0</v>
      </c>
      <c r="AA56" s="200">
        <f>IF(OR(RIGHT($H56,3)="RGT",RIGHT($H56,3)="INC"),IF($G56=AA$54,SUM($S72:AA72)+$O56,IF(AA$54&gt;$G56,AA72,0)),0)</f>
        <v>0</v>
      </c>
      <c r="AB56" s="200">
        <f>IF(OR(RIGHT($H56,3)="RGT",RIGHT($H56,3)="INC"),IF($G56=AB$54,SUM($S72:AB72)+$O56,IF(AB$54&gt;$G56,AB72,0)),0)</f>
        <v>0</v>
      </c>
      <c r="AC56" s="200">
        <f>IF(OR(RIGHT($H56,3)="RGT",RIGHT($H56,3)="INC"),IF($G56=AC$54,SUM($S72:AC72)+$O56,IF(AC$54&gt;$G56,AC72,0)),0)</f>
        <v>0</v>
      </c>
      <c r="AD56" s="201">
        <f>IF(OR(RIGHT($H56,3)="RGT",RIGHT($H56,3)="INC"),IF($G56=AD$54,SUM($S72:AD72)+$O56,IF(AD$54&gt;$G56,AD72,0)),0)</f>
        <v>0</v>
      </c>
      <c r="AE56" s="200">
        <f>IF(OR(RIGHT($H56,3)="RGT",RIGHT($H56,3)="INC"),IF($G56=AE$54,SUM($S72:AE72)+$O56,IF(AE$54&gt;$G56,AE72,0)),0)</f>
        <v>0</v>
      </c>
      <c r="AF56" s="200">
        <f>IF(OR(RIGHT($H56,3)="RGT",RIGHT($H56,3)="INC"),IF($G56=AF$54,SUM($S72:AF72)+$O56,IF(AF$54&gt;$G56,AF72,0)),0)</f>
        <v>0</v>
      </c>
      <c r="AG56" s="200">
        <f>IF(OR(RIGHT($H56,3)="RGT",RIGHT($H56,3)="INC"),IF($G56=AG$54,SUM($S72:AG72)+$O56,IF(AG$54&gt;$G56,AG72,0)),0)</f>
        <v>0</v>
      </c>
      <c r="AH56" s="200">
        <f>IF(OR(RIGHT($H56,3)="RGT",RIGHT($H56,3)="INC"),IF($G56=AH$54,SUM($S72:AH72)+$O56,IF(AH$54&gt;$G56,AH72,0)),0)</f>
        <v>0</v>
      </c>
      <c r="AI56" s="200">
        <f>IF(OR(RIGHT($H56,3)="RGT",RIGHT($H56,3)="INC"),IF($G56=AI$54,SUM($S72:AI72)+$O56,IF(AI$54&gt;$G56,AI72,0)),0)</f>
        <v>0</v>
      </c>
      <c r="AJ56" s="200">
        <f>IF(OR(RIGHT($H56,3)="RGT",RIGHT($H56,3)="INC"),IF($G56=AJ$54,SUM($S72:AJ72)+$O56,IF(AJ$54&gt;$G56,AJ72,0)),0)</f>
        <v>0</v>
      </c>
      <c r="AK56" s="200">
        <f>IF(OR(RIGHT($H56,3)="RGT",RIGHT($H56,3)="INC"),IF($G56=AK$54,SUM($S72:AK72)+$O56,IF(AK$54&gt;$G56,AK72,0)),0)</f>
        <v>0</v>
      </c>
      <c r="AL56" s="200">
        <f>IF(OR(RIGHT($H56,3)="RGT",RIGHT($H56,3)="INC"),IF($G56=AL$54,SUM($S72:AL72)+$O56,IF(AL$54&gt;$G56,AL72,0)),0)</f>
        <v>0</v>
      </c>
      <c r="AM56" s="200">
        <f>IF(OR(RIGHT($H56,3)="RGT",RIGHT($H56,3)="INC"),IF($G56=AM$54,SUM($S72:AM72)+$O56,IF(AM$54&gt;$G56,AM72,0)),0)</f>
        <v>0</v>
      </c>
      <c r="AN56" s="200">
        <f>IF(OR(RIGHT($H56,3)="RGT",RIGHT($H56,3)="INC"),IF($G56=AN$54,SUM($S72:AN72)+$O56,IF(AN$54&gt;$G56,AN72,0)),0)</f>
        <v>0</v>
      </c>
      <c r="AO56" s="200">
        <f>IF(OR(RIGHT($H56,3)="RGT",RIGHT($H56,3)="INC"),IF($G56=AO$54,SUM($S72:AO72)+$O56,IF(AO$54&gt;$G56,AO72,0)),0)</f>
        <v>0</v>
      </c>
      <c r="AP56" s="201">
        <f>IF(OR(RIGHT($H56,3)="RGT",RIGHT($H56,3)="INC"),IF($G56=AP$54,SUM($S72:AP72)+$O56,IF(AP$54&gt;$G56,AP72,0)),0)</f>
        <v>0</v>
      </c>
      <c r="AQ56" s="183"/>
    </row>
    <row r="57" spans="1:43" s="202" customFormat="1" x14ac:dyDescent="0.25">
      <c r="A57" s="198" t="str">
        <f t="shared" si="29"/>
        <v>Tehachapi Segments 3B &amp; 3C</v>
      </c>
      <c r="B57" s="179" t="s">
        <v>33</v>
      </c>
      <c r="C57" s="156" t="s">
        <v>158</v>
      </c>
      <c r="D57" s="163" t="s">
        <v>159</v>
      </c>
      <c r="E57" s="158">
        <v>7183</v>
      </c>
      <c r="F57" s="159" t="s">
        <v>70</v>
      </c>
      <c r="G57" s="160">
        <v>41244</v>
      </c>
      <c r="H57" s="70" t="s">
        <v>264</v>
      </c>
      <c r="I57" s="161">
        <v>0</v>
      </c>
      <c r="J57" s="162">
        <v>1</v>
      </c>
      <c r="K57" s="268">
        <v>900604086</v>
      </c>
      <c r="L57" s="282">
        <f>83.9249300000026*0</f>
        <v>0</v>
      </c>
      <c r="M57" s="71">
        <f>SUM(S73:AD73)</f>
        <v>10060.34023</v>
      </c>
      <c r="N57" s="71">
        <f>SUM(AE73:AP73)</f>
        <v>0</v>
      </c>
      <c r="O57" s="71">
        <f t="shared" si="26"/>
        <v>0</v>
      </c>
      <c r="P57" s="64">
        <f t="shared" si="27"/>
        <v>10060.34023</v>
      </c>
      <c r="Q57" s="65">
        <f t="shared" si="28"/>
        <v>0</v>
      </c>
      <c r="R57" s="59"/>
      <c r="S57" s="199">
        <f>IF(OR(RIGHT($H57,3)="RGT",RIGHT($H57,3)="INC"),IF($G57=S$54,SUM($S73:S73)+$O57,IF(S$54&gt;$G57,S73,0)),0)</f>
        <v>19.925930000000001</v>
      </c>
      <c r="T57" s="200">
        <f>IF(OR(RIGHT($H57,3)="RGT",RIGHT($H57,3)="INC"),IF($G57=T$54,SUM($S73:T73)+$O57,IF(T$54&gt;$G57,T73,0)),0)</f>
        <v>88.209639999999993</v>
      </c>
      <c r="U57" s="200">
        <f>IF(OR(RIGHT($H57,3)="RGT",RIGHT($H57,3)="INC"),IF($G57=U$54,SUM($S73:U73)+$O57,IF(U$54&gt;$G57,U73,0)),0)</f>
        <v>4.7086899999999998</v>
      </c>
      <c r="V57" s="200">
        <f>IF(OR(RIGHT($H57,3)="RGT",RIGHT($H57,3)="INC"),IF($G57=V$54,SUM($S73:V73)+$O57,IF(V$54&gt;$G57,V73,0)),0)</f>
        <v>24.5</v>
      </c>
      <c r="W57" s="200">
        <f>IF(OR(RIGHT($H57,3)="RGT",RIGHT($H57,3)="INC"),IF($G57=W$54,SUM($S73:W73)+$O57,IF(W$54&gt;$G57,W73,0)),0)</f>
        <v>24.5</v>
      </c>
      <c r="X57" s="200">
        <f>IF(OR(RIGHT($H57,3)="RGT",RIGHT($H57,3)="INC"),IF($G57=X$54,SUM($S73:X73)+$O57,IF(X$54&gt;$G57,X73,0)),0)</f>
        <v>57.5</v>
      </c>
      <c r="Y57" s="200">
        <f>IF(OR(RIGHT($H57,3)="RGT",RIGHT($H57,3)="INC"),IF($G57=Y$54,SUM($S73:Y73)+$O57,IF(Y$54&gt;$G57,Y73,0)),0)</f>
        <v>57.359000000000002</v>
      </c>
      <c r="Z57" s="200">
        <f>IF(OR(RIGHT($H57,3)="RGT",RIGHT($H57,3)="INC"),IF($G57=Z$54,SUM($S73:Z73)+$O57,IF(Z$54&gt;$G57,Z73,0)),0)</f>
        <v>56.5</v>
      </c>
      <c r="AA57" s="200">
        <f>IF(OR(RIGHT($H57,3)="RGT",RIGHT($H57,3)="INC"),IF($G57=AA$54,SUM($S73:AA73)+$O57,IF(AA$54&gt;$G57,AA73,0)),0)</f>
        <v>56.5</v>
      </c>
      <c r="AB57" s="200">
        <f>IF(OR(RIGHT($H57,3)="RGT",RIGHT($H57,3)="INC"),IF($G57=AB$54,SUM($S73:AB73)+$O57,IF(AB$54&gt;$G57,AB73,0)),0)</f>
        <v>2256.5</v>
      </c>
      <c r="AC57" s="200">
        <f>IF(OR(RIGHT($H57,3)="RGT",RIGHT($H57,3)="INC"),IF($G57=AC$54,SUM($S73:AC73)+$O57,IF(AC$54&gt;$G57,AC73,0)),0)</f>
        <v>56.5</v>
      </c>
      <c r="AD57" s="201">
        <f>IF(OR(RIGHT($H57,3)="RGT",RIGHT($H57,3)="INC"),IF($G57=AD$54,SUM($S73:AD73)+$O57,IF(AD$54&gt;$G57,AD73,0)),0)</f>
        <v>7357.6369699999996</v>
      </c>
      <c r="AE57" s="200">
        <f>IF(OR(RIGHT($H57,3)="RGT",RIGHT($H57,3)="INC"),IF($G57=AE$54,SUM($S73:AE73)+$O57,IF(AE$54&gt;$G57,AE73,0)),0)</f>
        <v>0</v>
      </c>
      <c r="AF57" s="200">
        <f>IF(OR(RIGHT($H57,3)="RGT",RIGHT($H57,3)="INC"),IF($G57=AF$54,SUM($S73:AF73)+$O57,IF(AF$54&gt;$G57,AF73,0)),0)</f>
        <v>0</v>
      </c>
      <c r="AG57" s="200">
        <f>IF(OR(RIGHT($H57,3)="RGT",RIGHT($H57,3)="INC"),IF($G57=AG$54,SUM($S73:AG73)+$O57,IF(AG$54&gt;$G57,AG73,0)),0)</f>
        <v>0</v>
      </c>
      <c r="AH57" s="200">
        <f>IF(OR(RIGHT($H57,3)="RGT",RIGHT($H57,3)="INC"),IF($G57=AH$54,SUM($S73:AH73)+$O57,IF(AH$54&gt;$G57,AH73,0)),0)</f>
        <v>0</v>
      </c>
      <c r="AI57" s="200">
        <f>IF(OR(RIGHT($H57,3)="RGT",RIGHT($H57,3)="INC"),IF($G57=AI$54,SUM($S73:AI73)+$O57,IF(AI$54&gt;$G57,AI73,0)),0)</f>
        <v>0</v>
      </c>
      <c r="AJ57" s="200">
        <f>IF(OR(RIGHT($H57,3)="RGT",RIGHT($H57,3)="INC"),IF($G57=AJ$54,SUM($S73:AJ73)+$O57,IF(AJ$54&gt;$G57,AJ73,0)),0)</f>
        <v>0</v>
      </c>
      <c r="AK57" s="200">
        <f>IF(OR(RIGHT($H57,3)="RGT",RIGHT($H57,3)="INC"),IF($G57=AK$54,SUM($S73:AK73)+$O57,IF(AK$54&gt;$G57,AK73,0)),0)</f>
        <v>0</v>
      </c>
      <c r="AL57" s="200">
        <f>IF(OR(RIGHT($H57,3)="RGT",RIGHT($H57,3)="INC"),IF($G57=AL$54,SUM($S73:AL73)+$O57,IF(AL$54&gt;$G57,AL73,0)),0)</f>
        <v>0</v>
      </c>
      <c r="AM57" s="200">
        <f>IF(OR(RIGHT($H57,3)="RGT",RIGHT($H57,3)="INC"),IF($G57=AM$54,SUM($S73:AM73)+$O57,IF(AM$54&gt;$G57,AM73,0)),0)</f>
        <v>0</v>
      </c>
      <c r="AN57" s="200">
        <f>IF(OR(RIGHT($H57,3)="RGT",RIGHT($H57,3)="INC"),IF($G57=AN$54,SUM($S73:AN73)+$O57,IF(AN$54&gt;$G57,AN73,0)),0)</f>
        <v>0</v>
      </c>
      <c r="AO57" s="200">
        <f>IF(OR(RIGHT($H57,3)="RGT",RIGHT($H57,3)="INC"),IF($G57=AO$54,SUM($S73:AO73)+$O57,IF(AO$54&gt;$G57,AO73,0)),0)</f>
        <v>0</v>
      </c>
      <c r="AP57" s="201">
        <f>IF(OR(RIGHT($H57,3)="RGT",RIGHT($H57,3)="INC"),IF($G57=AP$54,SUM($S73:AP73)+$O57,IF(AP$54&gt;$G57,AP73,0)),0)</f>
        <v>0</v>
      </c>
      <c r="AQ57" s="183"/>
    </row>
    <row r="58" spans="1:43" s="202" customFormat="1" x14ac:dyDescent="0.25">
      <c r="A58" s="198" t="str">
        <f t="shared" si="29"/>
        <v>Tehachapi Segments 3B &amp; 3C</v>
      </c>
      <c r="B58" s="179" t="s">
        <v>33</v>
      </c>
      <c r="C58" s="156" t="s">
        <v>156</v>
      </c>
      <c r="D58" s="163" t="s">
        <v>296</v>
      </c>
      <c r="E58" s="158">
        <v>7183</v>
      </c>
      <c r="F58" s="159" t="s">
        <v>70</v>
      </c>
      <c r="G58" s="160">
        <v>42217</v>
      </c>
      <c r="H58" s="70" t="s">
        <v>288</v>
      </c>
      <c r="I58" s="161">
        <v>0</v>
      </c>
      <c r="J58" s="162">
        <v>1</v>
      </c>
      <c r="K58" s="268">
        <v>901374880</v>
      </c>
      <c r="L58" s="122">
        <v>50.20958000000001</v>
      </c>
      <c r="M58" s="71">
        <f>SUM(S74:AD74)</f>
        <v>642.43376000000001</v>
      </c>
      <c r="N58" s="71">
        <f>SUM(AE74:AP74)</f>
        <v>0</v>
      </c>
      <c r="O58" s="71">
        <f t="shared" si="26"/>
        <v>50.20958000000001</v>
      </c>
      <c r="P58" s="64">
        <f t="shared" si="27"/>
        <v>642.43376000000001</v>
      </c>
      <c r="Q58" s="65">
        <f t="shared" si="28"/>
        <v>0</v>
      </c>
      <c r="R58" s="59"/>
      <c r="S58" s="199">
        <f>IF(OR(RIGHT($H58,3)="RGT",RIGHT($H58,3)="INC"),IF($G58=S$54,SUM($S74:S74)+$O58,IF(S$54&gt;$G58,S74,0)),0)</f>
        <v>0</v>
      </c>
      <c r="T58" s="200">
        <f>IF(OR(RIGHT($H58,3)="RGT",RIGHT($H58,3)="INC"),IF($G58=T$54,SUM($S74:T74)+$O58,IF(T$54&gt;$G58,T74,0)),0)</f>
        <v>0</v>
      </c>
      <c r="U58" s="200">
        <f>IF(OR(RIGHT($H58,3)="RGT",RIGHT($H58,3)="INC"),IF($G58=U$54,SUM($S74:U74)+$O58,IF(U$54&gt;$G58,U74,0)),0)</f>
        <v>0</v>
      </c>
      <c r="V58" s="200">
        <f>IF(OR(RIGHT($H58,3)="RGT",RIGHT($H58,3)="INC"),IF($G58=V$54,SUM($S74:V74)+$O58,IF(V$54&gt;$G58,V74,0)),0)</f>
        <v>0</v>
      </c>
      <c r="W58" s="200">
        <f>IF(OR(RIGHT($H58,3)="RGT",RIGHT($H58,3)="INC"),IF($G58=W$54,SUM($S74:W74)+$O58,IF(W$54&gt;$G58,W74,0)),0)</f>
        <v>0</v>
      </c>
      <c r="X58" s="200">
        <f>IF(OR(RIGHT($H58,3)="RGT",RIGHT($H58,3)="INC"),IF($G58=X$54,SUM($S74:X74)+$O58,IF(X$54&gt;$G58,X74,0)),0)</f>
        <v>0</v>
      </c>
      <c r="Y58" s="200">
        <f>IF(OR(RIGHT($H58,3)="RGT",RIGHT($H58,3)="INC"),IF($G58=Y$54,SUM($S74:Y74)+$O58,IF(Y$54&gt;$G58,Y74,0)),0)</f>
        <v>0</v>
      </c>
      <c r="Z58" s="200">
        <f>IF(OR(RIGHT($H58,3)="RGT",RIGHT($H58,3)="INC"),IF($G58=Z$54,SUM($S74:Z74)+$O58,IF(Z$54&gt;$G58,Z74,0)),0)</f>
        <v>490.10619000000003</v>
      </c>
      <c r="AA58" s="200">
        <f>IF(OR(RIGHT($H58,3)="RGT",RIGHT($H58,3)="INC"),IF($G58=AA$54,SUM($S74:AA74)+$O58,IF(AA$54&gt;$G58,AA74,0)),0)</f>
        <v>11.5</v>
      </c>
      <c r="AB58" s="200">
        <f>IF(OR(RIGHT($H58,3)="RGT",RIGHT($H58,3)="INC"),IF($G58=AB$54,SUM($S74:AB74)+$O58,IF(AB$54&gt;$G58,AB74,0)),0)</f>
        <v>0</v>
      </c>
      <c r="AC58" s="200">
        <f>IF(OR(RIGHT($H58,3)="RGT",RIGHT($H58,3)="INC"),IF($G58=AC$54,SUM($S74:AC74)+$O58,IF(AC$54&gt;$G58,AC74,0)),0)</f>
        <v>0</v>
      </c>
      <c r="AD58" s="201">
        <f>IF(OR(RIGHT($H58,3)="RGT",RIGHT($H58,3)="INC"),IF($G58=AD$54,SUM($S74:AD74)+$O58,IF(AD$54&gt;$G58,AD74,0)),0)</f>
        <v>191.03715000000003</v>
      </c>
      <c r="AE58" s="200">
        <f>IF(OR(RIGHT($H58,3)="RGT",RIGHT($H58,3)="INC"),IF($G58=AE$54,SUM($S74:AE74)+$O58,IF(AE$54&gt;$G58,AE74,0)),0)</f>
        <v>0</v>
      </c>
      <c r="AF58" s="200">
        <f>IF(OR(RIGHT($H58,3)="RGT",RIGHT($H58,3)="INC"),IF($G58=AF$54,SUM($S74:AF74)+$O58,IF(AF$54&gt;$G58,AF74,0)),0)</f>
        <v>0</v>
      </c>
      <c r="AG58" s="200">
        <f>IF(OR(RIGHT($H58,3)="RGT",RIGHT($H58,3)="INC"),IF($G58=AG$54,SUM($S74:AG74)+$O58,IF(AG$54&gt;$G58,AG74,0)),0)</f>
        <v>0</v>
      </c>
      <c r="AH58" s="200">
        <f>IF(OR(RIGHT($H58,3)="RGT",RIGHT($H58,3)="INC"),IF($G58=AH$54,SUM($S74:AH74)+$O58,IF(AH$54&gt;$G58,AH74,0)),0)</f>
        <v>0</v>
      </c>
      <c r="AI58" s="200">
        <f>IF(OR(RIGHT($H58,3)="RGT",RIGHT($H58,3)="INC"),IF($G58=AI$54,SUM($S74:AI74)+$O58,IF(AI$54&gt;$G58,AI74,0)),0)</f>
        <v>0</v>
      </c>
      <c r="AJ58" s="200">
        <f>IF(OR(RIGHT($H58,3)="RGT",RIGHT($H58,3)="INC"),IF($G58=AJ$54,SUM($S74:AJ74)+$O58,IF(AJ$54&gt;$G58,AJ74,0)),0)</f>
        <v>0</v>
      </c>
      <c r="AK58" s="200">
        <f>IF(OR(RIGHT($H58,3)="RGT",RIGHT($H58,3)="INC"),IF($G58=AK$54,SUM($S74:AK74)+$O58,IF(AK$54&gt;$G58,AK74,0)),0)</f>
        <v>0</v>
      </c>
      <c r="AL58" s="200">
        <f>IF(OR(RIGHT($H58,3)="RGT",RIGHT($H58,3)="INC"),IF($G58=AL$54,SUM($S74:AL74)+$O58,IF(AL$54&gt;$G58,AL74,0)),0)</f>
        <v>0</v>
      </c>
      <c r="AM58" s="200">
        <f>IF(OR(RIGHT($H58,3)="RGT",RIGHT($H58,3)="INC"),IF($G58=AM$54,SUM($S74:AM74)+$O58,IF(AM$54&gt;$G58,AM74,0)),0)</f>
        <v>0</v>
      </c>
      <c r="AN58" s="200">
        <f>IF(OR(RIGHT($H58,3)="RGT",RIGHT($H58,3)="INC"),IF($G58=AN$54,SUM($S74:AN74)+$O58,IF(AN$54&gt;$G58,AN74,0)),0)</f>
        <v>0</v>
      </c>
      <c r="AO58" s="200">
        <f>IF(OR(RIGHT($H58,3)="RGT",RIGHT($H58,3)="INC"),IF($G58=AO$54,SUM($S74:AO74)+$O58,IF(AO$54&gt;$G58,AO74,0)),0)</f>
        <v>0</v>
      </c>
      <c r="AP58" s="201">
        <f>IF(OR(RIGHT($H58,3)="RGT",RIGHT($H58,3)="INC"),IF($G58=AP$54,SUM($S74:AP74)+$O58,IF(AP$54&gt;$G58,AP74,0)),0)</f>
        <v>0</v>
      </c>
      <c r="AQ58" s="183"/>
    </row>
    <row r="59" spans="1:43" s="202" customFormat="1" x14ac:dyDescent="0.25">
      <c r="A59" s="198" t="str">
        <f t="shared" si="29"/>
        <v>Tehachapi Segments 3B &amp; 3C</v>
      </c>
      <c r="B59" s="179" t="s">
        <v>33</v>
      </c>
      <c r="C59" s="156" t="s">
        <v>275</v>
      </c>
      <c r="D59" s="163" t="s">
        <v>276</v>
      </c>
      <c r="E59" s="158">
        <v>7014</v>
      </c>
      <c r="F59" s="159" t="s">
        <v>70</v>
      </c>
      <c r="G59" s="160">
        <v>41244</v>
      </c>
      <c r="H59" s="70" t="s">
        <v>288</v>
      </c>
      <c r="I59" s="161">
        <v>0</v>
      </c>
      <c r="J59" s="162">
        <v>1</v>
      </c>
      <c r="K59" s="268"/>
      <c r="L59" s="122">
        <v>0</v>
      </c>
      <c r="M59" s="71">
        <f>SUM(S75:AD75)</f>
        <v>-5.4331800000000001</v>
      </c>
      <c r="N59" s="71">
        <f>SUM(AE75:AP75)</f>
        <v>0</v>
      </c>
      <c r="O59" s="71">
        <f t="shared" si="26"/>
        <v>0</v>
      </c>
      <c r="P59" s="64">
        <f t="shared" si="27"/>
        <v>-5.4331800000000001</v>
      </c>
      <c r="Q59" s="65">
        <f t="shared" si="28"/>
        <v>0</v>
      </c>
      <c r="R59" s="59"/>
      <c r="S59" s="199">
        <f>IF(OR(RIGHT($H59,3)="RGT",RIGHT($H59,3)="INC"),IF($G59=S$54,SUM($S75:S75)+$O59,IF(S$54&gt;$G59,S75,0)),0)</f>
        <v>0.6895</v>
      </c>
      <c r="T59" s="200">
        <f>IF(OR(RIGHT($H59,3)="RGT",RIGHT($H59,3)="INC"),IF($G59=T$54,SUM($S75:T75)+$O59,IF(T$54&gt;$G59,T75,0)),0)</f>
        <v>0</v>
      </c>
      <c r="U59" s="200">
        <f>IF(OR(RIGHT($H59,3)="RGT",RIGHT($H59,3)="INC"),IF($G59=U$54,SUM($S75:U75)+$O59,IF(U$54&gt;$G59,U75,0)),0)</f>
        <v>-3.4060900000000003</v>
      </c>
      <c r="V59" s="200">
        <f>IF(OR(RIGHT($H59,3)="RGT",RIGHT($H59,3)="INC"),IF($G59=V$54,SUM($S75:V75)+$O59,IF(V$54&gt;$G59,V75,0)),0)</f>
        <v>0</v>
      </c>
      <c r="W59" s="200">
        <f>IF(OR(RIGHT($H59,3)="RGT",RIGHT($H59,3)="INC"),IF($G59=W$54,SUM($S75:W75)+$O59,IF(W$54&gt;$G59,W75,0)),0)</f>
        <v>0</v>
      </c>
      <c r="X59" s="200">
        <f>IF(OR(RIGHT($H59,3)="RGT",RIGHT($H59,3)="INC"),IF($G59=X$54,SUM($S75:X75)+$O59,IF(X$54&gt;$G59,X75,0)),0)</f>
        <v>0</v>
      </c>
      <c r="Y59" s="200">
        <f>IF(OR(RIGHT($H59,3)="RGT",RIGHT($H59,3)="INC"),IF($G59=Y$54,SUM($S75:Y75)+$O59,IF(Y$54&gt;$G59,Y75,0)),0)</f>
        <v>0</v>
      </c>
      <c r="Z59" s="200">
        <f>IF(OR(RIGHT($H59,3)="RGT",RIGHT($H59,3)="INC"),IF($G59=Z$54,SUM($S75:Z75)+$O59,IF(Z$54&gt;$G59,Z75,0)),0)</f>
        <v>0</v>
      </c>
      <c r="AA59" s="200">
        <f>IF(OR(RIGHT($H59,3)="RGT",RIGHT($H59,3)="INC"),IF($G59=AA$54,SUM($S75:AA75)+$O59,IF(AA$54&gt;$G59,AA75,0)),0)</f>
        <v>0</v>
      </c>
      <c r="AB59" s="200">
        <f>IF(OR(RIGHT($H59,3)="RGT",RIGHT($H59,3)="INC"),IF($G59=AB$54,SUM($S75:AB75)+$O59,IF(AB$54&gt;$G59,AB75,0)),0)</f>
        <v>-2.7165900000000005</v>
      </c>
      <c r="AC59" s="200">
        <f>IF(OR(RIGHT($H59,3)="RGT",RIGHT($H59,3)="INC"),IF($G59=AC$54,SUM($S75:AC75)+$O59,IF(AC$54&gt;$G59,AC75,0)),0)</f>
        <v>0</v>
      </c>
      <c r="AD59" s="201">
        <f>IF(OR(RIGHT($H59,3)="RGT",RIGHT($H59,3)="INC"),IF($G59=AD$54,SUM($S75:AD75)+$O59,IF(AD$54&gt;$G59,AD75,0)),0)</f>
        <v>0</v>
      </c>
      <c r="AE59" s="200">
        <f>IF(OR(RIGHT($H59,3)="RGT",RIGHT($H59,3)="INC"),IF($G59=AE$54,SUM($S75:AE75)+$O59,IF(AE$54&gt;$G59,AE75,0)),0)</f>
        <v>0</v>
      </c>
      <c r="AF59" s="200">
        <f>IF(OR(RIGHT($H59,3)="RGT",RIGHT($H59,3)="INC"),IF($G59=AF$54,SUM($S75:AF75)+$O59,IF(AF$54&gt;$G59,AF75,0)),0)</f>
        <v>0</v>
      </c>
      <c r="AG59" s="200">
        <f>IF(OR(RIGHT($H59,3)="RGT",RIGHT($H59,3)="INC"),IF($G59=AG$54,SUM($S75:AG75)+$O59,IF(AG$54&gt;$G59,AG75,0)),0)</f>
        <v>0</v>
      </c>
      <c r="AH59" s="200">
        <f>IF(OR(RIGHT($H59,3)="RGT",RIGHT($H59,3)="INC"),IF($G59=AH$54,SUM($S75:AH75)+$O59,IF(AH$54&gt;$G59,AH75,0)),0)</f>
        <v>0</v>
      </c>
      <c r="AI59" s="200">
        <f>IF(OR(RIGHT($H59,3)="RGT",RIGHT($H59,3)="INC"),IF($G59=AI$54,SUM($S75:AI75)+$O59,IF(AI$54&gt;$G59,AI75,0)),0)</f>
        <v>0</v>
      </c>
      <c r="AJ59" s="200">
        <f>IF(OR(RIGHT($H59,3)="RGT",RIGHT($H59,3)="INC"),IF($G59=AJ$54,SUM($S75:AJ75)+$O59,IF(AJ$54&gt;$G59,AJ75,0)),0)</f>
        <v>0</v>
      </c>
      <c r="AK59" s="200">
        <f>IF(OR(RIGHT($H59,3)="RGT",RIGHT($H59,3)="INC"),IF($G59=AK$54,SUM($S75:AK75)+$O59,IF(AK$54&gt;$G59,AK75,0)),0)</f>
        <v>0</v>
      </c>
      <c r="AL59" s="200">
        <f>IF(OR(RIGHT($H59,3)="RGT",RIGHT($H59,3)="INC"),IF($G59=AL$54,SUM($S75:AL75)+$O59,IF(AL$54&gt;$G59,AL75,0)),0)</f>
        <v>0</v>
      </c>
      <c r="AM59" s="200">
        <f>IF(OR(RIGHT($H59,3)="RGT",RIGHT($H59,3)="INC"),IF($G59=AM$54,SUM($S75:AM75)+$O59,IF(AM$54&gt;$G59,AM75,0)),0)</f>
        <v>0</v>
      </c>
      <c r="AN59" s="200">
        <f>IF(OR(RIGHT($H59,3)="RGT",RIGHT($H59,3)="INC"),IF($G59=AN$54,SUM($S75:AN75)+$O59,IF(AN$54&gt;$G59,AN75,0)),0)</f>
        <v>0</v>
      </c>
      <c r="AO59" s="200">
        <f>IF(OR(RIGHT($H59,3)="RGT",RIGHT($H59,3)="INC"),IF($G59=AO$54,SUM($S75:AO75)+$O59,IF(AO$54&gt;$G59,AO75,0)),0)</f>
        <v>0</v>
      </c>
      <c r="AP59" s="201">
        <f>IF(OR(RIGHT($H59,3)="RGT",RIGHT($H59,3)="INC"),IF($G59=AP$54,SUM($S75:AP75)+$O59,IF(AP$54&gt;$G59,AP75,0)),0)</f>
        <v>0</v>
      </c>
      <c r="AQ59" s="183"/>
    </row>
    <row r="60" spans="1:43" s="202" customFormat="1" x14ac:dyDescent="0.25">
      <c r="A60" s="198" t="str">
        <f t="shared" si="29"/>
        <v>Tehachapi Segments 3B &amp; 3C</v>
      </c>
      <c r="B60" s="179" t="s">
        <v>33</v>
      </c>
      <c r="C60" s="156" t="s">
        <v>160</v>
      </c>
      <c r="D60" s="163" t="s">
        <v>161</v>
      </c>
      <c r="E60" s="158">
        <v>7014</v>
      </c>
      <c r="F60" s="159" t="s">
        <v>70</v>
      </c>
      <c r="G60" s="160">
        <v>41244</v>
      </c>
      <c r="H60" s="70" t="s">
        <v>288</v>
      </c>
      <c r="I60" s="161">
        <v>0</v>
      </c>
      <c r="J60" s="162">
        <v>1</v>
      </c>
      <c r="K60" s="268">
        <v>800219436</v>
      </c>
      <c r="L60" s="282">
        <f>50.4449000000542*0</f>
        <v>0</v>
      </c>
      <c r="M60" s="71">
        <f t="shared" ref="M60" si="30">SUM(S76:AD76)</f>
        <v>136.55966000000001</v>
      </c>
      <c r="N60" s="71">
        <f t="shared" ref="N60" si="31">SUM(AE76:AP76)</f>
        <v>0</v>
      </c>
      <c r="O60" s="71">
        <f t="shared" si="26"/>
        <v>0</v>
      </c>
      <c r="P60" s="64">
        <f t="shared" si="27"/>
        <v>136.55966000000001</v>
      </c>
      <c r="Q60" s="65">
        <f t="shared" si="28"/>
        <v>0</v>
      </c>
      <c r="R60" s="59"/>
      <c r="S60" s="199">
        <f>IF(OR(RIGHT($H60,3)="RGT",RIGHT($H60,3)="INC"),IF($G60=S$54,SUM($S76:S76)+$O60,IF(S$54&gt;$G60,S76,0)),0)</f>
        <v>7.7278500000000001</v>
      </c>
      <c r="T60" s="200">
        <f>IF(OR(RIGHT($H60,3)="RGT",RIGHT($H60,3)="INC"),IF($G60=T$54,SUM($S76:T76)+$O60,IF(T$54&gt;$G60,T76,0)),0)</f>
        <v>5.7906400000000007</v>
      </c>
      <c r="U60" s="200">
        <f>IF(OR(RIGHT($H60,3)="RGT",RIGHT($H60,3)="INC"),IF($G60=U$54,SUM($S76:U76)+$O60,IF(U$54&gt;$G60,U76,0)),0)</f>
        <v>5.6403400000000001</v>
      </c>
      <c r="V60" s="200">
        <f>IF(OR(RIGHT($H60,3)="RGT",RIGHT($H60,3)="INC"),IF($G60=V$54,SUM($S76:V76)+$O60,IF(V$54&gt;$G60,V76,0)),0)</f>
        <v>6.6</v>
      </c>
      <c r="W60" s="200">
        <f>IF(OR(RIGHT($H60,3)="RGT",RIGHT($H60,3)="INC"),IF($G60=W$54,SUM($S76:W76)+$O60,IF(W$54&gt;$G60,W76,0)),0)</f>
        <v>6.6</v>
      </c>
      <c r="X60" s="200">
        <f>IF(OR(RIGHT($H60,3)="RGT",RIGHT($H60,3)="INC"),IF($G60=X$54,SUM($S76:X76)+$O60,IF(X$54&gt;$G60,X76,0)),0)</f>
        <v>6.6</v>
      </c>
      <c r="Y60" s="200">
        <f>IF(OR(RIGHT($H60,3)="RGT",RIGHT($H60,3)="INC"),IF($G60=Y$54,SUM($S76:Y76)+$O60,IF(Y$54&gt;$G60,Y76,0)),0)</f>
        <v>6.6</v>
      </c>
      <c r="Z60" s="200">
        <f>IF(OR(RIGHT($H60,3)="RGT",RIGHT($H60,3)="INC"),IF($G60=Z$54,SUM($S76:Z76)+$O60,IF(Z$54&gt;$G60,Z76,0)),0)</f>
        <v>6.6</v>
      </c>
      <c r="AA60" s="200">
        <f>IF(OR(RIGHT($H60,3)="RGT",RIGHT($H60,3)="INC"),IF($G60=AA$54,SUM($S76:AA76)+$O60,IF(AA$54&gt;$G60,AA76,0)),0)</f>
        <v>6.2210000000000001</v>
      </c>
      <c r="AB60" s="200">
        <f>IF(OR(RIGHT($H60,3)="RGT",RIGHT($H60,3)="INC"),IF($G60=AB$54,SUM($S76:AB76)+$O60,IF(AB$54&gt;$G60,AB76,0)),0)</f>
        <v>78.179829999999995</v>
      </c>
      <c r="AC60" s="200">
        <f>IF(OR(RIGHT($H60,3)="RGT",RIGHT($H60,3)="INC"),IF($G60=AC$54,SUM($S76:AC76)+$O60,IF(AC$54&gt;$G60,AC76,0)),0)</f>
        <v>0</v>
      </c>
      <c r="AD60" s="201">
        <f>IF(OR(RIGHT($H60,3)="RGT",RIGHT($H60,3)="INC"),IF($G60=AD$54,SUM($S76:AD76)+$O60,IF(AD$54&gt;$G60,AD76,0)),0)</f>
        <v>0</v>
      </c>
      <c r="AE60" s="200">
        <f>IF(OR(RIGHT($H60,3)="RGT",RIGHT($H60,3)="INC"),IF($G60=AE$54,SUM($S76:AE76)+$O60,IF(AE$54&gt;$G60,AE76,0)),0)</f>
        <v>0</v>
      </c>
      <c r="AF60" s="200">
        <f>IF(OR(RIGHT($H60,3)="RGT",RIGHT($H60,3)="INC"),IF($G60=AF$54,SUM($S76:AF76)+$O60,IF(AF$54&gt;$G60,AF76,0)),0)</f>
        <v>0</v>
      </c>
      <c r="AG60" s="200">
        <f>IF(OR(RIGHT($H60,3)="RGT",RIGHT($H60,3)="INC"),IF($G60=AG$54,SUM($S76:AG76)+$O60,IF(AG$54&gt;$G60,AG76,0)),0)</f>
        <v>0</v>
      </c>
      <c r="AH60" s="200">
        <f>IF(OR(RIGHT($H60,3)="RGT",RIGHT($H60,3)="INC"),IF($G60=AH$54,SUM($S76:AH76)+$O60,IF(AH$54&gt;$G60,AH76,0)),0)</f>
        <v>0</v>
      </c>
      <c r="AI60" s="200">
        <f>IF(OR(RIGHT($H60,3)="RGT",RIGHT($H60,3)="INC"),IF($G60=AI$54,SUM($S76:AI76)+$O60,IF(AI$54&gt;$G60,AI76,0)),0)</f>
        <v>0</v>
      </c>
      <c r="AJ60" s="200">
        <f>IF(OR(RIGHT($H60,3)="RGT",RIGHT($H60,3)="INC"),IF($G60=AJ$54,SUM($S76:AJ76)+$O60,IF(AJ$54&gt;$G60,AJ76,0)),0)</f>
        <v>0</v>
      </c>
      <c r="AK60" s="200">
        <f>IF(OR(RIGHT($H60,3)="RGT",RIGHT($H60,3)="INC"),IF($G60=AK$54,SUM($S76:AK76)+$O60,IF(AK$54&gt;$G60,AK76,0)),0)</f>
        <v>0</v>
      </c>
      <c r="AL60" s="200">
        <f>IF(OR(RIGHT($H60,3)="RGT",RIGHT($H60,3)="INC"),IF($G60=AL$54,SUM($S76:AL76)+$O60,IF(AL$54&gt;$G60,AL76,0)),0)</f>
        <v>0</v>
      </c>
      <c r="AM60" s="200">
        <f>IF(OR(RIGHT($H60,3)="RGT",RIGHT($H60,3)="INC"),IF($G60=AM$54,SUM($S76:AM76)+$O60,IF(AM$54&gt;$G60,AM76,0)),0)</f>
        <v>0</v>
      </c>
      <c r="AN60" s="200">
        <f>IF(OR(RIGHT($H60,3)="RGT",RIGHT($H60,3)="INC"),IF($G60=AN$54,SUM($S76:AN76)+$O60,IF(AN$54&gt;$G60,AN76,0)),0)</f>
        <v>0</v>
      </c>
      <c r="AO60" s="200">
        <f>IF(OR(RIGHT($H60,3)="RGT",RIGHT($H60,3)="INC"),IF($G60=AO$54,SUM($S76:AO76)+$O60,IF(AO$54&gt;$G60,AO76,0)),0)</f>
        <v>0</v>
      </c>
      <c r="AP60" s="201">
        <f>IF(OR(RIGHT($H60,3)="RGT",RIGHT($H60,3)="INC"),IF($G60=AP$54,SUM($S76:AP76)+$O60,IF(AP$54&gt;$G60,AP76,0)),0)</f>
        <v>0</v>
      </c>
      <c r="AQ60" s="183"/>
    </row>
    <row r="61" spans="1:43" s="202" customFormat="1" x14ac:dyDescent="0.25">
      <c r="A61" s="198" t="str">
        <f t="shared" si="29"/>
        <v>Tehachapi Segments 3B &amp; 3C</v>
      </c>
      <c r="B61" s="179" t="s">
        <v>33</v>
      </c>
      <c r="C61" s="156" t="s">
        <v>162</v>
      </c>
      <c r="D61" s="163" t="s">
        <v>163</v>
      </c>
      <c r="E61" s="158">
        <v>7014</v>
      </c>
      <c r="F61" s="159" t="s">
        <v>70</v>
      </c>
      <c r="G61" s="160">
        <v>41244</v>
      </c>
      <c r="H61" s="70" t="s">
        <v>288</v>
      </c>
      <c r="I61" s="161">
        <v>0</v>
      </c>
      <c r="J61" s="162">
        <v>1</v>
      </c>
      <c r="K61" s="268">
        <v>800219505</v>
      </c>
      <c r="L61" s="282">
        <f>30.6160299998936*0</f>
        <v>0</v>
      </c>
      <c r="M61" s="71">
        <f t="shared" ref="M61" si="32">SUM(S77:AD77)</f>
        <v>48.144099999999995</v>
      </c>
      <c r="N61" s="71">
        <f t="shared" ref="N61" si="33">SUM(AE77:AP77)</f>
        <v>0</v>
      </c>
      <c r="O61" s="71">
        <f t="shared" si="26"/>
        <v>0</v>
      </c>
      <c r="P61" s="64">
        <f t="shared" si="27"/>
        <v>48.144099999999995</v>
      </c>
      <c r="Q61" s="65">
        <f t="shared" si="28"/>
        <v>0</v>
      </c>
      <c r="R61" s="59"/>
      <c r="S61" s="199">
        <f>IF(OR(RIGHT($H61,3)="RGT",RIGHT($H61,3)="INC"),IF($G61=S$54,SUM($S77:S77)+$O61,IF(S$54&gt;$G61,S77,0)),0)</f>
        <v>2.9386199999999998</v>
      </c>
      <c r="T61" s="200">
        <f>IF(OR(RIGHT($H61,3)="RGT",RIGHT($H61,3)="INC"),IF($G61=T$54,SUM($S77:T77)+$O61,IF(T$54&gt;$G61,T77,0)),0)</f>
        <v>3.01437</v>
      </c>
      <c r="U61" s="200">
        <f>IF(OR(RIGHT($H61,3)="RGT",RIGHT($H61,3)="INC"),IF($G61=U$54,SUM($S77:U77)+$O61,IF(U$54&gt;$G61,U77,0)),0)</f>
        <v>1.6190599999999999</v>
      </c>
      <c r="V61" s="200">
        <f>IF(OR(RIGHT($H61,3)="RGT",RIGHT($H61,3)="INC"),IF($G61=V$54,SUM($S77:V77)+$O61,IF(V$54&gt;$G61,V77,0)),0)</f>
        <v>2.2000000000000002</v>
      </c>
      <c r="W61" s="200">
        <f>IF(OR(RIGHT($H61,3)="RGT",RIGHT($H61,3)="INC"),IF($G61=W$54,SUM($S77:W77)+$O61,IF(W$54&gt;$G61,W77,0)),0)</f>
        <v>2.2000000000000002</v>
      </c>
      <c r="X61" s="200">
        <f>IF(OR(RIGHT($H61,3)="RGT",RIGHT($H61,3)="INC"),IF($G61=X$54,SUM($S77:X77)+$O61,IF(X$54&gt;$G61,X77,0)),0)</f>
        <v>2.2000000000000002</v>
      </c>
      <c r="Y61" s="200">
        <f>IF(OR(RIGHT($H61,3)="RGT",RIGHT($H61,3)="INC"),IF($G61=Y$54,SUM($S77:Y77)+$O61,IF(Y$54&gt;$G61,Y77,0)),0)</f>
        <v>2.2000000000000002</v>
      </c>
      <c r="Z61" s="200">
        <f>IF(OR(RIGHT($H61,3)="RGT",RIGHT($H61,3)="INC"),IF($G61=Z$54,SUM($S77:Z77)+$O61,IF(Z$54&gt;$G61,Z77,0)),0)</f>
        <v>2.2000000000000002</v>
      </c>
      <c r="AA61" s="200">
        <f>IF(OR(RIGHT($H61,3)="RGT",RIGHT($H61,3)="INC"),IF($G61=AA$54,SUM($S77:AA77)+$O61,IF(AA$54&gt;$G61,AA77,0)),0)</f>
        <v>2.2000000000000002</v>
      </c>
      <c r="AB61" s="200">
        <f>IF(OR(RIGHT($H61,3)="RGT",RIGHT($H61,3)="INC"),IF($G61=AB$54,SUM($S77:AB77)+$O61,IF(AB$54&gt;$G61,AB77,0)),0)</f>
        <v>27.372049999999998</v>
      </c>
      <c r="AC61" s="200">
        <f>IF(OR(RIGHT($H61,3)="RGT",RIGHT($H61,3)="INC"),IF($G61=AC$54,SUM($S77:AC77)+$O61,IF(AC$54&gt;$G61,AC77,0)),0)</f>
        <v>0</v>
      </c>
      <c r="AD61" s="201">
        <f>IF(OR(RIGHT($H61,3)="RGT",RIGHT($H61,3)="INC"),IF($G61=AD$54,SUM($S77:AD77)+$O61,IF(AD$54&gt;$G61,AD77,0)),0)</f>
        <v>0</v>
      </c>
      <c r="AE61" s="200">
        <f>IF(OR(RIGHT($H61,3)="RGT",RIGHT($H61,3)="INC"),IF($G61=AE$54,SUM($S77:AE77)+$O61,IF(AE$54&gt;$G61,AE77,0)),0)</f>
        <v>0</v>
      </c>
      <c r="AF61" s="200">
        <f>IF(OR(RIGHT($H61,3)="RGT",RIGHT($H61,3)="INC"),IF($G61=AF$54,SUM($S77:AF77)+$O61,IF(AF$54&gt;$G61,AF77,0)),0)</f>
        <v>0</v>
      </c>
      <c r="AG61" s="200">
        <f>IF(OR(RIGHT($H61,3)="RGT",RIGHT($H61,3)="INC"),IF($G61=AG$54,SUM($S77:AG77)+$O61,IF(AG$54&gt;$G61,AG77,0)),0)</f>
        <v>0</v>
      </c>
      <c r="AH61" s="200">
        <f>IF(OR(RIGHT($H61,3)="RGT",RIGHT($H61,3)="INC"),IF($G61=AH$54,SUM($S77:AH77)+$O61,IF(AH$54&gt;$G61,AH77,0)),0)</f>
        <v>0</v>
      </c>
      <c r="AI61" s="200">
        <f>IF(OR(RIGHT($H61,3)="RGT",RIGHT($H61,3)="INC"),IF($G61=AI$54,SUM($S77:AI77)+$O61,IF(AI$54&gt;$G61,AI77,0)),0)</f>
        <v>0</v>
      </c>
      <c r="AJ61" s="200">
        <f>IF(OR(RIGHT($H61,3)="RGT",RIGHT($H61,3)="INC"),IF($G61=AJ$54,SUM($S77:AJ77)+$O61,IF(AJ$54&gt;$G61,AJ77,0)),0)</f>
        <v>0</v>
      </c>
      <c r="AK61" s="200">
        <f>IF(OR(RIGHT($H61,3)="RGT",RIGHT($H61,3)="INC"),IF($G61=AK$54,SUM($S77:AK77)+$O61,IF(AK$54&gt;$G61,AK77,0)),0)</f>
        <v>0</v>
      </c>
      <c r="AL61" s="200">
        <f>IF(OR(RIGHT($H61,3)="RGT",RIGHT($H61,3)="INC"),IF($G61=AL$54,SUM($S77:AL77)+$O61,IF(AL$54&gt;$G61,AL77,0)),0)</f>
        <v>0</v>
      </c>
      <c r="AM61" s="200">
        <f>IF(OR(RIGHT($H61,3)="RGT",RIGHT($H61,3)="INC"),IF($G61=AM$54,SUM($S77:AM77)+$O61,IF(AM$54&gt;$G61,AM77,0)),0)</f>
        <v>0</v>
      </c>
      <c r="AN61" s="200">
        <f>IF(OR(RIGHT($H61,3)="RGT",RIGHT($H61,3)="INC"),IF($G61=AN$54,SUM($S77:AN77)+$O61,IF(AN$54&gt;$G61,AN77,0)),0)</f>
        <v>0</v>
      </c>
      <c r="AO61" s="200">
        <f>IF(OR(RIGHT($H61,3)="RGT",RIGHT($H61,3)="INC"),IF($G61=AO$54,SUM($S77:AO77)+$O61,IF(AO$54&gt;$G61,AO77,0)),0)</f>
        <v>0</v>
      </c>
      <c r="AP61" s="201">
        <f>IF(OR(RIGHT($H61,3)="RGT",RIGHT($H61,3)="INC"),IF($G61=AP$54,SUM($S77:AP77)+$O61,IF(AP$54&gt;$G61,AP77,0)),0)</f>
        <v>0</v>
      </c>
      <c r="AQ61" s="183"/>
    </row>
    <row r="62" spans="1:43" ht="15.75" thickBot="1" x14ac:dyDescent="0.3">
      <c r="B62" s="170" t="s">
        <v>292</v>
      </c>
      <c r="C62" s="226" t="s">
        <v>26</v>
      </c>
      <c r="D62" s="227"/>
      <c r="E62" s="227"/>
      <c r="F62" s="227"/>
      <c r="G62" s="227"/>
      <c r="H62" s="227"/>
      <c r="I62" s="227"/>
      <c r="J62" s="228"/>
      <c r="K62" s="63"/>
      <c r="L62" s="125">
        <f t="shared" ref="L62:Q62" si="34">SUM(L55:L61)</f>
        <v>50.20958000000001</v>
      </c>
      <c r="M62" s="126">
        <f t="shared" si="34"/>
        <v>11191.15049</v>
      </c>
      <c r="N62" s="126">
        <f t="shared" si="34"/>
        <v>0</v>
      </c>
      <c r="O62" s="126">
        <f t="shared" si="34"/>
        <v>50.20958000000001</v>
      </c>
      <c r="P62" s="126">
        <f t="shared" si="34"/>
        <v>11191.15049</v>
      </c>
      <c r="Q62" s="127">
        <f t="shared" si="34"/>
        <v>0</v>
      </c>
      <c r="R62" s="58"/>
      <c r="S62" s="184">
        <f t="shared" ref="S62:AP62" si="35">SUM(S55:S61)</f>
        <v>47.798349999999999</v>
      </c>
      <c r="T62" s="185">
        <f t="shared" si="35"/>
        <v>98.738749999999996</v>
      </c>
      <c r="U62" s="185">
        <f t="shared" si="35"/>
        <v>17.180730000000001</v>
      </c>
      <c r="V62" s="185">
        <f t="shared" si="35"/>
        <v>55.203300000000006</v>
      </c>
      <c r="W62" s="185">
        <f t="shared" si="35"/>
        <v>55.204400000000007</v>
      </c>
      <c r="X62" s="185">
        <f t="shared" si="35"/>
        <v>88.205500000000001</v>
      </c>
      <c r="Y62" s="185">
        <f t="shared" si="35"/>
        <v>88.065600000000003</v>
      </c>
      <c r="Z62" s="185">
        <f t="shared" si="35"/>
        <v>577.31389000000013</v>
      </c>
      <c r="AA62" s="185">
        <f t="shared" si="35"/>
        <v>98.329800000000006</v>
      </c>
      <c r="AB62" s="185">
        <f t="shared" si="35"/>
        <v>2381.2451900000001</v>
      </c>
      <c r="AC62" s="185">
        <f t="shared" si="35"/>
        <v>78.411000000000001</v>
      </c>
      <c r="AD62" s="186">
        <f t="shared" si="35"/>
        <v>7655.66356</v>
      </c>
      <c r="AE62" s="185">
        <f t="shared" si="35"/>
        <v>0</v>
      </c>
      <c r="AF62" s="185">
        <f t="shared" si="35"/>
        <v>0</v>
      </c>
      <c r="AG62" s="185">
        <f t="shared" si="35"/>
        <v>0</v>
      </c>
      <c r="AH62" s="185">
        <f t="shared" si="35"/>
        <v>0</v>
      </c>
      <c r="AI62" s="185">
        <f t="shared" si="35"/>
        <v>0</v>
      </c>
      <c r="AJ62" s="185">
        <f t="shared" si="35"/>
        <v>0</v>
      </c>
      <c r="AK62" s="185">
        <f t="shared" si="35"/>
        <v>0</v>
      </c>
      <c r="AL62" s="185">
        <f t="shared" si="35"/>
        <v>0</v>
      </c>
      <c r="AM62" s="185">
        <f t="shared" si="35"/>
        <v>0</v>
      </c>
      <c r="AN62" s="185">
        <f t="shared" si="35"/>
        <v>0</v>
      </c>
      <c r="AO62" s="185">
        <f t="shared" si="35"/>
        <v>0</v>
      </c>
      <c r="AP62" s="186">
        <f t="shared" si="35"/>
        <v>0</v>
      </c>
      <c r="AQ62" s="183"/>
    </row>
    <row r="63" spans="1:43" s="107" customFormat="1" ht="15.75" thickTop="1" x14ac:dyDescent="0.25">
      <c r="A63" s="187"/>
      <c r="B63" s="188"/>
      <c r="C63" s="189"/>
      <c r="D63" s="190"/>
      <c r="E63" s="191"/>
      <c r="F63" s="192"/>
      <c r="G63" s="192"/>
      <c r="I63" s="192"/>
      <c r="J63" s="192"/>
      <c r="K63" s="63"/>
      <c r="R63" s="58"/>
      <c r="S63" s="192"/>
      <c r="T63" s="192"/>
      <c r="U63" s="192"/>
      <c r="V63" s="192"/>
      <c r="W63" s="192"/>
      <c r="X63" s="192"/>
      <c r="Y63" s="192"/>
      <c r="Z63" s="192"/>
      <c r="AA63" s="192"/>
      <c r="AB63" s="192"/>
      <c r="AC63" s="192"/>
      <c r="AD63" s="192"/>
      <c r="AE63" s="192"/>
      <c r="AF63" s="192"/>
      <c r="AG63" s="192"/>
      <c r="AH63" s="192"/>
      <c r="AI63" s="192"/>
      <c r="AJ63" s="192"/>
      <c r="AK63" s="192"/>
      <c r="AL63" s="192"/>
      <c r="AM63" s="192"/>
      <c r="AN63" s="192"/>
      <c r="AO63" s="192"/>
      <c r="AP63" s="192"/>
      <c r="AQ63" s="183"/>
    </row>
    <row r="64" spans="1:43" ht="15.75" thickBot="1" x14ac:dyDescent="0.3">
      <c r="C64" s="226" t="str">
        <f>"Total Incremental Plant Balance - "&amp;C49</f>
        <v>Total Incremental Plant Balance - Tehachapi Segments 3B &amp; 3C</v>
      </c>
      <c r="D64" s="227"/>
      <c r="E64" s="227"/>
      <c r="F64" s="227"/>
      <c r="G64" s="227"/>
      <c r="H64" s="227"/>
      <c r="I64" s="227"/>
      <c r="J64" s="228"/>
      <c r="K64" s="63"/>
      <c r="L64" s="125"/>
      <c r="M64" s="126"/>
      <c r="N64" s="126"/>
      <c r="O64" s="126"/>
      <c r="P64" s="126"/>
      <c r="Q64" s="127"/>
      <c r="R64" s="58"/>
      <c r="S64" s="184">
        <f>S62</f>
        <v>47.798349999999999</v>
      </c>
      <c r="T64" s="185">
        <f t="shared" ref="T64:AL64" si="36">T62+S64</f>
        <v>146.53710000000001</v>
      </c>
      <c r="U64" s="185">
        <f t="shared" si="36"/>
        <v>163.71783000000002</v>
      </c>
      <c r="V64" s="185">
        <f t="shared" si="36"/>
        <v>218.92113000000003</v>
      </c>
      <c r="W64" s="185">
        <f t="shared" si="36"/>
        <v>274.12553000000003</v>
      </c>
      <c r="X64" s="185">
        <f t="shared" si="36"/>
        <v>362.33103000000006</v>
      </c>
      <c r="Y64" s="185">
        <f t="shared" si="36"/>
        <v>450.39663000000007</v>
      </c>
      <c r="Z64" s="185">
        <f t="shared" si="36"/>
        <v>1027.7105200000001</v>
      </c>
      <c r="AA64" s="185">
        <f t="shared" si="36"/>
        <v>1126.0403200000001</v>
      </c>
      <c r="AB64" s="185">
        <f t="shared" si="36"/>
        <v>3507.2855100000002</v>
      </c>
      <c r="AC64" s="185">
        <f t="shared" si="36"/>
        <v>3585.6965100000002</v>
      </c>
      <c r="AD64" s="186">
        <f t="shared" si="36"/>
        <v>11241.360070000001</v>
      </c>
      <c r="AE64" s="185">
        <f>AE62+AD64</f>
        <v>11241.360070000001</v>
      </c>
      <c r="AF64" s="185">
        <f t="shared" si="36"/>
        <v>11241.360070000001</v>
      </c>
      <c r="AG64" s="185">
        <f t="shared" si="36"/>
        <v>11241.360070000001</v>
      </c>
      <c r="AH64" s="185">
        <f t="shared" si="36"/>
        <v>11241.360070000001</v>
      </c>
      <c r="AI64" s="185">
        <f t="shared" si="36"/>
        <v>11241.360070000001</v>
      </c>
      <c r="AJ64" s="185">
        <f t="shared" si="36"/>
        <v>11241.360070000001</v>
      </c>
      <c r="AK64" s="185">
        <f t="shared" si="36"/>
        <v>11241.360070000001</v>
      </c>
      <c r="AL64" s="185">
        <f t="shared" si="36"/>
        <v>11241.360070000001</v>
      </c>
      <c r="AM64" s="185">
        <f>AM62+AL64</f>
        <v>11241.360070000001</v>
      </c>
      <c r="AN64" s="185">
        <f>AN62+AM64</f>
        <v>11241.360070000001</v>
      </c>
      <c r="AO64" s="185">
        <f>AO62+AN64</f>
        <v>11241.360070000001</v>
      </c>
      <c r="AP64" s="185">
        <f>AP62+AO64</f>
        <v>11241.360070000001</v>
      </c>
      <c r="AQ64" s="196"/>
    </row>
    <row r="65" spans="1:43" ht="15.75" thickTop="1" x14ac:dyDescent="0.25">
      <c r="C65" s="67"/>
      <c r="D65" s="68"/>
      <c r="E65" s="67"/>
      <c r="F65" s="273"/>
      <c r="G65" s="273"/>
      <c r="H65" s="273"/>
      <c r="I65" s="273"/>
      <c r="J65" s="273"/>
      <c r="K65" s="63"/>
      <c r="L65" s="129"/>
      <c r="M65" s="129"/>
      <c r="N65" s="129"/>
      <c r="O65" s="129"/>
      <c r="P65" s="129"/>
      <c r="Q65" s="129"/>
      <c r="R65" s="58"/>
      <c r="S65" s="193"/>
      <c r="T65" s="193"/>
      <c r="U65" s="193"/>
      <c r="V65" s="193"/>
      <c r="W65" s="193"/>
      <c r="X65" s="193"/>
      <c r="Y65" s="193"/>
      <c r="Z65" s="193"/>
      <c r="AA65" s="193"/>
      <c r="AB65" s="193"/>
      <c r="AC65" s="193"/>
      <c r="AD65" s="193"/>
      <c r="AE65" s="193"/>
      <c r="AF65" s="193"/>
      <c r="AG65" s="193"/>
      <c r="AH65" s="193"/>
      <c r="AI65" s="193"/>
      <c r="AJ65" s="193"/>
      <c r="AK65" s="193"/>
      <c r="AL65" s="193"/>
      <c r="AM65" s="193"/>
      <c r="AN65" s="193"/>
      <c r="AO65" s="193"/>
      <c r="AP65" s="193"/>
      <c r="AQ65" s="183"/>
    </row>
    <row r="66" spans="1:43" s="107" customFormat="1" x14ac:dyDescent="0.25">
      <c r="A66" s="187"/>
      <c r="B66" s="188"/>
      <c r="C66" s="189"/>
      <c r="D66" s="190"/>
      <c r="E66" s="191"/>
      <c r="F66" s="192"/>
      <c r="G66" s="192"/>
      <c r="I66" s="192"/>
      <c r="J66" s="192"/>
      <c r="K66" s="63"/>
      <c r="L66" s="119"/>
      <c r="M66" s="119"/>
      <c r="N66" s="119"/>
      <c r="O66" s="119"/>
      <c r="P66" s="119"/>
      <c r="Q66" s="119"/>
      <c r="R66" s="58"/>
      <c r="S66" s="192"/>
      <c r="T66" s="192"/>
      <c r="U66" s="192"/>
      <c r="V66" s="192"/>
      <c r="W66" s="192"/>
      <c r="X66" s="192"/>
      <c r="Y66" s="192"/>
      <c r="Z66" s="192"/>
      <c r="AA66" s="192"/>
      <c r="AB66" s="192"/>
      <c r="AC66" s="192"/>
      <c r="AD66" s="192"/>
      <c r="AE66" s="192"/>
      <c r="AF66" s="192"/>
      <c r="AG66" s="192"/>
      <c r="AH66" s="192"/>
      <c r="AI66" s="192"/>
      <c r="AJ66" s="192"/>
      <c r="AK66" s="192"/>
      <c r="AL66" s="192"/>
      <c r="AM66" s="192"/>
      <c r="AN66" s="192"/>
      <c r="AO66" s="192"/>
      <c r="AP66" s="192"/>
      <c r="AQ66" s="183"/>
    </row>
    <row r="67" spans="1:43" s="107" customFormat="1" x14ac:dyDescent="0.25">
      <c r="A67" s="187"/>
      <c r="B67" s="188"/>
      <c r="C67" s="176" t="s">
        <v>34</v>
      </c>
      <c r="D67" s="172"/>
      <c r="E67" s="173"/>
      <c r="F67" s="106"/>
      <c r="G67" s="106"/>
      <c r="H67" s="105"/>
      <c r="I67" s="106"/>
      <c r="J67" s="106"/>
      <c r="K67" s="63"/>
      <c r="L67" s="105"/>
      <c r="M67" s="105"/>
      <c r="N67" s="105"/>
      <c r="O67" s="105"/>
      <c r="P67" s="105"/>
      <c r="Q67" s="105"/>
      <c r="R67" s="58"/>
      <c r="S67" s="106"/>
      <c r="T67" s="106"/>
      <c r="U67" s="106"/>
      <c r="V67" s="106"/>
      <c r="W67" s="106"/>
      <c r="X67" s="106"/>
      <c r="Y67" s="106"/>
      <c r="Z67" s="106"/>
      <c r="AA67" s="106"/>
      <c r="AB67" s="106"/>
      <c r="AC67" s="106"/>
      <c r="AD67" s="106"/>
      <c r="AE67" s="106"/>
      <c r="AF67" s="106"/>
      <c r="AG67" s="106"/>
      <c r="AH67" s="106"/>
      <c r="AI67" s="106"/>
      <c r="AJ67" s="106"/>
      <c r="AK67" s="106"/>
      <c r="AL67" s="106"/>
      <c r="AM67" s="106"/>
      <c r="AN67" s="106"/>
      <c r="AO67" s="106"/>
      <c r="AP67" s="106"/>
      <c r="AQ67" s="183"/>
    </row>
    <row r="68" spans="1:43" s="107" customFormat="1" x14ac:dyDescent="0.25">
      <c r="A68" s="187"/>
      <c r="B68" s="188"/>
      <c r="C68" s="173" t="s">
        <v>35</v>
      </c>
      <c r="D68" s="172"/>
      <c r="E68" s="173"/>
      <c r="F68" s="106"/>
      <c r="G68" s="106"/>
      <c r="H68" s="105"/>
      <c r="I68" s="106"/>
      <c r="J68" s="106"/>
      <c r="K68" s="63"/>
      <c r="L68" s="105"/>
      <c r="M68" s="105"/>
      <c r="N68" s="105"/>
      <c r="O68" s="105"/>
      <c r="P68" s="105"/>
      <c r="Q68" s="105"/>
      <c r="R68" s="58"/>
      <c r="S68" s="106"/>
      <c r="T68" s="106"/>
      <c r="U68" s="106"/>
      <c r="V68" s="106"/>
      <c r="W68" s="106"/>
      <c r="X68" s="106"/>
      <c r="Y68" s="106"/>
      <c r="Z68" s="106"/>
      <c r="AA68" s="106"/>
      <c r="AB68" s="106"/>
      <c r="AC68" s="106"/>
      <c r="AD68" s="106"/>
      <c r="AE68" s="106"/>
      <c r="AF68" s="106"/>
      <c r="AG68" s="106"/>
      <c r="AH68" s="106"/>
      <c r="AI68" s="106"/>
      <c r="AJ68" s="106"/>
      <c r="AK68" s="106"/>
      <c r="AL68" s="106"/>
      <c r="AM68" s="106"/>
      <c r="AN68" s="106"/>
      <c r="AO68" s="106"/>
      <c r="AP68" s="106"/>
      <c r="AQ68" s="183"/>
    </row>
    <row r="69" spans="1:43" s="107" customFormat="1" ht="15.75" thickBot="1" x14ac:dyDescent="0.3">
      <c r="A69" s="187"/>
      <c r="B69" s="188"/>
      <c r="C69" s="173"/>
      <c r="D69" s="172"/>
      <c r="E69" s="173"/>
      <c r="F69" s="106"/>
      <c r="G69" s="106"/>
      <c r="H69" s="105"/>
      <c r="I69" s="106"/>
      <c r="J69" s="106"/>
      <c r="K69" s="63"/>
      <c r="L69" s="105"/>
      <c r="M69" s="105"/>
      <c r="N69" s="105"/>
      <c r="O69" s="105"/>
      <c r="P69" s="105"/>
      <c r="Q69" s="105"/>
      <c r="R69" s="58"/>
      <c r="S69" s="106"/>
      <c r="T69" s="106"/>
      <c r="U69" s="106"/>
      <c r="V69" s="106"/>
      <c r="W69" s="106"/>
      <c r="X69" s="106"/>
      <c r="Y69" s="106"/>
      <c r="Z69" s="106"/>
      <c r="AA69" s="106"/>
      <c r="AB69" s="106"/>
      <c r="AC69" s="106"/>
      <c r="AD69" s="106"/>
      <c r="AE69" s="106"/>
      <c r="AF69" s="106"/>
      <c r="AG69" s="106"/>
      <c r="AH69" s="106"/>
      <c r="AI69" s="106"/>
      <c r="AJ69" s="106"/>
      <c r="AK69" s="106"/>
      <c r="AL69" s="106"/>
      <c r="AM69" s="106"/>
      <c r="AN69" s="106"/>
      <c r="AO69" s="106"/>
      <c r="AP69" s="106"/>
      <c r="AQ69" s="183"/>
    </row>
    <row r="70" spans="1:43" s="117" customFormat="1" ht="30.75" thickBot="1" x14ac:dyDescent="0.3">
      <c r="A70" s="169"/>
      <c r="B70" s="170"/>
      <c r="C70" s="51" t="s">
        <v>15</v>
      </c>
      <c r="D70" s="52" t="s">
        <v>16</v>
      </c>
      <c r="E70" s="53" t="s">
        <v>17</v>
      </c>
      <c r="F70" s="54" t="s">
        <v>18</v>
      </c>
      <c r="G70" s="45" t="s">
        <v>19</v>
      </c>
      <c r="H70" s="45" t="s">
        <v>20</v>
      </c>
      <c r="I70" s="45" t="s">
        <v>21</v>
      </c>
      <c r="J70" s="46" t="s">
        <v>22</v>
      </c>
      <c r="K70" s="63"/>
      <c r="L70" s="44" t="str">
        <f t="shared" ref="L70:Q70" si="37">L$11</f>
        <v>2014 CWIP</v>
      </c>
      <c r="M70" s="45" t="str">
        <f t="shared" si="37"/>
        <v>2015 Total Expenditures</v>
      </c>
      <c r="N70" s="45" t="str">
        <f t="shared" si="37"/>
        <v>2016 Total Expenditures</v>
      </c>
      <c r="O70" s="45" t="str">
        <f t="shared" si="37"/>
        <v>2014 ISO CWIP Less Collectible</v>
      </c>
      <c r="P70" s="45" t="str">
        <f t="shared" si="37"/>
        <v>2015 ISO Expenditures Less Collectible</v>
      </c>
      <c r="Q70" s="46" t="str">
        <f t="shared" si="37"/>
        <v>2016 ISO Expenditures Less Collectible</v>
      </c>
      <c r="R70" s="58"/>
      <c r="S70" s="204">
        <f>$D$3</f>
        <v>42005</v>
      </c>
      <c r="T70" s="84">
        <f t="shared" ref="T70:AL70" si="38">DATE(YEAR(S70),MONTH(S70)+1,DAY(S70))</f>
        <v>42036</v>
      </c>
      <c r="U70" s="84">
        <f t="shared" si="38"/>
        <v>42064</v>
      </c>
      <c r="V70" s="84">
        <f t="shared" si="38"/>
        <v>42095</v>
      </c>
      <c r="W70" s="84">
        <f t="shared" si="38"/>
        <v>42125</v>
      </c>
      <c r="X70" s="84">
        <f t="shared" si="38"/>
        <v>42156</v>
      </c>
      <c r="Y70" s="84">
        <f t="shared" si="38"/>
        <v>42186</v>
      </c>
      <c r="Z70" s="84">
        <f t="shared" si="38"/>
        <v>42217</v>
      </c>
      <c r="AA70" s="84">
        <f t="shared" si="38"/>
        <v>42248</v>
      </c>
      <c r="AB70" s="84">
        <f t="shared" si="38"/>
        <v>42278</v>
      </c>
      <c r="AC70" s="84">
        <f t="shared" si="38"/>
        <v>42309</v>
      </c>
      <c r="AD70" s="205">
        <f t="shared" si="38"/>
        <v>42339</v>
      </c>
      <c r="AE70" s="204">
        <f>DATE(YEAR(AD70),MONTH(AD70)+1,DAY(AD70))</f>
        <v>42370</v>
      </c>
      <c r="AF70" s="84">
        <f t="shared" si="38"/>
        <v>42401</v>
      </c>
      <c r="AG70" s="84">
        <f t="shared" si="38"/>
        <v>42430</v>
      </c>
      <c r="AH70" s="84">
        <f t="shared" si="38"/>
        <v>42461</v>
      </c>
      <c r="AI70" s="84">
        <f t="shared" si="38"/>
        <v>42491</v>
      </c>
      <c r="AJ70" s="84">
        <f t="shared" si="38"/>
        <v>42522</v>
      </c>
      <c r="AK70" s="84">
        <f t="shared" si="38"/>
        <v>42552</v>
      </c>
      <c r="AL70" s="84">
        <f t="shared" si="38"/>
        <v>42583</v>
      </c>
      <c r="AM70" s="84">
        <f>DATE(YEAR(AL70),MONTH(AL70)+1,DAY(AL70))</f>
        <v>42614</v>
      </c>
      <c r="AN70" s="84">
        <f>DATE(YEAR(AM70),MONTH(AM70)+1,DAY(AM70))</f>
        <v>42644</v>
      </c>
      <c r="AO70" s="84">
        <f>DATE(YEAR(AN70),MONTH(AN70)+1,DAY(AN70))</f>
        <v>42675</v>
      </c>
      <c r="AP70" s="84">
        <f>DATE(YEAR(AO70),MONTH(AO70)+1,DAY(AO70))</f>
        <v>42705</v>
      </c>
      <c r="AQ70" s="196"/>
    </row>
    <row r="71" spans="1:43" s="183" customFormat="1" x14ac:dyDescent="0.25">
      <c r="A71" s="198" t="str">
        <f t="shared" ref="A71:A77" si="39">+$C$49</f>
        <v>Tehachapi Segments 3B &amp; 3C</v>
      </c>
      <c r="B71" s="179" t="s">
        <v>36</v>
      </c>
      <c r="C71" s="56" t="str">
        <f t="shared" ref="C71:J77" si="40">C55</f>
        <v>CET-ET-TP-RN-718300</v>
      </c>
      <c r="D71" s="57" t="str">
        <f t="shared" si="40"/>
        <v>230 kV Transmission Line Between Highwind and Winhub Substations</v>
      </c>
      <c r="E71" s="58">
        <f t="shared" si="40"/>
        <v>7183</v>
      </c>
      <c r="F71" s="60" t="str">
        <f t="shared" si="40"/>
        <v>High</v>
      </c>
      <c r="G71" s="59">
        <f t="shared" si="40"/>
        <v>41244</v>
      </c>
      <c r="H71" s="60" t="str">
        <f t="shared" si="40"/>
        <v>TR-LINEINC</v>
      </c>
      <c r="I71" s="61">
        <f t="shared" si="40"/>
        <v>0</v>
      </c>
      <c r="J71" s="62">
        <f t="shared" si="40"/>
        <v>1</v>
      </c>
      <c r="K71" s="63"/>
      <c r="L71" s="234">
        <f t="shared" ref="L71:N77" si="41">L55</f>
        <v>0</v>
      </c>
      <c r="M71" s="64">
        <f t="shared" si="41"/>
        <v>309.10591999999997</v>
      </c>
      <c r="N71" s="64">
        <f t="shared" si="41"/>
        <v>0</v>
      </c>
      <c r="O71" s="64">
        <f t="shared" ref="O71:O77" si="42">$L71*$J71*(1-$I71)</f>
        <v>0</v>
      </c>
      <c r="P71" s="64">
        <f t="shared" ref="P71:P77" si="43">$M71*$J71*(1-$I71)</f>
        <v>309.10591999999997</v>
      </c>
      <c r="Q71" s="65">
        <f t="shared" ref="Q71:Q77" si="44">$N71*$J71*(1-$I71)</f>
        <v>0</v>
      </c>
      <c r="R71" s="59"/>
      <c r="S71" s="206">
        <v>16.516449999999999</v>
      </c>
      <c r="T71" s="207">
        <v>1.7241</v>
      </c>
      <c r="U71" s="207">
        <v>8.6187299999999993</v>
      </c>
      <c r="V71" s="207">
        <v>21.903299999999998</v>
      </c>
      <c r="W71" s="207">
        <v>21.904400000000003</v>
      </c>
      <c r="X71" s="207">
        <v>21.9055</v>
      </c>
      <c r="Y71" s="207">
        <v>21.906599999999997</v>
      </c>
      <c r="Z71" s="207">
        <v>21.907700000000002</v>
      </c>
      <c r="AA71" s="207">
        <v>21.908799999999999</v>
      </c>
      <c r="AB71" s="207">
        <v>21.9099</v>
      </c>
      <c r="AC71" s="207">
        <v>21.911000000000001</v>
      </c>
      <c r="AD71" s="207">
        <v>106.98944</v>
      </c>
      <c r="AE71" s="207">
        <v>0</v>
      </c>
      <c r="AF71" s="207">
        <v>0</v>
      </c>
      <c r="AG71" s="207">
        <v>0</v>
      </c>
      <c r="AH71" s="207">
        <v>0</v>
      </c>
      <c r="AI71" s="207">
        <v>0</v>
      </c>
      <c r="AJ71" s="207">
        <v>0</v>
      </c>
      <c r="AK71" s="207">
        <v>0</v>
      </c>
      <c r="AL71" s="207">
        <v>0</v>
      </c>
      <c r="AM71" s="207">
        <v>0</v>
      </c>
      <c r="AN71" s="207">
        <v>0</v>
      </c>
      <c r="AO71" s="207">
        <v>0</v>
      </c>
      <c r="AP71" s="197">
        <v>0</v>
      </c>
    </row>
    <row r="72" spans="1:43" s="183" customFormat="1" x14ac:dyDescent="0.25">
      <c r="A72" s="198" t="str">
        <f t="shared" si="39"/>
        <v>Tehachapi Segments 3B &amp; 3C</v>
      </c>
      <c r="B72" s="179" t="s">
        <v>36</v>
      </c>
      <c r="C72" s="56" t="str">
        <f t="shared" si="40"/>
        <v>CET-ET-TP-RN-718301</v>
      </c>
      <c r="D72" s="66" t="str">
        <f t="shared" si="40"/>
        <v>Highwind Substation Construction</v>
      </c>
      <c r="E72" s="58">
        <f t="shared" si="40"/>
        <v>7183</v>
      </c>
      <c r="F72" s="60" t="str">
        <f t="shared" si="40"/>
        <v>High</v>
      </c>
      <c r="G72" s="59">
        <f t="shared" si="40"/>
        <v>41244</v>
      </c>
      <c r="H72" s="60" t="str">
        <f t="shared" si="40"/>
        <v>TR-SUBINC</v>
      </c>
      <c r="I72" s="61">
        <f t="shared" si="40"/>
        <v>0</v>
      </c>
      <c r="J72" s="62">
        <f t="shared" si="40"/>
        <v>1</v>
      </c>
      <c r="K72" s="63"/>
      <c r="L72" s="234">
        <f t="shared" si="41"/>
        <v>0</v>
      </c>
      <c r="M72" s="64">
        <f t="shared" si="41"/>
        <v>0</v>
      </c>
      <c r="N72" s="64">
        <f t="shared" si="41"/>
        <v>0</v>
      </c>
      <c r="O72" s="64">
        <f t="shared" si="42"/>
        <v>0</v>
      </c>
      <c r="P72" s="64">
        <f t="shared" si="43"/>
        <v>0</v>
      </c>
      <c r="Q72" s="65">
        <f t="shared" si="44"/>
        <v>0</v>
      </c>
      <c r="R72" s="59"/>
      <c r="S72" s="180">
        <v>0</v>
      </c>
      <c r="T72" s="181">
        <v>0</v>
      </c>
      <c r="U72" s="181">
        <v>0</v>
      </c>
      <c r="V72" s="181">
        <v>0</v>
      </c>
      <c r="W72" s="181">
        <v>0</v>
      </c>
      <c r="X72" s="181">
        <v>0</v>
      </c>
      <c r="Y72" s="181">
        <v>0</v>
      </c>
      <c r="Z72" s="181">
        <v>0</v>
      </c>
      <c r="AA72" s="181">
        <v>0</v>
      </c>
      <c r="AB72" s="181">
        <v>0</v>
      </c>
      <c r="AC72" s="181">
        <v>0</v>
      </c>
      <c r="AD72" s="181">
        <v>0</v>
      </c>
      <c r="AE72" s="181">
        <v>0</v>
      </c>
      <c r="AF72" s="181">
        <v>0</v>
      </c>
      <c r="AG72" s="181">
        <v>0</v>
      </c>
      <c r="AH72" s="181">
        <v>0</v>
      </c>
      <c r="AI72" s="181">
        <v>0</v>
      </c>
      <c r="AJ72" s="181">
        <v>0</v>
      </c>
      <c r="AK72" s="181">
        <v>0</v>
      </c>
      <c r="AL72" s="181">
        <v>0</v>
      </c>
      <c r="AM72" s="181">
        <v>0</v>
      </c>
      <c r="AN72" s="181">
        <v>0</v>
      </c>
      <c r="AO72" s="181">
        <v>0</v>
      </c>
      <c r="AP72" s="182">
        <v>0</v>
      </c>
    </row>
    <row r="73" spans="1:43" s="183" customFormat="1" x14ac:dyDescent="0.25">
      <c r="A73" s="198" t="str">
        <f t="shared" si="39"/>
        <v>Tehachapi Segments 3B &amp; 3C</v>
      </c>
      <c r="B73" s="179" t="s">
        <v>36</v>
      </c>
      <c r="C73" s="56" t="str">
        <f t="shared" si="40"/>
        <v>CET-ET-TP-RN-718302</v>
      </c>
      <c r="D73" s="66" t="str">
        <f t="shared" si="40"/>
        <v>TRTP Segment 3B: Highwind-Windhub</v>
      </c>
      <c r="E73" s="58">
        <f t="shared" si="40"/>
        <v>7183</v>
      </c>
      <c r="F73" s="60" t="str">
        <f t="shared" si="40"/>
        <v>High</v>
      </c>
      <c r="G73" s="59">
        <f t="shared" si="40"/>
        <v>41244</v>
      </c>
      <c r="H73" s="60" t="str">
        <f t="shared" si="40"/>
        <v>TR-LINEINC</v>
      </c>
      <c r="I73" s="61">
        <f t="shared" si="40"/>
        <v>0</v>
      </c>
      <c r="J73" s="62">
        <f t="shared" si="40"/>
        <v>1</v>
      </c>
      <c r="K73" s="63"/>
      <c r="L73" s="284">
        <f t="shared" si="41"/>
        <v>0</v>
      </c>
      <c r="M73" s="64">
        <f t="shared" si="41"/>
        <v>10060.34023</v>
      </c>
      <c r="N73" s="64">
        <f t="shared" si="41"/>
        <v>0</v>
      </c>
      <c r="O73" s="64">
        <f t="shared" si="42"/>
        <v>0</v>
      </c>
      <c r="P73" s="64">
        <f t="shared" si="43"/>
        <v>10060.34023</v>
      </c>
      <c r="Q73" s="65">
        <f t="shared" si="44"/>
        <v>0</v>
      </c>
      <c r="R73" s="59"/>
      <c r="S73" s="180">
        <v>19.925930000000001</v>
      </c>
      <c r="T73" s="181">
        <v>88.209639999999993</v>
      </c>
      <c r="U73" s="181">
        <v>4.7086899999999998</v>
      </c>
      <c r="V73" s="181">
        <v>24.5</v>
      </c>
      <c r="W73" s="181">
        <v>24.5</v>
      </c>
      <c r="X73" s="181">
        <v>57.5</v>
      </c>
      <c r="Y73" s="181">
        <v>57.359000000000002</v>
      </c>
      <c r="Z73" s="181">
        <v>56.5</v>
      </c>
      <c r="AA73" s="181">
        <v>56.5</v>
      </c>
      <c r="AB73" s="181">
        <v>2256.5</v>
      </c>
      <c r="AC73" s="181">
        <v>56.5</v>
      </c>
      <c r="AD73" s="181">
        <v>7357.6369699999996</v>
      </c>
      <c r="AE73" s="181">
        <v>0</v>
      </c>
      <c r="AF73" s="181">
        <v>0</v>
      </c>
      <c r="AG73" s="181">
        <v>0</v>
      </c>
      <c r="AH73" s="181">
        <v>0</v>
      </c>
      <c r="AI73" s="181">
        <v>0</v>
      </c>
      <c r="AJ73" s="181">
        <v>0</v>
      </c>
      <c r="AK73" s="181">
        <v>0</v>
      </c>
      <c r="AL73" s="181">
        <v>0</v>
      </c>
      <c r="AM73" s="181">
        <v>0</v>
      </c>
      <c r="AN73" s="181">
        <v>0</v>
      </c>
      <c r="AO73" s="181">
        <v>0</v>
      </c>
      <c r="AP73" s="182">
        <v>0</v>
      </c>
    </row>
    <row r="74" spans="1:43" s="183" customFormat="1" x14ac:dyDescent="0.25">
      <c r="A74" s="198" t="str">
        <f t="shared" si="39"/>
        <v>Tehachapi Segments 3B &amp; 3C</v>
      </c>
      <c r="B74" s="179" t="s">
        <v>36</v>
      </c>
      <c r="C74" s="56" t="str">
        <f t="shared" si="40"/>
        <v>CET-ET-TP-RN-718301</v>
      </c>
      <c r="D74" s="66" t="str">
        <f t="shared" si="40"/>
        <v>Highwind Substation: Visual Mitigation Measures</v>
      </c>
      <c r="E74" s="58">
        <f t="shared" si="40"/>
        <v>7183</v>
      </c>
      <c r="F74" s="60" t="str">
        <f t="shared" si="40"/>
        <v>High</v>
      </c>
      <c r="G74" s="59">
        <f t="shared" si="40"/>
        <v>42217</v>
      </c>
      <c r="H74" s="60" t="str">
        <f t="shared" si="40"/>
        <v>TR-SUBINC</v>
      </c>
      <c r="I74" s="61">
        <f t="shared" si="40"/>
        <v>0</v>
      </c>
      <c r="J74" s="62">
        <f t="shared" si="40"/>
        <v>1</v>
      </c>
      <c r="K74" s="63"/>
      <c r="L74" s="234">
        <f t="shared" si="41"/>
        <v>50.20958000000001</v>
      </c>
      <c r="M74" s="64">
        <f t="shared" si="41"/>
        <v>642.43376000000001</v>
      </c>
      <c r="N74" s="64">
        <f t="shared" si="41"/>
        <v>0</v>
      </c>
      <c r="O74" s="64">
        <f t="shared" si="42"/>
        <v>50.20958000000001</v>
      </c>
      <c r="P74" s="64">
        <f t="shared" si="43"/>
        <v>642.43376000000001</v>
      </c>
      <c r="Q74" s="65">
        <f t="shared" si="44"/>
        <v>0</v>
      </c>
      <c r="R74" s="59"/>
      <c r="S74" s="180">
        <v>9.350010000000001</v>
      </c>
      <c r="T74" s="181">
        <v>17.66375</v>
      </c>
      <c r="U74" s="181">
        <v>5.3828500000000004</v>
      </c>
      <c r="V74" s="181">
        <v>16.5</v>
      </c>
      <c r="W74" s="181">
        <v>16.5</v>
      </c>
      <c r="X74" s="181">
        <v>16.5</v>
      </c>
      <c r="Y74" s="181">
        <v>346.5</v>
      </c>
      <c r="Z74" s="181">
        <v>11.5</v>
      </c>
      <c r="AA74" s="181">
        <v>11.5</v>
      </c>
      <c r="AB74" s="181">
        <v>0</v>
      </c>
      <c r="AC74" s="181">
        <v>0</v>
      </c>
      <c r="AD74" s="181">
        <v>191.03715000000003</v>
      </c>
      <c r="AE74" s="181">
        <v>0</v>
      </c>
      <c r="AF74" s="181">
        <v>0</v>
      </c>
      <c r="AG74" s="181">
        <v>0</v>
      </c>
      <c r="AH74" s="181">
        <v>0</v>
      </c>
      <c r="AI74" s="181">
        <v>0</v>
      </c>
      <c r="AJ74" s="181">
        <v>0</v>
      </c>
      <c r="AK74" s="181">
        <v>0</v>
      </c>
      <c r="AL74" s="181">
        <v>0</v>
      </c>
      <c r="AM74" s="181">
        <v>0</v>
      </c>
      <c r="AN74" s="181">
        <v>0</v>
      </c>
      <c r="AO74" s="181">
        <v>0</v>
      </c>
      <c r="AP74" s="182">
        <v>0</v>
      </c>
    </row>
    <row r="75" spans="1:43" s="183" customFormat="1" x14ac:dyDescent="0.25">
      <c r="A75" s="198" t="str">
        <f t="shared" si="39"/>
        <v>Tehachapi Segments 3B &amp; 3C</v>
      </c>
      <c r="B75" s="179" t="s">
        <v>36</v>
      </c>
      <c r="C75" s="56" t="str">
        <f t="shared" si="40"/>
        <v>CET-ET-TP-RN-701400</v>
      </c>
      <c r="D75" s="66" t="str">
        <f t="shared" si="40"/>
        <v xml:space="preserve">I: TRTP 3C-1: Windhub 500kV Sub upgrade. </v>
      </c>
      <c r="E75" s="58">
        <f t="shared" si="40"/>
        <v>7014</v>
      </c>
      <c r="F75" s="60" t="str">
        <f t="shared" si="40"/>
        <v>High</v>
      </c>
      <c r="G75" s="59">
        <f t="shared" si="40"/>
        <v>41244</v>
      </c>
      <c r="H75" s="60" t="str">
        <f t="shared" si="40"/>
        <v>TR-SUBINC</v>
      </c>
      <c r="I75" s="61">
        <f t="shared" si="40"/>
        <v>0</v>
      </c>
      <c r="J75" s="62">
        <f t="shared" si="40"/>
        <v>1</v>
      </c>
      <c r="K75" s="63"/>
      <c r="L75" s="234">
        <f t="shared" si="41"/>
        <v>0</v>
      </c>
      <c r="M75" s="64">
        <f t="shared" si="41"/>
        <v>-5.4331800000000001</v>
      </c>
      <c r="N75" s="64">
        <f t="shared" si="41"/>
        <v>0</v>
      </c>
      <c r="O75" s="64">
        <f t="shared" si="42"/>
        <v>0</v>
      </c>
      <c r="P75" s="64">
        <f t="shared" si="43"/>
        <v>-5.4331800000000001</v>
      </c>
      <c r="Q75" s="65">
        <f t="shared" si="44"/>
        <v>0</v>
      </c>
      <c r="R75" s="59"/>
      <c r="S75" s="180">
        <v>0.6895</v>
      </c>
      <c r="T75" s="181">
        <v>0</v>
      </c>
      <c r="U75" s="181">
        <v>-3.4060900000000003</v>
      </c>
      <c r="V75" s="181">
        <v>0</v>
      </c>
      <c r="W75" s="181">
        <v>0</v>
      </c>
      <c r="X75" s="181">
        <v>0</v>
      </c>
      <c r="Y75" s="181">
        <v>0</v>
      </c>
      <c r="Z75" s="181">
        <v>0</v>
      </c>
      <c r="AA75" s="181">
        <v>0</v>
      </c>
      <c r="AB75" s="181">
        <v>-2.7165900000000005</v>
      </c>
      <c r="AC75" s="181">
        <v>0</v>
      </c>
      <c r="AD75" s="181">
        <v>0</v>
      </c>
      <c r="AE75" s="181">
        <v>0</v>
      </c>
      <c r="AF75" s="181">
        <v>0</v>
      </c>
      <c r="AG75" s="181">
        <v>0</v>
      </c>
      <c r="AH75" s="181">
        <v>0</v>
      </c>
      <c r="AI75" s="181">
        <v>0</v>
      </c>
      <c r="AJ75" s="181">
        <v>0</v>
      </c>
      <c r="AK75" s="181">
        <v>0</v>
      </c>
      <c r="AL75" s="181">
        <v>0</v>
      </c>
      <c r="AM75" s="181">
        <v>0</v>
      </c>
      <c r="AN75" s="181">
        <v>0</v>
      </c>
      <c r="AO75" s="181">
        <v>0</v>
      </c>
      <c r="AP75" s="182">
        <v>0</v>
      </c>
    </row>
    <row r="76" spans="1:43" s="183" customFormat="1" x14ac:dyDescent="0.25">
      <c r="A76" s="198" t="str">
        <f t="shared" si="39"/>
        <v>Tehachapi Segments 3B &amp; 3C</v>
      </c>
      <c r="B76" s="179" t="s">
        <v>36</v>
      </c>
      <c r="C76" s="56" t="str">
        <f t="shared" si="40"/>
        <v>CET-ET-TP-RN-701401</v>
      </c>
      <c r="D76" s="66" t="str">
        <f t="shared" si="40"/>
        <v xml:space="preserve">I: TRTP Segment 3C: Windhub Sub: Install transformer banks 1AA and 2AA. </v>
      </c>
      <c r="E76" s="58">
        <f t="shared" si="40"/>
        <v>7014</v>
      </c>
      <c r="F76" s="60" t="str">
        <f t="shared" si="40"/>
        <v>High</v>
      </c>
      <c r="G76" s="59">
        <f t="shared" si="40"/>
        <v>41244</v>
      </c>
      <c r="H76" s="60" t="str">
        <f t="shared" si="40"/>
        <v>TR-SUBINC</v>
      </c>
      <c r="I76" s="61">
        <f t="shared" si="40"/>
        <v>0</v>
      </c>
      <c r="J76" s="62">
        <f t="shared" si="40"/>
        <v>1</v>
      </c>
      <c r="K76" s="63"/>
      <c r="L76" s="284">
        <f t="shared" si="41"/>
        <v>0</v>
      </c>
      <c r="M76" s="64">
        <f t="shared" si="41"/>
        <v>136.55966000000001</v>
      </c>
      <c r="N76" s="64">
        <f t="shared" si="41"/>
        <v>0</v>
      </c>
      <c r="O76" s="64">
        <f t="shared" si="42"/>
        <v>0</v>
      </c>
      <c r="P76" s="64">
        <f t="shared" si="43"/>
        <v>136.55966000000001</v>
      </c>
      <c r="Q76" s="65">
        <f t="shared" si="44"/>
        <v>0</v>
      </c>
      <c r="R76" s="59"/>
      <c r="S76" s="180">
        <v>7.7278500000000001</v>
      </c>
      <c r="T76" s="181">
        <v>5.7906400000000007</v>
      </c>
      <c r="U76" s="181">
        <v>5.6403400000000001</v>
      </c>
      <c r="V76" s="181">
        <v>6.6</v>
      </c>
      <c r="W76" s="181">
        <v>6.6</v>
      </c>
      <c r="X76" s="181">
        <v>6.6</v>
      </c>
      <c r="Y76" s="181">
        <v>6.6</v>
      </c>
      <c r="Z76" s="181">
        <v>6.6</v>
      </c>
      <c r="AA76" s="181">
        <v>6.2210000000000001</v>
      </c>
      <c r="AB76" s="181">
        <v>78.179829999999995</v>
      </c>
      <c r="AC76" s="181">
        <v>0</v>
      </c>
      <c r="AD76" s="181">
        <v>0</v>
      </c>
      <c r="AE76" s="181">
        <v>0</v>
      </c>
      <c r="AF76" s="181">
        <v>0</v>
      </c>
      <c r="AG76" s="181">
        <v>0</v>
      </c>
      <c r="AH76" s="181">
        <v>0</v>
      </c>
      <c r="AI76" s="181">
        <v>0</v>
      </c>
      <c r="AJ76" s="181">
        <v>0</v>
      </c>
      <c r="AK76" s="181">
        <v>0</v>
      </c>
      <c r="AL76" s="181">
        <v>0</v>
      </c>
      <c r="AM76" s="181">
        <v>0</v>
      </c>
      <c r="AN76" s="181">
        <v>0</v>
      </c>
      <c r="AO76" s="181">
        <v>0</v>
      </c>
      <c r="AP76" s="182">
        <v>0</v>
      </c>
    </row>
    <row r="77" spans="1:43" s="183" customFormat="1" ht="15.75" thickBot="1" x14ac:dyDescent="0.3">
      <c r="A77" s="198" t="str">
        <f t="shared" si="39"/>
        <v>Tehachapi Segments 3B &amp; 3C</v>
      </c>
      <c r="B77" s="179" t="s">
        <v>36</v>
      </c>
      <c r="C77" s="56" t="str">
        <f t="shared" si="40"/>
        <v>CET-ET-TP-RN-701404</v>
      </c>
      <c r="D77" s="66" t="str">
        <f t="shared" si="40"/>
        <v>I: TRTP 3C-5: Antelope 500kV Sub upgrade.</v>
      </c>
      <c r="E77" s="58">
        <f t="shared" si="40"/>
        <v>7014</v>
      </c>
      <c r="F77" s="60" t="str">
        <f t="shared" si="40"/>
        <v>High</v>
      </c>
      <c r="G77" s="59">
        <f t="shared" si="40"/>
        <v>41244</v>
      </c>
      <c r="H77" s="60" t="str">
        <f t="shared" si="40"/>
        <v>TR-SUBINC</v>
      </c>
      <c r="I77" s="61">
        <f t="shared" si="40"/>
        <v>0</v>
      </c>
      <c r="J77" s="62">
        <f t="shared" si="40"/>
        <v>1</v>
      </c>
      <c r="K77" s="63"/>
      <c r="L77" s="284">
        <f t="shared" si="41"/>
        <v>0</v>
      </c>
      <c r="M77" s="64">
        <f t="shared" si="41"/>
        <v>48.144099999999995</v>
      </c>
      <c r="N77" s="64">
        <f t="shared" si="41"/>
        <v>0</v>
      </c>
      <c r="O77" s="64">
        <f t="shared" si="42"/>
        <v>0</v>
      </c>
      <c r="P77" s="64">
        <f t="shared" si="43"/>
        <v>48.144099999999995</v>
      </c>
      <c r="Q77" s="65">
        <f t="shared" si="44"/>
        <v>0</v>
      </c>
      <c r="R77" s="59"/>
      <c r="S77" s="257">
        <v>2.9386199999999998</v>
      </c>
      <c r="T77" s="258">
        <v>3.01437</v>
      </c>
      <c r="U77" s="258">
        <v>1.6190599999999999</v>
      </c>
      <c r="V77" s="258">
        <v>2.2000000000000002</v>
      </c>
      <c r="W77" s="258">
        <v>2.2000000000000002</v>
      </c>
      <c r="X77" s="258">
        <v>2.2000000000000002</v>
      </c>
      <c r="Y77" s="258">
        <v>2.2000000000000002</v>
      </c>
      <c r="Z77" s="258">
        <v>2.2000000000000002</v>
      </c>
      <c r="AA77" s="258">
        <v>2.2000000000000002</v>
      </c>
      <c r="AB77" s="258">
        <v>27.372049999999998</v>
      </c>
      <c r="AC77" s="258">
        <v>0</v>
      </c>
      <c r="AD77" s="258">
        <v>0</v>
      </c>
      <c r="AE77" s="258">
        <v>0</v>
      </c>
      <c r="AF77" s="258">
        <v>0</v>
      </c>
      <c r="AG77" s="258">
        <v>0</v>
      </c>
      <c r="AH77" s="258">
        <v>0</v>
      </c>
      <c r="AI77" s="258">
        <v>0</v>
      </c>
      <c r="AJ77" s="258">
        <v>0</v>
      </c>
      <c r="AK77" s="258">
        <v>0</v>
      </c>
      <c r="AL77" s="258">
        <v>0</v>
      </c>
      <c r="AM77" s="258">
        <v>0</v>
      </c>
      <c r="AN77" s="258">
        <v>0</v>
      </c>
      <c r="AO77" s="258">
        <v>0</v>
      </c>
      <c r="AP77" s="259">
        <v>0</v>
      </c>
    </row>
    <row r="78" spans="1:43" ht="15.75" thickBot="1" x14ac:dyDescent="0.3">
      <c r="C78" s="226" t="s">
        <v>37</v>
      </c>
      <c r="D78" s="227"/>
      <c r="E78" s="227"/>
      <c r="F78" s="227"/>
      <c r="G78" s="227"/>
      <c r="H78" s="227"/>
      <c r="I78" s="227"/>
      <c r="J78" s="228"/>
      <c r="K78" s="63"/>
      <c r="L78" s="125">
        <f t="shared" ref="L78:Q78" si="45">SUM(L71:L77)</f>
        <v>50.20958000000001</v>
      </c>
      <c r="M78" s="126">
        <f t="shared" si="45"/>
        <v>11191.15049</v>
      </c>
      <c r="N78" s="126">
        <f t="shared" si="45"/>
        <v>0</v>
      </c>
      <c r="O78" s="126">
        <f t="shared" si="45"/>
        <v>50.20958000000001</v>
      </c>
      <c r="P78" s="126">
        <f t="shared" si="45"/>
        <v>11191.15049</v>
      </c>
      <c r="Q78" s="127">
        <f t="shared" si="45"/>
        <v>0</v>
      </c>
      <c r="R78" s="58"/>
      <c r="S78" s="208">
        <f t="shared" ref="S78:AP78" si="46">SUM(S71:S77)</f>
        <v>57.148359999999997</v>
      </c>
      <c r="T78" s="209">
        <f t="shared" si="46"/>
        <v>116.40249999999999</v>
      </c>
      <c r="U78" s="209">
        <f t="shared" si="46"/>
        <v>22.563580000000002</v>
      </c>
      <c r="V78" s="209">
        <f t="shared" si="46"/>
        <v>71.703299999999999</v>
      </c>
      <c r="W78" s="209">
        <f t="shared" si="46"/>
        <v>71.704400000000007</v>
      </c>
      <c r="X78" s="209">
        <f t="shared" si="46"/>
        <v>104.7055</v>
      </c>
      <c r="Y78" s="209">
        <f t="shared" si="46"/>
        <v>434.56560000000002</v>
      </c>
      <c r="Z78" s="209">
        <f t="shared" si="46"/>
        <v>98.707700000000003</v>
      </c>
      <c r="AA78" s="209">
        <f t="shared" si="46"/>
        <v>98.329800000000006</v>
      </c>
      <c r="AB78" s="209">
        <f t="shared" si="46"/>
        <v>2381.2451900000001</v>
      </c>
      <c r="AC78" s="209">
        <f t="shared" si="46"/>
        <v>78.411000000000001</v>
      </c>
      <c r="AD78" s="210">
        <f t="shared" si="46"/>
        <v>7655.66356</v>
      </c>
      <c r="AE78" s="209">
        <f t="shared" si="46"/>
        <v>0</v>
      </c>
      <c r="AF78" s="209">
        <f t="shared" si="46"/>
        <v>0</v>
      </c>
      <c r="AG78" s="209">
        <f t="shared" si="46"/>
        <v>0</v>
      </c>
      <c r="AH78" s="209">
        <f t="shared" si="46"/>
        <v>0</v>
      </c>
      <c r="AI78" s="209">
        <f t="shared" si="46"/>
        <v>0</v>
      </c>
      <c r="AJ78" s="209">
        <f t="shared" si="46"/>
        <v>0</v>
      </c>
      <c r="AK78" s="209">
        <f t="shared" si="46"/>
        <v>0</v>
      </c>
      <c r="AL78" s="209">
        <f t="shared" si="46"/>
        <v>0</v>
      </c>
      <c r="AM78" s="209">
        <f t="shared" si="46"/>
        <v>0</v>
      </c>
      <c r="AN78" s="209">
        <f t="shared" si="46"/>
        <v>0</v>
      </c>
      <c r="AO78" s="209">
        <f t="shared" si="46"/>
        <v>0</v>
      </c>
      <c r="AP78" s="210">
        <f t="shared" si="46"/>
        <v>0</v>
      </c>
      <c r="AQ78" s="183"/>
    </row>
    <row r="79" spans="1:43" s="118" customFormat="1" ht="15.75" thickTop="1" x14ac:dyDescent="0.25">
      <c r="A79" s="187"/>
      <c r="B79" s="188"/>
      <c r="C79" s="173"/>
      <c r="D79" s="172"/>
      <c r="E79" s="173"/>
      <c r="F79" s="106"/>
      <c r="G79" s="106"/>
      <c r="H79" s="105"/>
      <c r="I79" s="106"/>
      <c r="J79" s="106"/>
      <c r="K79" s="63"/>
      <c r="L79" s="105"/>
      <c r="M79" s="105"/>
      <c r="N79" s="105"/>
      <c r="O79" s="105"/>
      <c r="P79" s="105"/>
      <c r="Q79" s="105"/>
      <c r="R79" s="58"/>
      <c r="S79" s="212"/>
      <c r="T79" s="212"/>
      <c r="U79" s="212"/>
      <c r="V79" s="212"/>
      <c r="W79" s="212"/>
      <c r="X79" s="212"/>
      <c r="Y79" s="212"/>
      <c r="Z79" s="212"/>
      <c r="AA79" s="212"/>
      <c r="AB79" s="212"/>
      <c r="AC79" s="212"/>
      <c r="AD79" s="212"/>
      <c r="AE79" s="212"/>
      <c r="AF79" s="212"/>
      <c r="AG79" s="212"/>
      <c r="AH79" s="212"/>
      <c r="AI79" s="212"/>
      <c r="AJ79" s="212"/>
      <c r="AK79" s="212"/>
      <c r="AL79" s="212"/>
      <c r="AM79" s="212"/>
      <c r="AN79" s="212"/>
      <c r="AO79" s="212"/>
      <c r="AP79" s="212"/>
      <c r="AQ79" s="183"/>
    </row>
    <row r="80" spans="1:43" s="107" customFormat="1" x14ac:dyDescent="0.25">
      <c r="A80" s="187"/>
      <c r="B80" s="188"/>
      <c r="C80" s="173"/>
      <c r="D80" s="173"/>
      <c r="E80" s="173"/>
      <c r="F80" s="173"/>
      <c r="G80" s="203"/>
      <c r="H80" s="173"/>
      <c r="I80" s="203"/>
      <c r="J80" s="203"/>
      <c r="K80" s="63"/>
      <c r="L80" s="129"/>
      <c r="M80" s="129"/>
      <c r="N80" s="129"/>
      <c r="O80" s="129"/>
      <c r="P80" s="129"/>
      <c r="Q80" s="129"/>
      <c r="R80" s="58"/>
      <c r="S80" s="193"/>
      <c r="T80" s="193"/>
      <c r="U80" s="193"/>
      <c r="V80" s="193"/>
      <c r="W80" s="193"/>
      <c r="X80" s="193"/>
      <c r="Y80" s="193"/>
      <c r="Z80" s="193"/>
      <c r="AA80" s="193"/>
      <c r="AB80" s="193"/>
      <c r="AC80" s="193"/>
      <c r="AD80" s="193"/>
      <c r="AE80" s="193"/>
      <c r="AF80" s="193"/>
      <c r="AG80" s="193"/>
      <c r="AH80" s="193"/>
      <c r="AI80" s="193"/>
      <c r="AJ80" s="193"/>
      <c r="AK80" s="193"/>
      <c r="AL80" s="193"/>
      <c r="AM80" s="193"/>
      <c r="AN80" s="193"/>
      <c r="AO80" s="193"/>
      <c r="AP80" s="193"/>
      <c r="AQ80" s="183"/>
    </row>
    <row r="81" spans="1:43" x14ac:dyDescent="0.25">
      <c r="K81" s="63"/>
      <c r="R81" s="58"/>
      <c r="AQ81" s="183"/>
    </row>
    <row r="82" spans="1:43" ht="18.75" x14ac:dyDescent="0.25">
      <c r="C82" s="275" t="s">
        <v>39</v>
      </c>
      <c r="D82" s="276"/>
      <c r="E82" s="276"/>
      <c r="F82" s="277"/>
      <c r="G82" s="277"/>
      <c r="H82" s="277"/>
      <c r="I82" s="277"/>
      <c r="J82" s="277"/>
      <c r="K82" s="63"/>
      <c r="R82" s="58"/>
      <c r="AQ82" s="183"/>
    </row>
    <row r="83" spans="1:43" x14ac:dyDescent="0.25">
      <c r="K83" s="63"/>
      <c r="R83" s="58"/>
      <c r="AQ83" s="183"/>
    </row>
    <row r="84" spans="1:43" x14ac:dyDescent="0.25">
      <c r="C84" s="176" t="s">
        <v>31</v>
      </c>
      <c r="K84" s="63"/>
      <c r="R84" s="58"/>
      <c r="AQ84" s="183"/>
    </row>
    <row r="85" spans="1:43" ht="15" customHeight="1" x14ac:dyDescent="0.25">
      <c r="C85" s="225" t="s">
        <v>32</v>
      </c>
      <c r="D85" s="225"/>
      <c r="E85" s="225"/>
      <c r="F85" s="225"/>
      <c r="G85" s="225"/>
      <c r="H85" s="225"/>
      <c r="I85" s="225"/>
      <c r="J85" s="225"/>
      <c r="K85" s="63"/>
      <c r="R85" s="58"/>
      <c r="AQ85" s="183"/>
    </row>
    <row r="86" spans="1:43" ht="15.75" thickBot="1" x14ac:dyDescent="0.3">
      <c r="K86" s="63"/>
      <c r="R86" s="58"/>
      <c r="AQ86" s="183"/>
    </row>
    <row r="87" spans="1:43" s="117" customFormat="1" ht="30.75" thickBot="1" x14ac:dyDescent="0.3">
      <c r="A87" s="169"/>
      <c r="B87" s="170"/>
      <c r="C87" s="51" t="s">
        <v>15</v>
      </c>
      <c r="D87" s="52" t="s">
        <v>16</v>
      </c>
      <c r="E87" s="53" t="s">
        <v>17</v>
      </c>
      <c r="F87" s="54" t="s">
        <v>18</v>
      </c>
      <c r="G87" s="45" t="s">
        <v>19</v>
      </c>
      <c r="H87" s="45" t="s">
        <v>20</v>
      </c>
      <c r="I87" s="45" t="s">
        <v>21</v>
      </c>
      <c r="J87" s="46" t="s">
        <v>22</v>
      </c>
      <c r="K87" s="63"/>
      <c r="L87" s="44" t="str">
        <f t="shared" ref="L87:Q87" si="47">L$11</f>
        <v>2014 CWIP</v>
      </c>
      <c r="M87" s="45" t="str">
        <f t="shared" si="47"/>
        <v>2015 Total Expenditures</v>
      </c>
      <c r="N87" s="45" t="str">
        <f t="shared" si="47"/>
        <v>2016 Total Expenditures</v>
      </c>
      <c r="O87" s="45" t="str">
        <f t="shared" si="47"/>
        <v>2014 ISO CWIP Less Collectible</v>
      </c>
      <c r="P87" s="45" t="str">
        <f t="shared" si="47"/>
        <v>2015 ISO Expenditures Less Collectible</v>
      </c>
      <c r="Q87" s="46" t="str">
        <f t="shared" si="47"/>
        <v>2016 ISO Expenditures Less Collectible</v>
      </c>
      <c r="R87" s="58"/>
      <c r="S87" s="204">
        <f>$D$3</f>
        <v>42005</v>
      </c>
      <c r="T87" s="84">
        <f t="shared" ref="T87:AL87" si="48">DATE(YEAR(S87),MONTH(S87)+1,DAY(S87))</f>
        <v>42036</v>
      </c>
      <c r="U87" s="84">
        <f t="shared" si="48"/>
        <v>42064</v>
      </c>
      <c r="V87" s="84">
        <f t="shared" si="48"/>
        <v>42095</v>
      </c>
      <c r="W87" s="84">
        <f t="shared" si="48"/>
        <v>42125</v>
      </c>
      <c r="X87" s="84">
        <f t="shared" si="48"/>
        <v>42156</v>
      </c>
      <c r="Y87" s="84">
        <f t="shared" si="48"/>
        <v>42186</v>
      </c>
      <c r="Z87" s="84">
        <f t="shared" si="48"/>
        <v>42217</v>
      </c>
      <c r="AA87" s="84">
        <f t="shared" si="48"/>
        <v>42248</v>
      </c>
      <c r="AB87" s="84">
        <f t="shared" si="48"/>
        <v>42278</v>
      </c>
      <c r="AC87" s="84">
        <f t="shared" si="48"/>
        <v>42309</v>
      </c>
      <c r="AD87" s="205">
        <f t="shared" si="48"/>
        <v>42339</v>
      </c>
      <c r="AE87" s="84">
        <f>DATE(YEAR(AD87),MONTH(AD87)+1,DAY(AD87))</f>
        <v>42370</v>
      </c>
      <c r="AF87" s="84">
        <f t="shared" si="48"/>
        <v>42401</v>
      </c>
      <c r="AG87" s="84">
        <f t="shared" si="48"/>
        <v>42430</v>
      </c>
      <c r="AH87" s="84">
        <f t="shared" si="48"/>
        <v>42461</v>
      </c>
      <c r="AI87" s="84">
        <f t="shared" si="48"/>
        <v>42491</v>
      </c>
      <c r="AJ87" s="84">
        <f t="shared" si="48"/>
        <v>42522</v>
      </c>
      <c r="AK87" s="84">
        <f t="shared" si="48"/>
        <v>42552</v>
      </c>
      <c r="AL87" s="84">
        <f t="shared" si="48"/>
        <v>42583</v>
      </c>
      <c r="AM87" s="84">
        <f>DATE(YEAR(AL87),MONTH(AL87)+1,DAY(AL87))</f>
        <v>42614</v>
      </c>
      <c r="AN87" s="84">
        <f>DATE(YEAR(AM87),MONTH(AM87)+1,DAY(AM87))</f>
        <v>42644</v>
      </c>
      <c r="AO87" s="84">
        <f>DATE(YEAR(AN87),MONTH(AN87)+1,DAY(AN87))</f>
        <v>42675</v>
      </c>
      <c r="AP87" s="84">
        <f>DATE(YEAR(AO87),MONTH(AO87)+1,DAY(AO87))</f>
        <v>42705</v>
      </c>
      <c r="AQ87" s="196"/>
    </row>
    <row r="88" spans="1:43" s="183" customFormat="1" x14ac:dyDescent="0.25">
      <c r="A88" s="178" t="str">
        <f t="shared" ref="A88:A128" si="49">+$C$82</f>
        <v>Tehachapi Segments 4-11</v>
      </c>
      <c r="B88" s="179" t="s">
        <v>33</v>
      </c>
      <c r="C88" s="56" t="s">
        <v>277</v>
      </c>
      <c r="D88" s="57" t="s">
        <v>278</v>
      </c>
      <c r="E88" s="58" t="s">
        <v>287</v>
      </c>
      <c r="F88" s="155" t="s">
        <v>70</v>
      </c>
      <c r="G88" s="164">
        <v>41000</v>
      </c>
      <c r="H88" s="60" t="s">
        <v>264</v>
      </c>
      <c r="I88" s="165">
        <v>0</v>
      </c>
      <c r="J88" s="166">
        <v>1</v>
      </c>
      <c r="K88" s="63"/>
      <c r="L88" s="235">
        <v>0</v>
      </c>
      <c r="M88" s="71">
        <f t="shared" ref="M88:M119" si="50">SUM(S138:AD138)</f>
        <v>96.091170000000005</v>
      </c>
      <c r="N88" s="71">
        <f t="shared" ref="N88:N119" si="51">SUM(AE138:AP138)</f>
        <v>0</v>
      </c>
      <c r="O88" s="64">
        <f t="shared" ref="O88:O128" si="52">$L88*$J88*(1-$I88)</f>
        <v>0</v>
      </c>
      <c r="P88" s="64">
        <f t="shared" ref="P88:P128" si="53">$M88*$J88*(1-$I88)</f>
        <v>96.091170000000005</v>
      </c>
      <c r="Q88" s="65">
        <f t="shared" ref="Q88:Q128" si="54">$N88*$J88*(1-$I88)</f>
        <v>0</v>
      </c>
      <c r="R88" s="59"/>
      <c r="S88" s="206">
        <f>IF(OR(RIGHT($H88,3)="RGT",RIGHT($H88,3)="INC"),IF($G88=S$87,SUM($S138:S138)+$O88,IF(S$87&gt;$G88,S138,0)),0)</f>
        <v>-25.337400000000002</v>
      </c>
      <c r="T88" s="207">
        <f>IF(OR(RIGHT($H88,3)="RGT",RIGHT($H88,3)="INC"),IF($G88=T$87,SUM($S138:T138)+$O88,IF(T$87&gt;$G88,T138,0)),0)</f>
        <v>-8.7142599999999995</v>
      </c>
      <c r="U88" s="207">
        <f>IF(OR(RIGHT($H88,3)="RGT",RIGHT($H88,3)="INC"),IF($G88=U$87,SUM($S138:U138)+$O88,IF(U$87&gt;$G88,U138,0)),0)</f>
        <v>-9.85717</v>
      </c>
      <c r="V88" s="207">
        <f>IF(OR(RIGHT($H88,3)="RGT",RIGHT($H88,3)="INC"),IF($G88=V$87,SUM($S138:V138)+$O88,IF(V$87&gt;$G88,V138,0)),0)</f>
        <v>0</v>
      </c>
      <c r="W88" s="207">
        <f>IF(OR(RIGHT($H88,3)="RGT",RIGHT($H88,3)="INC"),IF($G88=W$87,SUM($S138:W138)+$O88,IF(W$87&gt;$G88,W138,0)),0)</f>
        <v>0</v>
      </c>
      <c r="X88" s="207">
        <f>IF(OR(RIGHT($H88,3)="RGT",RIGHT($H88,3)="INC"),IF($G88=X$87,SUM($S138:X138)+$O88,IF(X$87&gt;$G88,X138,0)),0)</f>
        <v>0</v>
      </c>
      <c r="Y88" s="207">
        <f>IF(OR(RIGHT($H88,3)="RGT",RIGHT($H88,3)="INC"),IF($G88=Y$87,SUM($S138:Y138)+$O88,IF(Y$87&gt;$G88,Y138,0)),0)</f>
        <v>0</v>
      </c>
      <c r="Z88" s="207">
        <f>IF(OR(RIGHT($H88,3)="RGT",RIGHT($H88,3)="INC"),IF($G88=Z$87,SUM($S138:Z138)+$O88,IF(Z$87&gt;$G88,Z138,0)),0)</f>
        <v>0</v>
      </c>
      <c r="AA88" s="207">
        <f>IF(OR(RIGHT($H88,3)="RGT",RIGHT($H88,3)="INC"),IF($G88=AA$87,SUM($S138:AA138)+$O88,IF(AA$87&gt;$G88,AA138,0)),0)</f>
        <v>140</v>
      </c>
      <c r="AB88" s="207">
        <f>IF(OR(RIGHT($H88,3)="RGT",RIGHT($H88,3)="INC"),IF($G88=AB$87,SUM($S138:AB138)+$O88,IF(AB$87&gt;$G88,AB138,0)),0)</f>
        <v>0</v>
      </c>
      <c r="AC88" s="207">
        <f>IF(OR(RIGHT($H88,3)="RGT",RIGHT($H88,3)="INC"),IF($G88=AC$87,SUM($S138:AC138)+$O88,IF(AC$87&gt;$G88,AC138,0)),0)</f>
        <v>0</v>
      </c>
      <c r="AD88" s="197">
        <f>IF(OR(RIGHT($H88,3)="RGT",RIGHT($H88,3)="INC"),IF($G88=AD$87,SUM($S138:AD138)+$O88,IF(AD$87&gt;$G88,AD138,0)),0)</f>
        <v>0</v>
      </c>
      <c r="AE88" s="207">
        <f>IF(OR(RIGHT($H88,3)="RGT",RIGHT($H88,3)="INC"),IF($G88=AE$87,SUM($S138:AE138)+$O88,IF(AE$87&gt;$G88,AE138,0)),0)</f>
        <v>0</v>
      </c>
      <c r="AF88" s="207">
        <f>IF(OR(RIGHT($H88,3)="RGT",RIGHT($H88,3)="INC"),IF($G88=AF$87,SUM($S138:AF138)+$O88,IF(AF$87&gt;$G88,AF138,0)),0)</f>
        <v>0</v>
      </c>
      <c r="AG88" s="207">
        <f>IF(OR(RIGHT($H88,3)="RGT",RIGHT($H88,3)="INC"),IF($G88=AG$87,SUM($S138:AG138)+$O88,IF(AG$87&gt;$G88,AG138,0)),0)</f>
        <v>0</v>
      </c>
      <c r="AH88" s="207">
        <f>IF(OR(RIGHT($H88,3)="RGT",RIGHT($H88,3)="INC"),IF($G88=AH$87,SUM($S138:AH138)+$O88,IF(AH$87&gt;$G88,AH138,0)),0)</f>
        <v>0</v>
      </c>
      <c r="AI88" s="207">
        <f>IF(OR(RIGHT($H88,3)="RGT",RIGHT($H88,3)="INC"),IF($G88=AI$87,SUM($S138:AI138)+$O88,IF(AI$87&gt;$G88,AI138,0)),0)</f>
        <v>0</v>
      </c>
      <c r="AJ88" s="207">
        <f>IF(OR(RIGHT($H88,3)="RGT",RIGHT($H88,3)="INC"),IF($G88=AJ$87,SUM($S138:AJ138)+$O88,IF(AJ$87&gt;$G88,AJ138,0)),0)</f>
        <v>0</v>
      </c>
      <c r="AK88" s="207">
        <f>IF(OR(RIGHT($H88,3)="RGT",RIGHT($H88,3)="INC"),IF($G88=AK$87,SUM($S138:AK138)+$O88,IF(AK$87&gt;$G88,AK138,0)),0)</f>
        <v>0</v>
      </c>
      <c r="AL88" s="207">
        <f>IF(OR(RIGHT($H88,3)="RGT",RIGHT($H88,3)="INC"),IF($G88=AL$87,SUM($S138:AL138)+$O88,IF(AL$87&gt;$G88,AL138,0)),0)</f>
        <v>0</v>
      </c>
      <c r="AM88" s="207">
        <f>IF(OR(RIGHT($H88,3)="RGT",RIGHT($H88,3)="INC"),IF($G88=AM$87,SUM($S138:AM138)+$O88,IF(AM$87&gt;$G88,AM138,0)),0)</f>
        <v>0</v>
      </c>
      <c r="AN88" s="207">
        <f>IF(OR(RIGHT($H88,3)="RGT",RIGHT($H88,3)="INC"),IF($G88=AN$87,SUM($S138:AN138)+$O88,IF(AN$87&gt;$G88,AN138,0)),0)</f>
        <v>0</v>
      </c>
      <c r="AO88" s="207">
        <f>IF(OR(RIGHT($H88,3)="RGT",RIGHT($H88,3)="INC"),IF($G88=AO$87,SUM($S138:AO138)+$O88,IF(AO$87&gt;$G88,AO138,0)),0)</f>
        <v>0</v>
      </c>
      <c r="AP88" s="197">
        <f>IF(OR(RIGHT($H88,3)="RGT",RIGHT($H88,3)="INC"),IF($G88=AP$87,SUM($S138:AP138)+$O88,IF(AP$87&gt;$G88,AP138,0)),0)</f>
        <v>0</v>
      </c>
    </row>
    <row r="89" spans="1:43" s="183" customFormat="1" x14ac:dyDescent="0.25">
      <c r="A89" s="178" t="str">
        <f t="shared" si="49"/>
        <v>Tehachapi Segments 4-11</v>
      </c>
      <c r="B89" s="179" t="s">
        <v>33</v>
      </c>
      <c r="C89" s="56" t="s">
        <v>279</v>
      </c>
      <c r="D89" s="66" t="s">
        <v>280</v>
      </c>
      <c r="E89" s="58" t="s">
        <v>287</v>
      </c>
      <c r="F89" s="155" t="s">
        <v>70</v>
      </c>
      <c r="G89" s="164">
        <v>41275</v>
      </c>
      <c r="H89" s="60" t="s">
        <v>264</v>
      </c>
      <c r="I89" s="165">
        <v>0</v>
      </c>
      <c r="J89" s="166">
        <v>1</v>
      </c>
      <c r="K89" s="63"/>
      <c r="L89" s="236">
        <v>0</v>
      </c>
      <c r="M89" s="71">
        <f t="shared" si="50"/>
        <v>1.0452700000000001</v>
      </c>
      <c r="N89" s="71">
        <f t="shared" si="51"/>
        <v>0</v>
      </c>
      <c r="O89" s="64">
        <f t="shared" si="52"/>
        <v>0</v>
      </c>
      <c r="P89" s="64">
        <f t="shared" si="53"/>
        <v>1.0452700000000001</v>
      </c>
      <c r="Q89" s="65">
        <f t="shared" si="54"/>
        <v>0</v>
      </c>
      <c r="R89" s="59"/>
      <c r="S89" s="180">
        <f>IF(OR(RIGHT($H89,3)="RGT",RIGHT($H89,3)="INC"),IF($G89=S$87,SUM($S139:S139)+$O89,IF(S$87&gt;$G89,S139,0)),0)</f>
        <v>0.32224000000000003</v>
      </c>
      <c r="T89" s="181">
        <f>IF(OR(RIGHT($H89,3)="RGT",RIGHT($H89,3)="INC"),IF($G89=T$87,SUM($S139:T139)+$O89,IF(T$87&gt;$G89,T139,0)),0)</f>
        <v>0.30823</v>
      </c>
      <c r="U89" s="181">
        <f>IF(OR(RIGHT($H89,3)="RGT",RIGHT($H89,3)="INC"),IF($G89=U$87,SUM($S139:U139)+$O89,IF(U$87&gt;$G89,U139,0)),0)</f>
        <v>0.4148</v>
      </c>
      <c r="V89" s="181">
        <f>IF(OR(RIGHT($H89,3)="RGT",RIGHT($H89,3)="INC"),IF($G89=V$87,SUM($S139:V139)+$O89,IF(V$87&gt;$G89,V139,0)),0)</f>
        <v>0</v>
      </c>
      <c r="W89" s="181">
        <f>IF(OR(RIGHT($H89,3)="RGT",RIGHT($H89,3)="INC"),IF($G89=W$87,SUM($S139:W139)+$O89,IF(W$87&gt;$G89,W139,0)),0)</f>
        <v>0</v>
      </c>
      <c r="X89" s="181">
        <f>IF(OR(RIGHT($H89,3)="RGT",RIGHT($H89,3)="INC"),IF($G89=X$87,SUM($S139:X139)+$O89,IF(X$87&gt;$G89,X139,0)),0)</f>
        <v>0</v>
      </c>
      <c r="Y89" s="181">
        <f>IF(OR(RIGHT($H89,3)="RGT",RIGHT($H89,3)="INC"),IF($G89=Y$87,SUM($S139:Y139)+$O89,IF(Y$87&gt;$G89,Y139,0)),0)</f>
        <v>0</v>
      </c>
      <c r="Z89" s="181">
        <f>IF(OR(RIGHT($H89,3)="RGT",RIGHT($H89,3)="INC"),IF($G89=Z$87,SUM($S139:Z139)+$O89,IF(Z$87&gt;$G89,Z139,0)),0)</f>
        <v>0</v>
      </c>
      <c r="AA89" s="181">
        <f>IF(OR(RIGHT($H89,3)="RGT",RIGHT($H89,3)="INC"),IF($G89=AA$87,SUM($S139:AA139)+$O89,IF(AA$87&gt;$G89,AA139,0)),0)</f>
        <v>0</v>
      </c>
      <c r="AB89" s="181">
        <f>IF(OR(RIGHT($H89,3)="RGT",RIGHT($H89,3)="INC"),IF($G89=AB$87,SUM($S139:AB139)+$O89,IF(AB$87&gt;$G89,AB139,0)),0)</f>
        <v>0</v>
      </c>
      <c r="AC89" s="181">
        <f>IF(OR(RIGHT($H89,3)="RGT",RIGHT($H89,3)="INC"),IF($G89=AC$87,SUM($S139:AC139)+$O89,IF(AC$87&gt;$G89,AC139,0)),0)</f>
        <v>0</v>
      </c>
      <c r="AD89" s="182">
        <f>IF(OR(RIGHT($H89,3)="RGT",RIGHT($H89,3)="INC"),IF($G89=AD$87,SUM($S139:AD139)+$O89,IF(AD$87&gt;$G89,AD139,0)),0)</f>
        <v>0</v>
      </c>
      <c r="AE89" s="181">
        <f>IF(OR(RIGHT($H89,3)="RGT",RIGHT($H89,3)="INC"),IF($G89=AE$87,SUM($S139:AE139)+$O89,IF(AE$87&gt;$G89,AE139,0)),0)</f>
        <v>0</v>
      </c>
      <c r="AF89" s="181">
        <f>IF(OR(RIGHT($H89,3)="RGT",RIGHT($H89,3)="INC"),IF($G89=AF$87,SUM($S139:AF139)+$O89,IF(AF$87&gt;$G89,AF139,0)),0)</f>
        <v>0</v>
      </c>
      <c r="AG89" s="181">
        <f>IF(OR(RIGHT($H89,3)="RGT",RIGHT($H89,3)="INC"),IF($G89=AG$87,SUM($S139:AG139)+$O89,IF(AG$87&gt;$G89,AG139,0)),0)</f>
        <v>0</v>
      </c>
      <c r="AH89" s="181">
        <f>IF(OR(RIGHT($H89,3)="RGT",RIGHT($H89,3)="INC"),IF($G89=AH$87,SUM($S139:AH139)+$O89,IF(AH$87&gt;$G89,AH139,0)),0)</f>
        <v>0</v>
      </c>
      <c r="AI89" s="181">
        <f>IF(OR(RIGHT($H89,3)="RGT",RIGHT($H89,3)="INC"),IF($G89=AI$87,SUM($S139:AI139)+$O89,IF(AI$87&gt;$G89,AI139,0)),0)</f>
        <v>0</v>
      </c>
      <c r="AJ89" s="181">
        <f>IF(OR(RIGHT($H89,3)="RGT",RIGHT($H89,3)="INC"),IF($G89=AJ$87,SUM($S139:AJ139)+$O89,IF(AJ$87&gt;$G89,AJ139,0)),0)</f>
        <v>0</v>
      </c>
      <c r="AK89" s="181">
        <f>IF(OR(RIGHT($H89,3)="RGT",RIGHT($H89,3)="INC"),IF($G89=AK$87,SUM($S139:AK139)+$O89,IF(AK$87&gt;$G89,AK139,0)),0)</f>
        <v>0</v>
      </c>
      <c r="AL89" s="181">
        <f>IF(OR(RIGHT($H89,3)="RGT",RIGHT($H89,3)="INC"),IF($G89=AL$87,SUM($S139:AL139)+$O89,IF(AL$87&gt;$G89,AL139,0)),0)</f>
        <v>0</v>
      </c>
      <c r="AM89" s="181">
        <f>IF(OR(RIGHT($H89,3)="RGT",RIGHT($H89,3)="INC"),IF($G89=AM$87,SUM($S139:AM139)+$O89,IF(AM$87&gt;$G89,AM139,0)),0)</f>
        <v>0</v>
      </c>
      <c r="AN89" s="181">
        <f>IF(OR(RIGHT($H89,3)="RGT",RIGHT($H89,3)="INC"),IF($G89=AN$87,SUM($S139:AN139)+$O89,IF(AN$87&gt;$G89,AN139,0)),0)</f>
        <v>0</v>
      </c>
      <c r="AO89" s="181">
        <f>IF(OR(RIGHT($H89,3)="RGT",RIGHT($H89,3)="INC"),IF($G89=AO$87,SUM($S139:AO139)+$O89,IF(AO$87&gt;$G89,AO139,0)),0)</f>
        <v>0</v>
      </c>
      <c r="AP89" s="182">
        <f>IF(OR(RIGHT($H89,3)="RGT",RIGHT($H89,3)="INC"),IF($G89=AP$87,SUM($S139:AP139)+$O89,IF(AP$87&gt;$G89,AP139,0)),0)</f>
        <v>0</v>
      </c>
    </row>
    <row r="90" spans="1:43" s="183" customFormat="1" ht="15.75" customHeight="1" x14ac:dyDescent="0.25">
      <c r="A90" s="178" t="str">
        <f t="shared" si="49"/>
        <v>Tehachapi Segments 4-11</v>
      </c>
      <c r="B90" s="179" t="s">
        <v>33</v>
      </c>
      <c r="C90" s="56" t="s">
        <v>164</v>
      </c>
      <c r="D90" s="66" t="s">
        <v>165</v>
      </c>
      <c r="E90" s="58" t="s">
        <v>267</v>
      </c>
      <c r="F90" s="155" t="s">
        <v>70</v>
      </c>
      <c r="G90" s="59">
        <v>41275</v>
      </c>
      <c r="H90" s="60" t="s">
        <v>264</v>
      </c>
      <c r="I90" s="61">
        <v>0</v>
      </c>
      <c r="J90" s="62">
        <v>1</v>
      </c>
      <c r="K90" s="63"/>
      <c r="L90" s="236">
        <v>0</v>
      </c>
      <c r="M90" s="71">
        <f t="shared" si="50"/>
        <v>14.039340000000001</v>
      </c>
      <c r="N90" s="71">
        <f t="shared" si="51"/>
        <v>0</v>
      </c>
      <c r="O90" s="64">
        <f t="shared" si="52"/>
        <v>0</v>
      </c>
      <c r="P90" s="64">
        <f t="shared" si="53"/>
        <v>14.039340000000001</v>
      </c>
      <c r="Q90" s="65">
        <f t="shared" si="54"/>
        <v>0</v>
      </c>
      <c r="R90" s="59"/>
      <c r="S90" s="180">
        <f>IF(OR(RIGHT($H90,3)="RGT",RIGHT($H90,3)="INC"),IF($G90=S$87,SUM($S140:S140)+$O90,IF(S$87&gt;$G90,S140,0)),0)</f>
        <v>-10.54219</v>
      </c>
      <c r="T90" s="181">
        <f>IF(OR(RIGHT($H90,3)="RGT",RIGHT($H90,3)="INC"),IF($G90=T$87,SUM($S140:T140)+$O90,IF(T$87&gt;$G90,T140,0)),0)</f>
        <v>13.72475</v>
      </c>
      <c r="U90" s="181">
        <f>IF(OR(RIGHT($H90,3)="RGT",RIGHT($H90,3)="INC"),IF($G90=U$87,SUM($S140:U140)+$O90,IF(U$87&gt;$G90,U140,0)),0)</f>
        <v>10.856780000000001</v>
      </c>
      <c r="V90" s="181">
        <f>IF(OR(RIGHT($H90,3)="RGT",RIGHT($H90,3)="INC"),IF($G90=V$87,SUM($S140:V140)+$O90,IF(V$87&gt;$G90,V140,0)),0)</f>
        <v>0</v>
      </c>
      <c r="W90" s="181">
        <f>IF(OR(RIGHT($H90,3)="RGT",RIGHT($H90,3)="INC"),IF($G90=W$87,SUM($S140:W140)+$O90,IF(W$87&gt;$G90,W140,0)),0)</f>
        <v>0</v>
      </c>
      <c r="X90" s="181">
        <f>IF(OR(RIGHT($H90,3)="RGT",RIGHT($H90,3)="INC"),IF($G90=X$87,SUM($S140:X140)+$O90,IF(X$87&gt;$G90,X140,0)),0)</f>
        <v>0</v>
      </c>
      <c r="Y90" s="181">
        <f>IF(OR(RIGHT($H90,3)="RGT",RIGHT($H90,3)="INC"),IF($G90=Y$87,SUM($S140:Y140)+$O90,IF(Y$87&gt;$G90,Y140,0)),0)</f>
        <v>0</v>
      </c>
      <c r="Z90" s="181">
        <f>IF(OR(RIGHT($H90,3)="RGT",RIGHT($H90,3)="INC"),IF($G90=Z$87,SUM($S140:Z140)+$O90,IF(Z$87&gt;$G90,Z140,0)),0)</f>
        <v>0</v>
      </c>
      <c r="AA90" s="181">
        <f>IF(OR(RIGHT($H90,3)="RGT",RIGHT($H90,3)="INC"),IF($G90=AA$87,SUM($S140:AA140)+$O90,IF(AA$87&gt;$G90,AA140,0)),0)</f>
        <v>0</v>
      </c>
      <c r="AB90" s="181">
        <f>IF(OR(RIGHT($H90,3)="RGT",RIGHT($H90,3)="INC"),IF($G90=AB$87,SUM($S140:AB140)+$O90,IF(AB$87&gt;$G90,AB140,0)),0)</f>
        <v>0</v>
      </c>
      <c r="AC90" s="181">
        <f>IF(OR(RIGHT($H90,3)="RGT",RIGHT($H90,3)="INC"),IF($G90=AC$87,SUM($S140:AC140)+$O90,IF(AC$87&gt;$G90,AC140,0)),0)</f>
        <v>0</v>
      </c>
      <c r="AD90" s="182">
        <f>IF(OR(RIGHT($H90,3)="RGT",RIGHT($H90,3)="INC"),IF($G90=AD$87,SUM($S140:AD140)+$O90,IF(AD$87&gt;$G90,AD140,0)),0)</f>
        <v>0</v>
      </c>
      <c r="AE90" s="181">
        <f>IF(OR(RIGHT($H90,3)="RGT",RIGHT($H90,3)="INC"),IF($G90=AE$87,SUM($S140:AE140)+$O90,IF(AE$87&gt;$G90,AE140,0)),0)</f>
        <v>0</v>
      </c>
      <c r="AF90" s="181">
        <f>IF(OR(RIGHT($H90,3)="RGT",RIGHT($H90,3)="INC"),IF($G90=AF$87,SUM($S140:AF140)+$O90,IF(AF$87&gt;$G90,AF140,0)),0)</f>
        <v>0</v>
      </c>
      <c r="AG90" s="181">
        <f>IF(OR(RIGHT($H90,3)="RGT",RIGHT($H90,3)="INC"),IF($G90=AG$87,SUM($S140:AG140)+$O90,IF(AG$87&gt;$G90,AG140,0)),0)</f>
        <v>0</v>
      </c>
      <c r="AH90" s="181">
        <f>IF(OR(RIGHT($H90,3)="RGT",RIGHT($H90,3)="INC"),IF($G90=AH$87,SUM($S140:AH140)+$O90,IF(AH$87&gt;$G90,AH140,0)),0)</f>
        <v>0</v>
      </c>
      <c r="AI90" s="181">
        <f>IF(OR(RIGHT($H90,3)="RGT",RIGHT($H90,3)="INC"),IF($G90=AI$87,SUM($S140:AI140)+$O90,IF(AI$87&gt;$G90,AI140,0)),0)</f>
        <v>0</v>
      </c>
      <c r="AJ90" s="181">
        <f>IF(OR(RIGHT($H90,3)="RGT",RIGHT($H90,3)="INC"),IF($G90=AJ$87,SUM($S140:AJ140)+$O90,IF(AJ$87&gt;$G90,AJ140,0)),0)</f>
        <v>0</v>
      </c>
      <c r="AK90" s="181">
        <f>IF(OR(RIGHT($H90,3)="RGT",RIGHT($H90,3)="INC"),IF($G90=AK$87,SUM($S140:AK140)+$O90,IF(AK$87&gt;$G90,AK140,0)),0)</f>
        <v>0</v>
      </c>
      <c r="AL90" s="181">
        <f>IF(OR(RIGHT($H90,3)="RGT",RIGHT($H90,3)="INC"),IF($G90=AL$87,SUM($S140:AL140)+$O90,IF(AL$87&gt;$G90,AL140,0)),0)</f>
        <v>0</v>
      </c>
      <c r="AM90" s="181">
        <f>IF(OR(RIGHT($H90,3)="RGT",RIGHT($H90,3)="INC"),IF($G90=AM$87,SUM($S140:AM140)+$O90,IF(AM$87&gt;$G90,AM140,0)),0)</f>
        <v>0</v>
      </c>
      <c r="AN90" s="181">
        <f>IF(OR(RIGHT($H90,3)="RGT",RIGHT($H90,3)="INC"),IF($G90=AN$87,SUM($S140:AN140)+$O90,IF(AN$87&gt;$G90,AN140,0)),0)</f>
        <v>0</v>
      </c>
      <c r="AO90" s="181">
        <f>IF(OR(RIGHT($H90,3)="RGT",RIGHT($H90,3)="INC"),IF($G90=AO$87,SUM($S140:AO140)+$O90,IF(AO$87&gt;$G90,AO140,0)),0)</f>
        <v>0</v>
      </c>
      <c r="AP90" s="182">
        <f>IF(OR(RIGHT($H90,3)="RGT",RIGHT($H90,3)="INC"),IF($G90=AP$87,SUM($S140:AP140)+$O90,IF(AP$87&gt;$G90,AP140,0)),0)</f>
        <v>0</v>
      </c>
    </row>
    <row r="91" spans="1:43" s="183" customFormat="1" x14ac:dyDescent="0.25">
      <c r="A91" s="178" t="str">
        <f t="shared" si="49"/>
        <v>Tehachapi Segments 4-11</v>
      </c>
      <c r="B91" s="179" t="s">
        <v>33</v>
      </c>
      <c r="C91" s="56" t="s">
        <v>166</v>
      </c>
      <c r="D91" s="66" t="s">
        <v>167</v>
      </c>
      <c r="E91" s="58" t="s">
        <v>267</v>
      </c>
      <c r="F91" s="155" t="s">
        <v>70</v>
      </c>
      <c r="G91" s="59">
        <v>42036</v>
      </c>
      <c r="H91" s="60" t="s">
        <v>264</v>
      </c>
      <c r="I91" s="61">
        <v>0</v>
      </c>
      <c r="J91" s="62">
        <v>1</v>
      </c>
      <c r="K91" s="237">
        <v>800433760</v>
      </c>
      <c r="L91" s="285">
        <f>154.472549999997*0</f>
        <v>0</v>
      </c>
      <c r="M91" s="71">
        <f t="shared" si="50"/>
        <v>0</v>
      </c>
      <c r="N91" s="71">
        <f t="shared" si="51"/>
        <v>0</v>
      </c>
      <c r="O91" s="64">
        <f t="shared" si="52"/>
        <v>0</v>
      </c>
      <c r="P91" s="64">
        <f t="shared" si="53"/>
        <v>0</v>
      </c>
      <c r="Q91" s="65">
        <f t="shared" si="54"/>
        <v>0</v>
      </c>
      <c r="R91" s="59"/>
      <c r="S91" s="180">
        <f>IF(OR(RIGHT($H91,3)="RGT",RIGHT($H91,3)="INC"),IF($G91=S$87,SUM($S141:S141)+$O91,IF(S$87&gt;$G91,S141,0)),0)</f>
        <v>0</v>
      </c>
      <c r="T91" s="181">
        <f>IF(OR(RIGHT($H91,3)="RGT",RIGHT($H91,3)="INC"),IF($G91=T$87,SUM($S141:T141)+$O91,IF(T$87&gt;$G91,T141,0)),0)</f>
        <v>0</v>
      </c>
      <c r="U91" s="181">
        <f>IF(OR(RIGHT($H91,3)="RGT",RIGHT($H91,3)="INC"),IF($G91=U$87,SUM($S141:U141)+$O91,IF(U$87&gt;$G91,U141,0)),0)</f>
        <v>0</v>
      </c>
      <c r="V91" s="181">
        <f>IF(OR(RIGHT($H91,3)="RGT",RIGHT($H91,3)="INC"),IF($G91=V$87,SUM($S141:V141)+$O91,IF(V$87&gt;$G91,V141,0)),0)</f>
        <v>0</v>
      </c>
      <c r="W91" s="181">
        <f>IF(OR(RIGHT($H91,3)="RGT",RIGHT($H91,3)="INC"),IF($G91=W$87,SUM($S141:W141)+$O91,IF(W$87&gt;$G91,W141,0)),0)</f>
        <v>0</v>
      </c>
      <c r="X91" s="181">
        <f>IF(OR(RIGHT($H91,3)="RGT",RIGHT($H91,3)="INC"),IF($G91=X$87,SUM($S141:X141)+$O91,IF(X$87&gt;$G91,X141,0)),0)</f>
        <v>0</v>
      </c>
      <c r="Y91" s="181">
        <f>IF(OR(RIGHT($H91,3)="RGT",RIGHT($H91,3)="INC"),IF($G91=Y$87,SUM($S141:Y141)+$O91,IF(Y$87&gt;$G91,Y141,0)),0)</f>
        <v>0</v>
      </c>
      <c r="Z91" s="181">
        <f>IF(OR(RIGHT($H91,3)="RGT",RIGHT($H91,3)="INC"),IF($G91=Z$87,SUM($S141:Z141)+$O91,IF(Z$87&gt;$G91,Z141,0)),0)</f>
        <v>0</v>
      </c>
      <c r="AA91" s="181">
        <f>IF(OR(RIGHT($H91,3)="RGT",RIGHT($H91,3)="INC"),IF($G91=AA$87,SUM($S141:AA141)+$O91,IF(AA$87&gt;$G91,AA141,0)),0)</f>
        <v>0</v>
      </c>
      <c r="AB91" s="181">
        <f>IF(OR(RIGHT($H91,3)="RGT",RIGHT($H91,3)="INC"),IF($G91=AB$87,SUM($S141:AB141)+$O91,IF(AB$87&gt;$G91,AB141,0)),0)</f>
        <v>0</v>
      </c>
      <c r="AC91" s="181">
        <f>IF(OR(RIGHT($H91,3)="RGT",RIGHT($H91,3)="INC"),IF($G91=AC$87,SUM($S141:AC141)+$O91,IF(AC$87&gt;$G91,AC141,0)),0)</f>
        <v>0</v>
      </c>
      <c r="AD91" s="182">
        <f>IF(OR(RIGHT($H91,3)="RGT",RIGHT($H91,3)="INC"),IF($G91=AD$87,SUM($S141:AD141)+$O91,IF(AD$87&gt;$G91,AD141,0)),0)</f>
        <v>0</v>
      </c>
      <c r="AE91" s="181">
        <f>IF(OR(RIGHT($H91,3)="RGT",RIGHT($H91,3)="INC"),IF($G91=AE$87,SUM($S141:AE141)+$O91,IF(AE$87&gt;$G91,AE141,0)),0)</f>
        <v>0</v>
      </c>
      <c r="AF91" s="181">
        <f>IF(OR(RIGHT($H91,3)="RGT",RIGHT($H91,3)="INC"),IF($G91=AF$87,SUM($S141:AF141)+$O91,IF(AF$87&gt;$G91,AF141,0)),0)</f>
        <v>0</v>
      </c>
      <c r="AG91" s="181">
        <f>IF(OR(RIGHT($H91,3)="RGT",RIGHT($H91,3)="INC"),IF($G91=AG$87,SUM($S141:AG141)+$O91,IF(AG$87&gt;$G91,AG141,0)),0)</f>
        <v>0</v>
      </c>
      <c r="AH91" s="181">
        <f>IF(OR(RIGHT($H91,3)="RGT",RIGHT($H91,3)="INC"),IF($G91=AH$87,SUM($S141:AH141)+$O91,IF(AH$87&gt;$G91,AH141,0)),0)</f>
        <v>0</v>
      </c>
      <c r="AI91" s="181">
        <f>IF(OR(RIGHT($H91,3)="RGT",RIGHT($H91,3)="INC"),IF($G91=AI$87,SUM($S141:AI141)+$O91,IF(AI$87&gt;$G91,AI141,0)),0)</f>
        <v>0</v>
      </c>
      <c r="AJ91" s="181">
        <f>IF(OR(RIGHT($H91,3)="RGT",RIGHT($H91,3)="INC"),IF($G91=AJ$87,SUM($S141:AJ141)+$O91,IF(AJ$87&gt;$G91,AJ141,0)),0)</f>
        <v>0</v>
      </c>
      <c r="AK91" s="181">
        <f>IF(OR(RIGHT($H91,3)="RGT",RIGHT($H91,3)="INC"),IF($G91=AK$87,SUM($S141:AK141)+$O91,IF(AK$87&gt;$G91,AK141,0)),0)</f>
        <v>0</v>
      </c>
      <c r="AL91" s="181">
        <f>IF(OR(RIGHT($H91,3)="RGT",RIGHT($H91,3)="INC"),IF($G91=AL$87,SUM($S141:AL141)+$O91,IF(AL$87&gt;$G91,AL141,0)),0)</f>
        <v>0</v>
      </c>
      <c r="AM91" s="181">
        <f>IF(OR(RIGHT($H91,3)="RGT",RIGHT($H91,3)="INC"),IF($G91=AM$87,SUM($S141:AM141)+$O91,IF(AM$87&gt;$G91,AM141,0)),0)</f>
        <v>0</v>
      </c>
      <c r="AN91" s="181">
        <f>IF(OR(RIGHT($H91,3)="RGT",RIGHT($H91,3)="INC"),IF($G91=AN$87,SUM($S141:AN141)+$O91,IF(AN$87&gt;$G91,AN141,0)),0)</f>
        <v>0</v>
      </c>
      <c r="AO91" s="181">
        <f>IF(OR(RIGHT($H91,3)="RGT",RIGHT($H91,3)="INC"),IF($G91=AO$87,SUM($S141:AO141)+$O91,IF(AO$87&gt;$G91,AO141,0)),0)</f>
        <v>0</v>
      </c>
      <c r="AP91" s="182">
        <f>IF(OR(RIGHT($H91,3)="RGT",RIGHT($H91,3)="INC"),IF($G91=AP$87,SUM($S141:AP141)+$O91,IF(AP$87&gt;$G91,AP141,0)),0)</f>
        <v>0</v>
      </c>
    </row>
    <row r="92" spans="1:43" s="183" customFormat="1" x14ac:dyDescent="0.25">
      <c r="A92" s="178" t="str">
        <f t="shared" si="49"/>
        <v>Tehachapi Segments 4-11</v>
      </c>
      <c r="B92" s="179" t="s">
        <v>33</v>
      </c>
      <c r="C92" s="56" t="s">
        <v>168</v>
      </c>
      <c r="D92" s="66" t="s">
        <v>169</v>
      </c>
      <c r="E92" s="58" t="s">
        <v>268</v>
      </c>
      <c r="F92" s="155" t="s">
        <v>70</v>
      </c>
      <c r="G92" s="59">
        <v>41944</v>
      </c>
      <c r="H92" s="60" t="s">
        <v>264</v>
      </c>
      <c r="I92" s="61">
        <v>0</v>
      </c>
      <c r="J92" s="62">
        <v>1</v>
      </c>
      <c r="K92" s="237">
        <v>800217316</v>
      </c>
      <c r="L92" s="236">
        <v>0</v>
      </c>
      <c r="M92" s="71">
        <f t="shared" si="50"/>
        <v>11445.652996550007</v>
      </c>
      <c r="N92" s="71">
        <f t="shared" si="51"/>
        <v>493.40300000000002</v>
      </c>
      <c r="O92" s="64">
        <f t="shared" si="52"/>
        <v>0</v>
      </c>
      <c r="P92" s="64">
        <f t="shared" si="53"/>
        <v>11445.652996550007</v>
      </c>
      <c r="Q92" s="65">
        <f t="shared" si="54"/>
        <v>493.40300000000002</v>
      </c>
      <c r="R92" s="59"/>
      <c r="S92" s="180">
        <f>IF(OR(RIGHT($H92,3)="RGT",RIGHT($H92,3)="INC"),IF($G92=S$87,SUM($S142:S142)+$O92,IF(S$87&gt;$G92,S142,0)),0)</f>
        <v>9478.2819799999997</v>
      </c>
      <c r="T92" s="181">
        <f>IF(OR(RIGHT($H92,3)="RGT",RIGHT($H92,3)="INC"),IF($G92=T$87,SUM($S142:T142)+$O92,IF(T$87&gt;$G92,T142,0)),0)</f>
        <v>-7502.9836799999994</v>
      </c>
      <c r="U92" s="181">
        <f>IF(OR(RIGHT($H92,3)="RGT",RIGHT($H92,3)="INC"),IF($G92=U$87,SUM($S142:U142)+$O92,IF(U$87&gt;$G92,U142,0)),0)</f>
        <v>734.10675000000003</v>
      </c>
      <c r="V92" s="181">
        <f>IF(OR(RIGHT($H92,3)="RGT",RIGHT($H92,3)="INC"),IF($G92=V$87,SUM($S142:V142)+$O92,IF(V$87&gt;$G92,V142,0)),0)</f>
        <v>1543.4743550000005</v>
      </c>
      <c r="W92" s="181">
        <f>IF(OR(RIGHT($H92,3)="RGT",RIGHT($H92,3)="INC"),IF($G92=W$87,SUM($S142:W142)+$O92,IF(W$87&gt;$G92,W142,0)),0)</f>
        <v>851.25</v>
      </c>
      <c r="X92" s="181">
        <f>IF(OR(RIGHT($H92,3)="RGT",RIGHT($H92,3)="INC"),IF($G92=X$87,SUM($S142:X142)+$O92,IF(X$87&gt;$G92,X142,0)),0)</f>
        <v>851.25</v>
      </c>
      <c r="Y92" s="181">
        <f>IF(OR(RIGHT($H92,3)="RGT",RIGHT($H92,3)="INC"),IF($G92=Y$87,SUM($S142:Y142)+$O92,IF(Y$87&gt;$G92,Y142,0)),0)</f>
        <v>829.55</v>
      </c>
      <c r="Z92" s="181">
        <f>IF(OR(RIGHT($H92,3)="RGT",RIGHT($H92,3)="INC"),IF($G92=Z$87,SUM($S142:Z142)+$O92,IF(Z$87&gt;$G92,Z142,0)),0)</f>
        <v>818.7</v>
      </c>
      <c r="AA92" s="181">
        <f>IF(OR(RIGHT($H92,3)="RGT",RIGHT($H92,3)="INC"),IF($G92=AA$87,SUM($S142:AA142)+$O92,IF(AA$87&gt;$G92,AA142,0)),0)</f>
        <v>807.85</v>
      </c>
      <c r="AB92" s="181">
        <f>IF(OR(RIGHT($H92,3)="RGT",RIGHT($H92,3)="INC"),IF($G92=AB$87,SUM($S142:AB142)+$O92,IF(AB$87&gt;$G92,AB142,0)),0)</f>
        <v>721.05</v>
      </c>
      <c r="AC92" s="181">
        <f>IF(OR(RIGHT($H92,3)="RGT",RIGHT($H92,3)="INC"),IF($G92=AC$87,SUM($S142:AC142)+$O92,IF(AC$87&gt;$G92,AC142,0)),0)</f>
        <v>721.05</v>
      </c>
      <c r="AD92" s="182">
        <f>IF(OR(RIGHT($H92,3)="RGT",RIGHT($H92,3)="INC"),IF($G92=AD$87,SUM($S142:AD142)+$O92,IF(AD$87&gt;$G92,AD142,0)),0)</f>
        <v>1592.0735915500088</v>
      </c>
      <c r="AE92" s="181">
        <f>IF(OR(RIGHT($H92,3)="RGT",RIGHT($H92,3)="INC"),IF($G92=AE$87,SUM($S142:AE142)+$O92,IF(AE$87&gt;$G92,AE142,0)),0)</f>
        <v>41.116916666666668</v>
      </c>
      <c r="AF92" s="181">
        <f>IF(OR(RIGHT($H92,3)="RGT",RIGHT($H92,3)="INC"),IF($G92=AF$87,SUM($S142:AF142)+$O92,IF(AF$87&gt;$G92,AF142,0)),0)</f>
        <v>41.116916666666668</v>
      </c>
      <c r="AG92" s="181">
        <f>IF(OR(RIGHT($H92,3)="RGT",RIGHT($H92,3)="INC"),IF($G92=AG$87,SUM($S142:AG142)+$O92,IF(AG$87&gt;$G92,AG142,0)),0)</f>
        <v>41.116916666666668</v>
      </c>
      <c r="AH92" s="181">
        <f>IF(OR(RIGHT($H92,3)="RGT",RIGHT($H92,3)="INC"),IF($G92=AH$87,SUM($S142:AH142)+$O92,IF(AH$87&gt;$G92,AH142,0)),0)</f>
        <v>41.116916666666668</v>
      </c>
      <c r="AI92" s="181">
        <f>IF(OR(RIGHT($H92,3)="RGT",RIGHT($H92,3)="INC"),IF($G92=AI$87,SUM($S142:AI142)+$O92,IF(AI$87&gt;$G92,AI142,0)),0)</f>
        <v>41.116916666666668</v>
      </c>
      <c r="AJ92" s="181">
        <f>IF(OR(RIGHT($H92,3)="RGT",RIGHT($H92,3)="INC"),IF($G92=AJ$87,SUM($S142:AJ142)+$O92,IF(AJ$87&gt;$G92,AJ142,0)),0)</f>
        <v>41.116916666666668</v>
      </c>
      <c r="AK92" s="181">
        <f>IF(OR(RIGHT($H92,3)="RGT",RIGHT($H92,3)="INC"),IF($G92=AK$87,SUM($S142:AK142)+$O92,IF(AK$87&gt;$G92,AK142,0)),0)</f>
        <v>41.116916666666668</v>
      </c>
      <c r="AL92" s="181">
        <f>IF(OR(RIGHT($H92,3)="RGT",RIGHT($H92,3)="INC"),IF($G92=AL$87,SUM($S142:AL142)+$O92,IF(AL$87&gt;$G92,AL142,0)),0)</f>
        <v>41.116916666666668</v>
      </c>
      <c r="AM92" s="181">
        <f>IF(OR(RIGHT($H92,3)="RGT",RIGHT($H92,3)="INC"),IF($G92=AM$87,SUM($S142:AM142)+$O92,IF(AM$87&gt;$G92,AM142,0)),0)</f>
        <v>41.116916666666668</v>
      </c>
      <c r="AN92" s="181">
        <f>IF(OR(RIGHT($H92,3)="RGT",RIGHT($H92,3)="INC"),IF($G92=AN$87,SUM($S142:AN142)+$O92,IF(AN$87&gt;$G92,AN142,0)),0)</f>
        <v>41.116916666666668</v>
      </c>
      <c r="AO92" s="181">
        <f>IF(OR(RIGHT($H92,3)="RGT",RIGHT($H92,3)="INC"),IF($G92=AO$87,SUM($S142:AO142)+$O92,IF(AO$87&gt;$G92,AO142,0)),0)</f>
        <v>41.116916666666668</v>
      </c>
      <c r="AP92" s="182">
        <f>IF(OR(RIGHT($H92,3)="RGT",RIGHT($H92,3)="INC"),IF($G92=AP$87,SUM($S142:AP142)+$O92,IF(AP$87&gt;$G92,AP142,0)),0)</f>
        <v>41.116916666666668</v>
      </c>
    </row>
    <row r="93" spans="1:43" s="183" customFormat="1" x14ac:dyDescent="0.25">
      <c r="A93" s="178" t="str">
        <f t="shared" si="49"/>
        <v>Tehachapi Segments 4-11</v>
      </c>
      <c r="B93" s="179" t="s">
        <v>33</v>
      </c>
      <c r="C93" s="56" t="s">
        <v>170</v>
      </c>
      <c r="D93" s="66" t="s">
        <v>171</v>
      </c>
      <c r="E93" s="58" t="s">
        <v>268</v>
      </c>
      <c r="F93" s="155" t="s">
        <v>70</v>
      </c>
      <c r="G93" s="59">
        <v>41944</v>
      </c>
      <c r="H93" s="60" t="s">
        <v>264</v>
      </c>
      <c r="I93" s="61">
        <v>0</v>
      </c>
      <c r="J93" s="62">
        <v>1</v>
      </c>
      <c r="K93" s="237">
        <v>800217330</v>
      </c>
      <c r="L93" s="236">
        <v>0</v>
      </c>
      <c r="M93" s="71">
        <f t="shared" si="50"/>
        <v>-141.42842999999411</v>
      </c>
      <c r="N93" s="71">
        <f t="shared" si="51"/>
        <v>0</v>
      </c>
      <c r="O93" s="64">
        <f t="shared" si="52"/>
        <v>0</v>
      </c>
      <c r="P93" s="64">
        <f t="shared" si="53"/>
        <v>-141.42842999999411</v>
      </c>
      <c r="Q93" s="65">
        <f t="shared" si="54"/>
        <v>0</v>
      </c>
      <c r="R93" s="59"/>
      <c r="S93" s="180">
        <f>IF(OR(RIGHT($H93,3)="RGT",RIGHT($H93,3)="INC"),IF($G93=S$87,SUM($S143:S143)+$O93,IF(S$87&gt;$G93,S143,0)),0)</f>
        <v>-12.24844</v>
      </c>
      <c r="T93" s="181">
        <f>IF(OR(RIGHT($H93,3)="RGT",RIGHT($H93,3)="INC"),IF($G93=T$87,SUM($S143:T143)+$O93,IF(T$87&gt;$G93,T143,0)),0)</f>
        <v>11.682</v>
      </c>
      <c r="U93" s="181">
        <f>IF(OR(RIGHT($H93,3)="RGT",RIGHT($H93,3)="INC"),IF($G93=U$87,SUM($S143:U143)+$O93,IF(U$87&gt;$G93,U143,0)),0)</f>
        <v>-22.415990000000001</v>
      </c>
      <c r="V93" s="181">
        <f>IF(OR(RIGHT($H93,3)="RGT",RIGHT($H93,3)="INC"),IF($G93=V$87,SUM($S143:V143)+$O93,IF(V$87&gt;$G93,V143,0)),0)</f>
        <v>0</v>
      </c>
      <c r="W93" s="181">
        <f>IF(OR(RIGHT($H93,3)="RGT",RIGHT($H93,3)="INC"),IF($G93=W$87,SUM($S143:W143)+$O93,IF(W$87&gt;$G93,W143,0)),0)</f>
        <v>0</v>
      </c>
      <c r="X93" s="181">
        <f>IF(OR(RIGHT($H93,3)="RGT",RIGHT($H93,3)="INC"),IF($G93=X$87,SUM($S143:X143)+$O93,IF(X$87&gt;$G93,X143,0)),0)</f>
        <v>0</v>
      </c>
      <c r="Y93" s="181">
        <f>IF(OR(RIGHT($H93,3)="RGT",RIGHT($H93,3)="INC"),IF($G93=Y$87,SUM($S143:Y143)+$O93,IF(Y$87&gt;$G93,Y143,0)),0)</f>
        <v>0</v>
      </c>
      <c r="Z93" s="181">
        <f>IF(OR(RIGHT($H93,3)="RGT",RIGHT($H93,3)="INC"),IF($G93=Z$87,SUM($S143:Z143)+$O93,IF(Z$87&gt;$G93,Z143,0)),0)</f>
        <v>0</v>
      </c>
      <c r="AA93" s="181">
        <f>IF(OR(RIGHT($H93,3)="RGT",RIGHT($H93,3)="INC"),IF($G93=AA$87,SUM($S143:AA143)+$O93,IF(AA$87&gt;$G93,AA143,0)),0)</f>
        <v>0</v>
      </c>
      <c r="AB93" s="181">
        <f>IF(OR(RIGHT($H93,3)="RGT",RIGHT($H93,3)="INC"),IF($G93=AB$87,SUM($S143:AB143)+$O93,IF(AB$87&gt;$G93,AB143,0)),0)</f>
        <v>0</v>
      </c>
      <c r="AC93" s="181">
        <f>IF(OR(RIGHT($H93,3)="RGT",RIGHT($H93,3)="INC"),IF($G93=AC$87,SUM($S143:AC143)+$O93,IF(AC$87&gt;$G93,AC143,0)),0)</f>
        <v>0</v>
      </c>
      <c r="AD93" s="182">
        <f>IF(OR(RIGHT($H93,3)="RGT",RIGHT($H93,3)="INC"),IF($G93=AD$87,SUM($S143:AD143)+$O93,IF(AD$87&gt;$G93,AD143,0)),0)</f>
        <v>-118.44599999999411</v>
      </c>
      <c r="AE93" s="181">
        <f>IF(OR(RIGHT($H93,3)="RGT",RIGHT($H93,3)="INC"),IF($G93=AE$87,SUM($S143:AE143)+$O93,IF(AE$87&gt;$G93,AE143,0)),0)</f>
        <v>0</v>
      </c>
      <c r="AF93" s="181">
        <f>IF(OR(RIGHT($H93,3)="RGT",RIGHT($H93,3)="INC"),IF($G93=AF$87,SUM($S143:AF143)+$O93,IF(AF$87&gt;$G93,AF143,0)),0)</f>
        <v>0</v>
      </c>
      <c r="AG93" s="181">
        <f>IF(OR(RIGHT($H93,3)="RGT",RIGHT($H93,3)="INC"),IF($G93=AG$87,SUM($S143:AG143)+$O93,IF(AG$87&gt;$G93,AG143,0)),0)</f>
        <v>0</v>
      </c>
      <c r="AH93" s="181">
        <f>IF(OR(RIGHT($H93,3)="RGT",RIGHT($H93,3)="INC"),IF($G93=AH$87,SUM($S143:AH143)+$O93,IF(AH$87&gt;$G93,AH143,0)),0)</f>
        <v>0</v>
      </c>
      <c r="AI93" s="181">
        <f>IF(OR(RIGHT($H93,3)="RGT",RIGHT($H93,3)="INC"),IF($G93=AI$87,SUM($S143:AI143)+$O93,IF(AI$87&gt;$G93,AI143,0)),0)</f>
        <v>0</v>
      </c>
      <c r="AJ93" s="181">
        <f>IF(OR(RIGHT($H93,3)="RGT",RIGHT($H93,3)="INC"),IF($G93=AJ$87,SUM($S143:AJ143)+$O93,IF(AJ$87&gt;$G93,AJ143,0)),0)</f>
        <v>0</v>
      </c>
      <c r="AK93" s="181">
        <f>IF(OR(RIGHT($H93,3)="RGT",RIGHT($H93,3)="INC"),IF($G93=AK$87,SUM($S143:AK143)+$O93,IF(AK$87&gt;$G93,AK143,0)),0)</f>
        <v>0</v>
      </c>
      <c r="AL93" s="181">
        <f>IF(OR(RIGHT($H93,3)="RGT",RIGHT($H93,3)="INC"),IF($G93=AL$87,SUM($S143:AL143)+$O93,IF(AL$87&gt;$G93,AL143,0)),0)</f>
        <v>0</v>
      </c>
      <c r="AM93" s="181">
        <f>IF(OR(RIGHT($H93,3)="RGT",RIGHT($H93,3)="INC"),IF($G93=AM$87,SUM($S143:AM143)+$O93,IF(AM$87&gt;$G93,AM143,0)),0)</f>
        <v>0</v>
      </c>
      <c r="AN93" s="181">
        <f>IF(OR(RIGHT($H93,3)="RGT",RIGHT($H93,3)="INC"),IF($G93=AN$87,SUM($S143:AN143)+$O93,IF(AN$87&gt;$G93,AN143,0)),0)</f>
        <v>0</v>
      </c>
      <c r="AO93" s="181">
        <f>IF(OR(RIGHT($H93,3)="RGT",RIGHT($H93,3)="INC"),IF($G93=AO$87,SUM($S143:AO143)+$O93,IF(AO$87&gt;$G93,AO143,0)),0)</f>
        <v>0</v>
      </c>
      <c r="AP93" s="182">
        <f>IF(OR(RIGHT($H93,3)="RGT",RIGHT($H93,3)="INC"),IF($G93=AP$87,SUM($S143:AP143)+$O93,IF(AP$87&gt;$G93,AP143,0)),0)</f>
        <v>0</v>
      </c>
    </row>
    <row r="94" spans="1:43" s="183" customFormat="1" x14ac:dyDescent="0.25">
      <c r="A94" s="178" t="str">
        <f t="shared" si="49"/>
        <v>Tehachapi Segments 4-11</v>
      </c>
      <c r="B94" s="179" t="s">
        <v>33</v>
      </c>
      <c r="C94" s="56" t="s">
        <v>172</v>
      </c>
      <c r="D94" s="66" t="s">
        <v>173</v>
      </c>
      <c r="E94" s="58" t="s">
        <v>268</v>
      </c>
      <c r="F94" s="155" t="s">
        <v>70</v>
      </c>
      <c r="G94" s="59">
        <v>41699</v>
      </c>
      <c r="H94" s="60" t="s">
        <v>264</v>
      </c>
      <c r="I94" s="61">
        <v>0</v>
      </c>
      <c r="J94" s="62">
        <v>1</v>
      </c>
      <c r="K94" s="237">
        <v>800051930</v>
      </c>
      <c r="L94" s="236">
        <v>0</v>
      </c>
      <c r="M94" s="71">
        <f t="shared" si="50"/>
        <v>0</v>
      </c>
      <c r="N94" s="71">
        <f t="shared" si="51"/>
        <v>0</v>
      </c>
      <c r="O94" s="64">
        <f t="shared" si="52"/>
        <v>0</v>
      </c>
      <c r="P94" s="64">
        <f t="shared" si="53"/>
        <v>0</v>
      </c>
      <c r="Q94" s="65">
        <f t="shared" si="54"/>
        <v>0</v>
      </c>
      <c r="R94" s="59"/>
      <c r="S94" s="180">
        <f>IF(OR(RIGHT($H94,3)="RGT",RIGHT($H94,3)="INC"),IF($G94=S$87,SUM($S144:S144)+$O94,IF(S$87&gt;$G94,S144,0)),0)</f>
        <v>0</v>
      </c>
      <c r="T94" s="181">
        <f>IF(OR(RIGHT($H94,3)="RGT",RIGHT($H94,3)="INC"),IF($G94=T$87,SUM($S144:T144)+$O94,IF(T$87&gt;$G94,T144,0)),0)</f>
        <v>0</v>
      </c>
      <c r="U94" s="181">
        <f>IF(OR(RIGHT($H94,3)="RGT",RIGHT($H94,3)="INC"),IF($G94=U$87,SUM($S144:U144)+$O94,IF(U$87&gt;$G94,U144,0)),0)</f>
        <v>0</v>
      </c>
      <c r="V94" s="181">
        <f>IF(OR(RIGHT($H94,3)="RGT",RIGHT($H94,3)="INC"),IF($G94=V$87,SUM($S144:V144)+$O94,IF(V$87&gt;$G94,V144,0)),0)</f>
        <v>0</v>
      </c>
      <c r="W94" s="181">
        <f>IF(OR(RIGHT($H94,3)="RGT",RIGHT($H94,3)="INC"),IF($G94=W$87,SUM($S144:W144)+$O94,IF(W$87&gt;$G94,W144,0)),0)</f>
        <v>0</v>
      </c>
      <c r="X94" s="181">
        <f>IF(OR(RIGHT($H94,3)="RGT",RIGHT($H94,3)="INC"),IF($G94=X$87,SUM($S144:X144)+$O94,IF(X$87&gt;$G94,X144,0)),0)</f>
        <v>0</v>
      </c>
      <c r="Y94" s="181">
        <f>IF(OR(RIGHT($H94,3)="RGT",RIGHT($H94,3)="INC"),IF($G94=Y$87,SUM($S144:Y144)+$O94,IF(Y$87&gt;$G94,Y144,0)),0)</f>
        <v>0</v>
      </c>
      <c r="Z94" s="181">
        <f>IF(OR(RIGHT($H94,3)="RGT",RIGHT($H94,3)="INC"),IF($G94=Z$87,SUM($S144:Z144)+$O94,IF(Z$87&gt;$G94,Z144,0)),0)</f>
        <v>0</v>
      </c>
      <c r="AA94" s="181">
        <f>IF(OR(RIGHT($H94,3)="RGT",RIGHT($H94,3)="INC"),IF($G94=AA$87,SUM($S144:AA144)+$O94,IF(AA$87&gt;$G94,AA144,0)),0)</f>
        <v>0</v>
      </c>
      <c r="AB94" s="181">
        <f>IF(OR(RIGHT($H94,3)="RGT",RIGHT($H94,3)="INC"),IF($G94=AB$87,SUM($S144:AB144)+$O94,IF(AB$87&gt;$G94,AB144,0)),0)</f>
        <v>0</v>
      </c>
      <c r="AC94" s="181">
        <f>IF(OR(RIGHT($H94,3)="RGT",RIGHT($H94,3)="INC"),IF($G94=AC$87,SUM($S144:AC144)+$O94,IF(AC$87&gt;$G94,AC144,0)),0)</f>
        <v>0</v>
      </c>
      <c r="AD94" s="182">
        <f>IF(OR(RIGHT($H94,3)="RGT",RIGHT($H94,3)="INC"),IF($G94=AD$87,SUM($S144:AD144)+$O94,IF(AD$87&gt;$G94,AD144,0)),0)</f>
        <v>0</v>
      </c>
      <c r="AE94" s="181">
        <f>IF(OR(RIGHT($H94,3)="RGT",RIGHT($H94,3)="INC"),IF($G94=AE$87,SUM($S144:AE144)+$O94,IF(AE$87&gt;$G94,AE144,0)),0)</f>
        <v>0</v>
      </c>
      <c r="AF94" s="181">
        <f>IF(OR(RIGHT($H94,3)="RGT",RIGHT($H94,3)="INC"),IF($G94=AF$87,SUM($S144:AF144)+$O94,IF(AF$87&gt;$G94,AF144,0)),0)</f>
        <v>0</v>
      </c>
      <c r="AG94" s="181">
        <f>IF(OR(RIGHT($H94,3)="RGT",RIGHT($H94,3)="INC"),IF($G94=AG$87,SUM($S144:AG144)+$O94,IF(AG$87&gt;$G94,AG144,0)),0)</f>
        <v>0</v>
      </c>
      <c r="AH94" s="181">
        <f>IF(OR(RIGHT($H94,3)="RGT",RIGHT($H94,3)="INC"),IF($G94=AH$87,SUM($S144:AH144)+$O94,IF(AH$87&gt;$G94,AH144,0)),0)</f>
        <v>0</v>
      </c>
      <c r="AI94" s="181">
        <f>IF(OR(RIGHT($H94,3)="RGT",RIGHT($H94,3)="INC"),IF($G94=AI$87,SUM($S144:AI144)+$O94,IF(AI$87&gt;$G94,AI144,0)),0)</f>
        <v>0</v>
      </c>
      <c r="AJ94" s="181">
        <f>IF(OR(RIGHT($H94,3)="RGT",RIGHT($H94,3)="INC"),IF($G94=AJ$87,SUM($S144:AJ144)+$O94,IF(AJ$87&gt;$G94,AJ144,0)),0)</f>
        <v>0</v>
      </c>
      <c r="AK94" s="181">
        <f>IF(OR(RIGHT($H94,3)="RGT",RIGHT($H94,3)="INC"),IF($G94=AK$87,SUM($S144:AK144)+$O94,IF(AK$87&gt;$G94,AK144,0)),0)</f>
        <v>0</v>
      </c>
      <c r="AL94" s="181">
        <f>IF(OR(RIGHT($H94,3)="RGT",RIGHT($H94,3)="INC"),IF($G94=AL$87,SUM($S144:AL144)+$O94,IF(AL$87&gt;$G94,AL144,0)),0)</f>
        <v>0</v>
      </c>
      <c r="AM94" s="181">
        <f>IF(OR(RIGHT($H94,3)="RGT",RIGHT($H94,3)="INC"),IF($G94=AM$87,SUM($S144:AM144)+$O94,IF(AM$87&gt;$G94,AM144,0)),0)</f>
        <v>0</v>
      </c>
      <c r="AN94" s="181">
        <f>IF(OR(RIGHT($H94,3)="RGT",RIGHT($H94,3)="INC"),IF($G94=AN$87,SUM($S144:AN144)+$O94,IF(AN$87&gt;$G94,AN144,0)),0)</f>
        <v>0</v>
      </c>
      <c r="AO94" s="181">
        <f>IF(OR(RIGHT($H94,3)="RGT",RIGHT($H94,3)="INC"),IF($G94=AO$87,SUM($S144:AO144)+$O94,IF(AO$87&gt;$G94,AO144,0)),0)</f>
        <v>0</v>
      </c>
      <c r="AP94" s="182">
        <f>IF(OR(RIGHT($H94,3)="RGT",RIGHT($H94,3)="INC"),IF($G94=AP$87,SUM($S144:AP144)+$O94,IF(AP$87&gt;$G94,AP144,0)),0)</f>
        <v>0</v>
      </c>
    </row>
    <row r="95" spans="1:43" s="183" customFormat="1" x14ac:dyDescent="0.25">
      <c r="A95" s="178" t="str">
        <f t="shared" si="49"/>
        <v>Tehachapi Segments 4-11</v>
      </c>
      <c r="B95" s="179" t="s">
        <v>33</v>
      </c>
      <c r="C95" s="56" t="s">
        <v>174</v>
      </c>
      <c r="D95" s="66" t="s">
        <v>175</v>
      </c>
      <c r="E95" s="58" t="s">
        <v>269</v>
      </c>
      <c r="F95" s="155" t="s">
        <v>70</v>
      </c>
      <c r="G95" s="278">
        <v>42156</v>
      </c>
      <c r="H95" s="60" t="s">
        <v>264</v>
      </c>
      <c r="I95" s="61">
        <v>0</v>
      </c>
      <c r="J95" s="62">
        <v>1</v>
      </c>
      <c r="K95" s="237">
        <v>800218130</v>
      </c>
      <c r="L95" s="285">
        <v>15918.777420000008</v>
      </c>
      <c r="M95" s="71">
        <f t="shared" si="50"/>
        <v>105.04763000000001</v>
      </c>
      <c r="N95" s="71">
        <f t="shared" si="51"/>
        <v>0</v>
      </c>
      <c r="O95" s="64">
        <f t="shared" si="52"/>
        <v>15918.777420000008</v>
      </c>
      <c r="P95" s="64">
        <f t="shared" si="53"/>
        <v>105.04763000000001</v>
      </c>
      <c r="Q95" s="65">
        <f t="shared" si="54"/>
        <v>0</v>
      </c>
      <c r="R95" s="59"/>
      <c r="S95" s="180">
        <f>IF(OR(RIGHT($H95,3)="RGT",RIGHT($H95,3)="INC"),IF($G95=S$87,SUM($S145:S145)+$O95,IF(S$87&gt;$G95,S145,0)),0)</f>
        <v>0</v>
      </c>
      <c r="T95" s="181">
        <f>IF(OR(RIGHT($H95,3)="RGT",RIGHT($H95,3)="INC"),IF($G95=T$87,SUM($S145:T145)+$O95,IF(T$87&gt;$G95,T145,0)),0)</f>
        <v>0</v>
      </c>
      <c r="U95" s="181">
        <f>IF(OR(RIGHT($H95,3)="RGT",RIGHT($H95,3)="INC"),IF($G95=U$87,SUM($S145:U145)+$O95,IF(U$87&gt;$G95,U145,0)),0)</f>
        <v>0</v>
      </c>
      <c r="V95" s="181">
        <f>IF(OR(RIGHT($H95,3)="RGT",RIGHT($H95,3)="INC"),IF($G95=V$87,SUM($S145:V145)+$O95,IF(V$87&gt;$G95,V145,0)),0)</f>
        <v>0</v>
      </c>
      <c r="W95" s="181">
        <f>IF(OR(RIGHT($H95,3)="RGT",RIGHT($H95,3)="INC"),IF($G95=W$87,SUM($S145:W145)+$O95,IF(W$87&gt;$G95,W145,0)),0)</f>
        <v>0</v>
      </c>
      <c r="X95" s="181">
        <f>IF(OR(RIGHT($H95,3)="RGT",RIGHT($H95,3)="INC"),IF($G95=X$87,SUM($S145:X145)+$O95,IF(X$87&gt;$G95,X145,0)),0)</f>
        <v>16023.825050000007</v>
      </c>
      <c r="Y95" s="181">
        <f>IF(OR(RIGHT($H95,3)="RGT",RIGHT($H95,3)="INC"),IF($G95=Y$87,SUM($S145:Y145)+$O95,IF(Y$87&gt;$G95,Y145,0)),0)</f>
        <v>0</v>
      </c>
      <c r="Z95" s="181">
        <f>IF(OR(RIGHT($H95,3)="RGT",RIGHT($H95,3)="INC"),IF($G95=Z$87,SUM($S145:Z145)+$O95,IF(Z$87&gt;$G95,Z145,0)),0)</f>
        <v>0</v>
      </c>
      <c r="AA95" s="181">
        <f>IF(OR(RIGHT($H95,3)="RGT",RIGHT($H95,3)="INC"),IF($G95=AA$87,SUM($S145:AA145)+$O95,IF(AA$87&gt;$G95,AA145,0)),0)</f>
        <v>0</v>
      </c>
      <c r="AB95" s="181">
        <f>IF(OR(RIGHT($H95,3)="RGT",RIGHT($H95,3)="INC"),IF($G95=AB$87,SUM($S145:AB145)+$O95,IF(AB$87&gt;$G95,AB145,0)),0)</f>
        <v>0</v>
      </c>
      <c r="AC95" s="181">
        <f>IF(OR(RIGHT($H95,3)="RGT",RIGHT($H95,3)="INC"),IF($G95=AC$87,SUM($S145:AC145)+$O95,IF(AC$87&gt;$G95,AC145,0)),0)</f>
        <v>0</v>
      </c>
      <c r="AD95" s="182">
        <f>IF(OR(RIGHT($H95,3)="RGT",RIGHT($H95,3)="INC"),IF($G95=AD$87,SUM($S145:AD145)+$O95,IF(AD$87&gt;$G95,AD145,0)),0)</f>
        <v>0</v>
      </c>
      <c r="AE95" s="181">
        <f>IF(OR(RIGHT($H95,3)="RGT",RIGHT($H95,3)="INC"),IF($G95=AE$87,SUM($S145:AE145)+$O95,IF(AE$87&gt;$G95,AE145,0)),0)</f>
        <v>0</v>
      </c>
      <c r="AF95" s="181">
        <f>IF(OR(RIGHT($H95,3)="RGT",RIGHT($H95,3)="INC"),IF($G95=AF$87,SUM($S145:AF145)+$O95,IF(AF$87&gt;$G95,AF145,0)),0)</f>
        <v>0</v>
      </c>
      <c r="AG95" s="181">
        <f>IF(OR(RIGHT($H95,3)="RGT",RIGHT($H95,3)="INC"),IF($G95=AG$87,SUM($S145:AG145)+$O95,IF(AG$87&gt;$G95,AG145,0)),0)</f>
        <v>0</v>
      </c>
      <c r="AH95" s="181">
        <f>IF(OR(RIGHT($H95,3)="RGT",RIGHT($H95,3)="INC"),IF($G95=AH$87,SUM($S145:AH145)+$O95,IF(AH$87&gt;$G95,AH145,0)),0)</f>
        <v>0</v>
      </c>
      <c r="AI95" s="181">
        <f>IF(OR(RIGHT($H95,3)="RGT",RIGHT($H95,3)="INC"),IF($G95=AI$87,SUM($S145:AI145)+$O95,IF(AI$87&gt;$G95,AI145,0)),0)</f>
        <v>0</v>
      </c>
      <c r="AJ95" s="181">
        <f>IF(OR(RIGHT($H95,3)="RGT",RIGHT($H95,3)="INC"),IF($G95=AJ$87,SUM($S145:AJ145)+$O95,IF(AJ$87&gt;$G95,AJ145,0)),0)</f>
        <v>0</v>
      </c>
      <c r="AK95" s="181">
        <f>IF(OR(RIGHT($H95,3)="RGT",RIGHT($H95,3)="INC"),IF($G95=AK$87,SUM($S145:AK145)+$O95,IF(AK$87&gt;$G95,AK145,0)),0)</f>
        <v>0</v>
      </c>
      <c r="AL95" s="181">
        <f>IF(OR(RIGHT($H95,3)="RGT",RIGHT($H95,3)="INC"),IF($G95=AL$87,SUM($S145:AL145)+$O95,IF(AL$87&gt;$G95,AL145,0)),0)</f>
        <v>0</v>
      </c>
      <c r="AM95" s="181">
        <f>IF(OR(RIGHT($H95,3)="RGT",RIGHT($H95,3)="INC"),IF($G95=AM$87,SUM($S145:AM145)+$O95,IF(AM$87&gt;$G95,AM145,0)),0)</f>
        <v>0</v>
      </c>
      <c r="AN95" s="181">
        <f>IF(OR(RIGHT($H95,3)="RGT",RIGHT($H95,3)="INC"),IF($G95=AN$87,SUM($S145:AN145)+$O95,IF(AN$87&gt;$G95,AN145,0)),0)</f>
        <v>0</v>
      </c>
      <c r="AO95" s="181">
        <f>IF(OR(RIGHT($H95,3)="RGT",RIGHT($H95,3)="INC"),IF($G95=AO$87,SUM($S145:AO145)+$O95,IF(AO$87&gt;$G95,AO145,0)),0)</f>
        <v>0</v>
      </c>
      <c r="AP95" s="182">
        <f>IF(OR(RIGHT($H95,3)="RGT",RIGHT($H95,3)="INC"),IF($G95=AP$87,SUM($S145:AP145)+$O95,IF(AP$87&gt;$G95,AP145,0)),0)</f>
        <v>0</v>
      </c>
    </row>
    <row r="96" spans="1:43" s="183" customFormat="1" x14ac:dyDescent="0.25">
      <c r="A96" s="178" t="str">
        <f t="shared" si="49"/>
        <v>Tehachapi Segments 4-11</v>
      </c>
      <c r="B96" s="179" t="s">
        <v>33</v>
      </c>
      <c r="C96" s="56" t="s">
        <v>176</v>
      </c>
      <c r="D96" s="66" t="s">
        <v>177</v>
      </c>
      <c r="E96" s="58" t="s">
        <v>269</v>
      </c>
      <c r="F96" s="155" t="s">
        <v>70</v>
      </c>
      <c r="G96" s="59">
        <v>42005</v>
      </c>
      <c r="H96" s="60" t="s">
        <v>264</v>
      </c>
      <c r="I96" s="61">
        <v>0</v>
      </c>
      <c r="J96" s="62">
        <v>1</v>
      </c>
      <c r="K96" s="237">
        <v>800218138</v>
      </c>
      <c r="L96" s="236">
        <v>0</v>
      </c>
      <c r="M96" s="71">
        <f t="shared" si="50"/>
        <v>4959.5593667000103</v>
      </c>
      <c r="N96" s="71">
        <f t="shared" si="51"/>
        <v>0</v>
      </c>
      <c r="O96" s="64">
        <f t="shared" si="52"/>
        <v>0</v>
      </c>
      <c r="P96" s="64">
        <f t="shared" si="53"/>
        <v>4959.5593667000103</v>
      </c>
      <c r="Q96" s="65">
        <f t="shared" si="54"/>
        <v>0</v>
      </c>
      <c r="R96" s="59"/>
      <c r="S96" s="180">
        <f>IF(OR(RIGHT($H96,3)="RGT",RIGHT($H96,3)="INC"),IF($G96=S$87,SUM($S146:S146)+$O96,IF(S$87&gt;$G96,S146,0)),0)</f>
        <v>1591.44208</v>
      </c>
      <c r="T96" s="181">
        <f>IF(OR(RIGHT($H96,3)="RGT",RIGHT($H96,3)="INC"),IF($G96=T$87,SUM($S146:T146)+$O96,IF(T$87&gt;$G96,T146,0)),0)</f>
        <v>868.22318999999993</v>
      </c>
      <c r="U96" s="181">
        <f>IF(OR(RIGHT($H96,3)="RGT",RIGHT($H96,3)="INC"),IF($G96=U$87,SUM($S146:U146)+$O96,IF(U$87&gt;$G96,U146,0)),0)</f>
        <v>335.23940000000005</v>
      </c>
      <c r="V96" s="181">
        <f>IF(OR(RIGHT($H96,3)="RGT",RIGHT($H96,3)="INC"),IF($G96=V$87,SUM($S146:V146)+$O96,IF(V$87&gt;$G96,V146,0)),0)</f>
        <v>698.19940139999903</v>
      </c>
      <c r="W96" s="181">
        <f>IF(OR(RIGHT($H96,3)="RGT",RIGHT($H96,3)="INC"),IF($G96=W$87,SUM($S146:W146)+$O96,IF(W$87&gt;$G96,W146,0)),0)</f>
        <v>-256.25833469998901</v>
      </c>
      <c r="X96" s="181">
        <f>IF(OR(RIGHT($H96,3)="RGT",RIGHT($H96,3)="INC"),IF($G96=X$87,SUM($S146:X146)+$O96,IF(X$87&gt;$G96,X146,0)),0)</f>
        <v>225</v>
      </c>
      <c r="Y96" s="181">
        <f>IF(OR(RIGHT($H96,3)="RGT",RIGHT($H96,3)="INC"),IF($G96=Y$87,SUM($S146:Y146)+$O96,IF(Y$87&gt;$G96,Y146,0)),0)</f>
        <v>225</v>
      </c>
      <c r="Z96" s="181">
        <f>IF(OR(RIGHT($H96,3)="RGT",RIGHT($H96,3)="INC"),IF($G96=Z$87,SUM($S146:Z146)+$O96,IF(Z$87&gt;$G96,Z146,0)),0)</f>
        <v>225</v>
      </c>
      <c r="AA96" s="181">
        <f>IF(OR(RIGHT($H96,3)="RGT",RIGHT($H96,3)="INC"),IF($G96=AA$87,SUM($S146:AA146)+$O96,IF(AA$87&gt;$G96,AA146,0)),0)</f>
        <v>225</v>
      </c>
      <c r="AB96" s="181">
        <f>IF(OR(RIGHT($H96,3)="RGT",RIGHT($H96,3)="INC"),IF($G96=AB$87,SUM($S146:AB146)+$O96,IF(AB$87&gt;$G96,AB146,0)),0)</f>
        <v>225</v>
      </c>
      <c r="AC96" s="181">
        <f>IF(OR(RIGHT($H96,3)="RGT",RIGHT($H96,3)="INC"),IF($G96=AC$87,SUM($S146:AC146)+$O96,IF(AC$87&gt;$G96,AC146,0)),0)</f>
        <v>225</v>
      </c>
      <c r="AD96" s="182">
        <f>IF(OR(RIGHT($H96,3)="RGT",RIGHT($H96,3)="INC"),IF($G96=AD$87,SUM($S146:AD146)+$O96,IF(AD$87&gt;$G96,AD146,0)),0)</f>
        <v>372.71363000000002</v>
      </c>
      <c r="AE96" s="181">
        <f>IF(OR(RIGHT($H96,3)="RGT",RIGHT($H96,3)="INC"),IF($G96=AE$87,SUM($S146:AE146)+$O96,IF(AE$87&gt;$G96,AE146,0)),0)</f>
        <v>0</v>
      </c>
      <c r="AF96" s="181">
        <f>IF(OR(RIGHT($H96,3)="RGT",RIGHT($H96,3)="INC"),IF($G96=AF$87,SUM($S146:AF146)+$O96,IF(AF$87&gt;$G96,AF146,0)),0)</f>
        <v>0</v>
      </c>
      <c r="AG96" s="181">
        <f>IF(OR(RIGHT($H96,3)="RGT",RIGHT($H96,3)="INC"),IF($G96=AG$87,SUM($S146:AG146)+$O96,IF(AG$87&gt;$G96,AG146,0)),0)</f>
        <v>0</v>
      </c>
      <c r="AH96" s="181">
        <f>IF(OR(RIGHT($H96,3)="RGT",RIGHT($H96,3)="INC"),IF($G96=AH$87,SUM($S146:AH146)+$O96,IF(AH$87&gt;$G96,AH146,0)),0)</f>
        <v>0</v>
      </c>
      <c r="AI96" s="181">
        <f>IF(OR(RIGHT($H96,3)="RGT",RIGHT($H96,3)="INC"),IF($G96=AI$87,SUM($S146:AI146)+$O96,IF(AI$87&gt;$G96,AI146,0)),0)</f>
        <v>0</v>
      </c>
      <c r="AJ96" s="181">
        <f>IF(OR(RIGHT($H96,3)="RGT",RIGHT($H96,3)="INC"),IF($G96=AJ$87,SUM($S146:AJ146)+$O96,IF(AJ$87&gt;$G96,AJ146,0)),0)</f>
        <v>0</v>
      </c>
      <c r="AK96" s="181">
        <f>IF(OR(RIGHT($H96,3)="RGT",RIGHT($H96,3)="INC"),IF($G96=AK$87,SUM($S146:AK146)+$O96,IF(AK$87&gt;$G96,AK146,0)),0)</f>
        <v>0</v>
      </c>
      <c r="AL96" s="181">
        <f>IF(OR(RIGHT($H96,3)="RGT",RIGHT($H96,3)="INC"),IF($G96=AL$87,SUM($S146:AL146)+$O96,IF(AL$87&gt;$G96,AL146,0)),0)</f>
        <v>0</v>
      </c>
      <c r="AM96" s="181">
        <f>IF(OR(RIGHT($H96,3)="RGT",RIGHT($H96,3)="INC"),IF($G96=AM$87,SUM($S146:AM146)+$O96,IF(AM$87&gt;$G96,AM146,0)),0)</f>
        <v>0</v>
      </c>
      <c r="AN96" s="181">
        <f>IF(OR(RIGHT($H96,3)="RGT",RIGHT($H96,3)="INC"),IF($G96=AN$87,SUM($S146:AN146)+$O96,IF(AN$87&gt;$G96,AN146,0)),0)</f>
        <v>0</v>
      </c>
      <c r="AO96" s="181">
        <f>IF(OR(RIGHT($H96,3)="RGT",RIGHT($H96,3)="INC"),IF($G96=AO$87,SUM($S146:AO146)+$O96,IF(AO$87&gt;$G96,AO146,0)),0)</f>
        <v>0</v>
      </c>
      <c r="AP96" s="182">
        <f>IF(OR(RIGHT($H96,3)="RGT",RIGHT($H96,3)="INC"),IF($G96=AP$87,SUM($S146:AP146)+$O96,IF(AP$87&gt;$G96,AP146,0)),0)</f>
        <v>0</v>
      </c>
    </row>
    <row r="97" spans="1:42" s="183" customFormat="1" x14ac:dyDescent="0.25">
      <c r="A97" s="178" t="str">
        <f t="shared" si="49"/>
        <v>Tehachapi Segments 4-11</v>
      </c>
      <c r="B97" s="179" t="s">
        <v>33</v>
      </c>
      <c r="C97" s="56" t="s">
        <v>178</v>
      </c>
      <c r="D97" s="66" t="s">
        <v>179</v>
      </c>
      <c r="E97" s="58" t="s">
        <v>269</v>
      </c>
      <c r="F97" s="155" t="s">
        <v>70</v>
      </c>
      <c r="G97" s="59">
        <v>42005</v>
      </c>
      <c r="H97" s="60" t="s">
        <v>264</v>
      </c>
      <c r="I97" s="61">
        <v>0</v>
      </c>
      <c r="J97" s="62">
        <v>1</v>
      </c>
      <c r="K97" s="237">
        <v>800051909</v>
      </c>
      <c r="L97" s="236">
        <v>0</v>
      </c>
      <c r="M97" s="71">
        <f t="shared" si="50"/>
        <v>0</v>
      </c>
      <c r="N97" s="71">
        <f t="shared" si="51"/>
        <v>0</v>
      </c>
      <c r="O97" s="64">
        <f t="shared" si="52"/>
        <v>0</v>
      </c>
      <c r="P97" s="64">
        <f t="shared" si="53"/>
        <v>0</v>
      </c>
      <c r="Q97" s="65">
        <f t="shared" si="54"/>
        <v>0</v>
      </c>
      <c r="R97" s="59"/>
      <c r="S97" s="180">
        <f>IF(OR(RIGHT($H97,3)="RGT",RIGHT($H97,3)="INC"),IF($G97=S$87,SUM($S147:S147)+$O97,IF(S$87&gt;$G97,S147,0)),0)</f>
        <v>0</v>
      </c>
      <c r="T97" s="181">
        <f>IF(OR(RIGHT($H97,3)="RGT",RIGHT($H97,3)="INC"),IF($G97=T$87,SUM($S147:T147)+$O97,IF(T$87&gt;$G97,T147,0)),0)</f>
        <v>0</v>
      </c>
      <c r="U97" s="181">
        <f>IF(OR(RIGHT($H97,3)="RGT",RIGHT($H97,3)="INC"),IF($G97=U$87,SUM($S147:U147)+$O97,IF(U$87&gt;$G97,U147,0)),0)</f>
        <v>0</v>
      </c>
      <c r="V97" s="181">
        <f>IF(OR(RIGHT($H97,3)="RGT",RIGHT($H97,3)="INC"),IF($G97=V$87,SUM($S147:V147)+$O97,IF(V$87&gt;$G97,V147,0)),0)</f>
        <v>0</v>
      </c>
      <c r="W97" s="181">
        <f>IF(OR(RIGHT($H97,3)="RGT",RIGHT($H97,3)="INC"),IF($G97=W$87,SUM($S147:W147)+$O97,IF(W$87&gt;$G97,W147,0)),0)</f>
        <v>0</v>
      </c>
      <c r="X97" s="181">
        <f>IF(OR(RIGHT($H97,3)="RGT",RIGHT($H97,3)="INC"),IF($G97=X$87,SUM($S147:X147)+$O97,IF(X$87&gt;$G97,X147,0)),0)</f>
        <v>0</v>
      </c>
      <c r="Y97" s="181">
        <f>IF(OR(RIGHT($H97,3)="RGT",RIGHT($H97,3)="INC"),IF($G97=Y$87,SUM($S147:Y147)+$O97,IF(Y$87&gt;$G97,Y147,0)),0)</f>
        <v>0</v>
      </c>
      <c r="Z97" s="181">
        <f>IF(OR(RIGHT($H97,3)="RGT",RIGHT($H97,3)="INC"),IF($G97=Z$87,SUM($S147:Z147)+$O97,IF(Z$87&gt;$G97,Z147,0)),0)</f>
        <v>0</v>
      </c>
      <c r="AA97" s="181">
        <f>IF(OR(RIGHT($H97,3)="RGT",RIGHT($H97,3)="INC"),IF($G97=AA$87,SUM($S147:AA147)+$O97,IF(AA$87&gt;$G97,AA147,0)),0)</f>
        <v>0</v>
      </c>
      <c r="AB97" s="181">
        <f>IF(OR(RIGHT($H97,3)="RGT",RIGHT($H97,3)="INC"),IF($G97=AB$87,SUM($S147:AB147)+$O97,IF(AB$87&gt;$G97,AB147,0)),0)</f>
        <v>0</v>
      </c>
      <c r="AC97" s="181">
        <f>IF(OR(RIGHT($H97,3)="RGT",RIGHT($H97,3)="INC"),IF($G97=AC$87,SUM($S147:AC147)+$O97,IF(AC$87&gt;$G97,AC147,0)),0)</f>
        <v>0</v>
      </c>
      <c r="AD97" s="182">
        <f>IF(OR(RIGHT($H97,3)="RGT",RIGHT($H97,3)="INC"),IF($G97=AD$87,SUM($S147:AD147)+$O97,IF(AD$87&gt;$G97,AD147,0)),0)</f>
        <v>0</v>
      </c>
      <c r="AE97" s="181">
        <f>IF(OR(RIGHT($H97,3)="RGT",RIGHT($H97,3)="INC"),IF($G97=AE$87,SUM($S147:AE147)+$O97,IF(AE$87&gt;$G97,AE147,0)),0)</f>
        <v>0</v>
      </c>
      <c r="AF97" s="181">
        <f>IF(OR(RIGHT($H97,3)="RGT",RIGHT($H97,3)="INC"),IF($G97=AF$87,SUM($S147:AF147)+$O97,IF(AF$87&gt;$G97,AF147,0)),0)</f>
        <v>0</v>
      </c>
      <c r="AG97" s="181">
        <f>IF(OR(RIGHT($H97,3)="RGT",RIGHT($H97,3)="INC"),IF($G97=AG$87,SUM($S147:AG147)+$O97,IF(AG$87&gt;$G97,AG147,0)),0)</f>
        <v>0</v>
      </c>
      <c r="AH97" s="181">
        <f>IF(OR(RIGHT($H97,3)="RGT",RIGHT($H97,3)="INC"),IF($G97=AH$87,SUM($S147:AH147)+$O97,IF(AH$87&gt;$G97,AH147,0)),0)</f>
        <v>0</v>
      </c>
      <c r="AI97" s="181">
        <f>IF(OR(RIGHT($H97,3)="RGT",RIGHT($H97,3)="INC"),IF($G97=AI$87,SUM($S147:AI147)+$O97,IF(AI$87&gt;$G97,AI147,0)),0)</f>
        <v>0</v>
      </c>
      <c r="AJ97" s="181">
        <f>IF(OR(RIGHT($H97,3)="RGT",RIGHT($H97,3)="INC"),IF($G97=AJ$87,SUM($S147:AJ147)+$O97,IF(AJ$87&gt;$G97,AJ147,0)),0)</f>
        <v>0</v>
      </c>
      <c r="AK97" s="181">
        <f>IF(OR(RIGHT($H97,3)="RGT",RIGHT($H97,3)="INC"),IF($G97=AK$87,SUM($S147:AK147)+$O97,IF(AK$87&gt;$G97,AK147,0)),0)</f>
        <v>0</v>
      </c>
      <c r="AL97" s="181">
        <f>IF(OR(RIGHT($H97,3)="RGT",RIGHT($H97,3)="INC"),IF($G97=AL$87,SUM($S147:AL147)+$O97,IF(AL$87&gt;$G97,AL147,0)),0)</f>
        <v>0</v>
      </c>
      <c r="AM97" s="181">
        <f>IF(OR(RIGHT($H97,3)="RGT",RIGHT($H97,3)="INC"),IF($G97=AM$87,SUM($S147:AM147)+$O97,IF(AM$87&gt;$G97,AM147,0)),0)</f>
        <v>0</v>
      </c>
      <c r="AN97" s="181">
        <f>IF(OR(RIGHT($H97,3)="RGT",RIGHT($H97,3)="INC"),IF($G97=AN$87,SUM($S147:AN147)+$O97,IF(AN$87&gt;$G97,AN147,0)),0)</f>
        <v>0</v>
      </c>
      <c r="AO97" s="181">
        <f>IF(OR(RIGHT($H97,3)="RGT",RIGHT($H97,3)="INC"),IF($G97=AO$87,SUM($S147:AO147)+$O97,IF(AO$87&gt;$G97,AO147,0)),0)</f>
        <v>0</v>
      </c>
      <c r="AP97" s="182">
        <f>IF(OR(RIGHT($H97,3)="RGT",RIGHT($H97,3)="INC"),IF($G97=AP$87,SUM($S147:AP147)+$O97,IF(AP$87&gt;$G97,AP147,0)),0)</f>
        <v>0</v>
      </c>
    </row>
    <row r="98" spans="1:42" s="183" customFormat="1" x14ac:dyDescent="0.25">
      <c r="A98" s="178" t="str">
        <f t="shared" si="49"/>
        <v>Tehachapi Segments 4-11</v>
      </c>
      <c r="B98" s="179" t="s">
        <v>33</v>
      </c>
      <c r="C98" s="56" t="s">
        <v>180</v>
      </c>
      <c r="D98" s="66" t="s">
        <v>181</v>
      </c>
      <c r="E98" s="58" t="s">
        <v>270</v>
      </c>
      <c r="F98" s="155" t="s">
        <v>70</v>
      </c>
      <c r="G98" s="278">
        <v>42156</v>
      </c>
      <c r="H98" s="60" t="s">
        <v>264</v>
      </c>
      <c r="I98" s="61">
        <v>0</v>
      </c>
      <c r="J98" s="62">
        <v>1</v>
      </c>
      <c r="K98" s="237">
        <v>800218522</v>
      </c>
      <c r="L98" s="236">
        <v>18647.983760000003</v>
      </c>
      <c r="M98" s="71">
        <f t="shared" si="50"/>
        <v>0</v>
      </c>
      <c r="N98" s="71">
        <f t="shared" si="51"/>
        <v>0</v>
      </c>
      <c r="O98" s="64">
        <f t="shared" si="52"/>
        <v>18647.983760000003</v>
      </c>
      <c r="P98" s="64">
        <f t="shared" si="53"/>
        <v>0</v>
      </c>
      <c r="Q98" s="65">
        <f t="shared" si="54"/>
        <v>0</v>
      </c>
      <c r="R98" s="59"/>
      <c r="S98" s="180">
        <f>IF(OR(RIGHT($H98,3)="RGT",RIGHT($H98,3)="INC"),IF($G98=S$87,SUM($S148:S148)+$O98,IF(S$87&gt;$G98,S148,0)),0)</f>
        <v>0</v>
      </c>
      <c r="T98" s="181">
        <f>IF(OR(RIGHT($H98,3)="RGT",RIGHT($H98,3)="INC"),IF($G98=T$87,SUM($S148:T148)+$O98,IF(T$87&gt;$G98,T148,0)),0)</f>
        <v>0</v>
      </c>
      <c r="U98" s="181">
        <f>IF(OR(RIGHT($H98,3)="RGT",RIGHT($H98,3)="INC"),IF($G98=U$87,SUM($S148:U148)+$O98,IF(U$87&gt;$G98,U148,0)),0)</f>
        <v>0</v>
      </c>
      <c r="V98" s="181">
        <f>IF(OR(RIGHT($H98,3)="RGT",RIGHT($H98,3)="INC"),IF($G98=V$87,SUM($S148:V148)+$O98,IF(V$87&gt;$G98,V148,0)),0)</f>
        <v>0</v>
      </c>
      <c r="W98" s="181">
        <f>IF(OR(RIGHT($H98,3)="RGT",RIGHT($H98,3)="INC"),IF($G98=W$87,SUM($S148:W148)+$O98,IF(W$87&gt;$G98,W148,0)),0)</f>
        <v>0</v>
      </c>
      <c r="X98" s="181">
        <f>IF(OR(RIGHT($H98,3)="RGT",RIGHT($H98,3)="INC"),IF($G98=X$87,SUM($S148:X148)+$O98,IF(X$87&gt;$G98,X148,0)),0)</f>
        <v>18647.983760000003</v>
      </c>
      <c r="Y98" s="181">
        <f>IF(OR(RIGHT($H98,3)="RGT",RIGHT($H98,3)="INC"),IF($G98=Y$87,SUM($S148:Y148)+$O98,IF(Y$87&gt;$G98,Y148,0)),0)</f>
        <v>0</v>
      </c>
      <c r="Z98" s="181">
        <f>IF(OR(RIGHT($H98,3)="RGT",RIGHT($H98,3)="INC"),IF($G98=Z$87,SUM($S148:Z148)+$O98,IF(Z$87&gt;$G98,Z148,0)),0)</f>
        <v>0</v>
      </c>
      <c r="AA98" s="181">
        <f>IF(OR(RIGHT($H98,3)="RGT",RIGHT($H98,3)="INC"),IF($G98=AA$87,SUM($S148:AA148)+$O98,IF(AA$87&gt;$G98,AA148,0)),0)</f>
        <v>0</v>
      </c>
      <c r="AB98" s="181">
        <f>IF(OR(RIGHT($H98,3)="RGT",RIGHT($H98,3)="INC"),IF($G98=AB$87,SUM($S148:AB148)+$O98,IF(AB$87&gt;$G98,AB148,0)),0)</f>
        <v>0</v>
      </c>
      <c r="AC98" s="181">
        <f>IF(OR(RIGHT($H98,3)="RGT",RIGHT($H98,3)="INC"),IF($G98=AC$87,SUM($S148:AC148)+$O98,IF(AC$87&gt;$G98,AC148,0)),0)</f>
        <v>0</v>
      </c>
      <c r="AD98" s="182">
        <f>IF(OR(RIGHT($H98,3)="RGT",RIGHT($H98,3)="INC"),IF($G98=AD$87,SUM($S148:AD148)+$O98,IF(AD$87&gt;$G98,AD148,0)),0)</f>
        <v>0</v>
      </c>
      <c r="AE98" s="181">
        <f>IF(OR(RIGHT($H98,3)="RGT",RIGHT($H98,3)="INC"),IF($G98=AE$87,SUM($S148:AE148)+$O98,IF(AE$87&gt;$G98,AE148,0)),0)</f>
        <v>0</v>
      </c>
      <c r="AF98" s="181">
        <f>IF(OR(RIGHT($H98,3)="RGT",RIGHT($H98,3)="INC"),IF($G98=AF$87,SUM($S148:AF148)+$O98,IF(AF$87&gt;$G98,AF148,0)),0)</f>
        <v>0</v>
      </c>
      <c r="AG98" s="181">
        <f>IF(OR(RIGHT($H98,3)="RGT",RIGHT($H98,3)="INC"),IF($G98=AG$87,SUM($S148:AG148)+$O98,IF(AG$87&gt;$G98,AG148,0)),0)</f>
        <v>0</v>
      </c>
      <c r="AH98" s="181">
        <f>IF(OR(RIGHT($H98,3)="RGT",RIGHT($H98,3)="INC"),IF($G98=AH$87,SUM($S148:AH148)+$O98,IF(AH$87&gt;$G98,AH148,0)),0)</f>
        <v>0</v>
      </c>
      <c r="AI98" s="181">
        <f>IF(OR(RIGHT($H98,3)="RGT",RIGHT($H98,3)="INC"),IF($G98=AI$87,SUM($S148:AI148)+$O98,IF(AI$87&gt;$G98,AI148,0)),0)</f>
        <v>0</v>
      </c>
      <c r="AJ98" s="181">
        <f>IF(OR(RIGHT($H98,3)="RGT",RIGHT($H98,3)="INC"),IF($G98=AJ$87,SUM($S148:AJ148)+$O98,IF(AJ$87&gt;$G98,AJ148,0)),0)</f>
        <v>0</v>
      </c>
      <c r="AK98" s="181">
        <f>IF(OR(RIGHT($H98,3)="RGT",RIGHT($H98,3)="INC"),IF($G98=AK$87,SUM($S148:AK148)+$O98,IF(AK$87&gt;$G98,AK148,0)),0)</f>
        <v>0</v>
      </c>
      <c r="AL98" s="181">
        <f>IF(OR(RIGHT($H98,3)="RGT",RIGHT($H98,3)="INC"),IF($G98=AL$87,SUM($S148:AL148)+$O98,IF(AL$87&gt;$G98,AL148,0)),0)</f>
        <v>0</v>
      </c>
      <c r="AM98" s="181">
        <f>IF(OR(RIGHT($H98,3)="RGT",RIGHT($H98,3)="INC"),IF($G98=AM$87,SUM($S148:AM148)+$O98,IF(AM$87&gt;$G98,AM148,0)),0)</f>
        <v>0</v>
      </c>
      <c r="AN98" s="181">
        <f>IF(OR(RIGHT($H98,3)="RGT",RIGHT($H98,3)="INC"),IF($G98=AN$87,SUM($S148:AN148)+$O98,IF(AN$87&gt;$G98,AN148,0)),0)</f>
        <v>0</v>
      </c>
      <c r="AO98" s="181">
        <f>IF(OR(RIGHT($H98,3)="RGT",RIGHT($H98,3)="INC"),IF($G98=AO$87,SUM($S148:AO148)+$O98,IF(AO$87&gt;$G98,AO148,0)),0)</f>
        <v>0</v>
      </c>
      <c r="AP98" s="182">
        <f>IF(OR(RIGHT($H98,3)="RGT",RIGHT($H98,3)="INC"),IF($G98=AP$87,SUM($S148:AP148)+$O98,IF(AP$87&gt;$G98,AP148,0)),0)</f>
        <v>0</v>
      </c>
    </row>
    <row r="99" spans="1:42" s="183" customFormat="1" x14ac:dyDescent="0.25">
      <c r="A99" s="178" t="str">
        <f t="shared" si="49"/>
        <v>Tehachapi Segments 4-11</v>
      </c>
      <c r="B99" s="179" t="s">
        <v>33</v>
      </c>
      <c r="C99" s="56" t="s">
        <v>182</v>
      </c>
      <c r="D99" s="66" t="s">
        <v>183</v>
      </c>
      <c r="E99" s="58" t="s">
        <v>270</v>
      </c>
      <c r="F99" s="155" t="s">
        <v>70</v>
      </c>
      <c r="G99" s="59">
        <v>41030</v>
      </c>
      <c r="H99" s="60" t="s">
        <v>264</v>
      </c>
      <c r="I99" s="61">
        <v>0</v>
      </c>
      <c r="J99" s="62">
        <v>1</v>
      </c>
      <c r="K99" s="63"/>
      <c r="L99" s="236">
        <v>0</v>
      </c>
      <c r="M99" s="71">
        <f t="shared" si="50"/>
        <v>1285.6353899999999</v>
      </c>
      <c r="N99" s="71">
        <f t="shared" si="51"/>
        <v>0</v>
      </c>
      <c r="O99" s="64">
        <f t="shared" si="52"/>
        <v>0</v>
      </c>
      <c r="P99" s="64">
        <f t="shared" si="53"/>
        <v>1285.6353899999999</v>
      </c>
      <c r="Q99" s="65">
        <f t="shared" si="54"/>
        <v>0</v>
      </c>
      <c r="R99" s="59"/>
      <c r="S99" s="180">
        <f>IF(OR(RIGHT($H99,3)="RGT",RIGHT($H99,3)="INC"),IF($G99=S$87,SUM($S149:S149)+$O99,IF(S$87&gt;$G99,S149,0)),0)</f>
        <v>1280.6666499999999</v>
      </c>
      <c r="T99" s="181">
        <f>IF(OR(RIGHT($H99,3)="RGT",RIGHT($H99,3)="INC"),IF($G99=T$87,SUM($S149:T149)+$O99,IF(T$87&gt;$G99,T149,0)),0)</f>
        <v>4.9687399999999995</v>
      </c>
      <c r="U99" s="181">
        <f>IF(OR(RIGHT($H99,3)="RGT",RIGHT($H99,3)="INC"),IF($G99=U$87,SUM($S149:U149)+$O99,IF(U$87&gt;$G99,U149,0)),0)</f>
        <v>0</v>
      </c>
      <c r="V99" s="181">
        <f>IF(OR(RIGHT($H99,3)="RGT",RIGHT($H99,3)="INC"),IF($G99=V$87,SUM($S149:V149)+$O99,IF(V$87&gt;$G99,V149,0)),0)</f>
        <v>0</v>
      </c>
      <c r="W99" s="181">
        <f>IF(OR(RIGHT($H99,3)="RGT",RIGHT($H99,3)="INC"),IF($G99=W$87,SUM($S149:W149)+$O99,IF(W$87&gt;$G99,W149,0)),0)</f>
        <v>0</v>
      </c>
      <c r="X99" s="181">
        <f>IF(OR(RIGHT($H99,3)="RGT",RIGHT($H99,3)="INC"),IF($G99=X$87,SUM($S149:X149)+$O99,IF(X$87&gt;$G99,X149,0)),0)</f>
        <v>0</v>
      </c>
      <c r="Y99" s="181">
        <f>IF(OR(RIGHT($H99,3)="RGT",RIGHT($H99,3)="INC"),IF($G99=Y$87,SUM($S149:Y149)+$O99,IF(Y$87&gt;$G99,Y149,0)),0)</f>
        <v>0</v>
      </c>
      <c r="Z99" s="181">
        <f>IF(OR(RIGHT($H99,3)="RGT",RIGHT($H99,3)="INC"),IF($G99=Z$87,SUM($S149:Z149)+$O99,IF(Z$87&gt;$G99,Z149,0)),0)</f>
        <v>0</v>
      </c>
      <c r="AA99" s="181">
        <f>IF(OR(RIGHT($H99,3)="RGT",RIGHT($H99,3)="INC"),IF($G99=AA$87,SUM($S149:AA149)+$O99,IF(AA$87&gt;$G99,AA149,0)),0)</f>
        <v>0</v>
      </c>
      <c r="AB99" s="181">
        <f>IF(OR(RIGHT($H99,3)="RGT",RIGHT($H99,3)="INC"),IF($G99=AB$87,SUM($S149:AB149)+$O99,IF(AB$87&gt;$G99,AB149,0)),0)</f>
        <v>0</v>
      </c>
      <c r="AC99" s="181">
        <f>IF(OR(RIGHT($H99,3)="RGT",RIGHT($H99,3)="INC"),IF($G99=AC$87,SUM($S149:AC149)+$O99,IF(AC$87&gt;$G99,AC149,0)),0)</f>
        <v>0</v>
      </c>
      <c r="AD99" s="182">
        <f>IF(OR(RIGHT($H99,3)="RGT",RIGHT($H99,3)="INC"),IF($G99=AD$87,SUM($S149:AD149)+$O99,IF(AD$87&gt;$G99,AD149,0)),0)</f>
        <v>0</v>
      </c>
      <c r="AE99" s="181">
        <f>IF(OR(RIGHT($H99,3)="RGT",RIGHT($H99,3)="INC"),IF($G99=AE$87,SUM($S149:AE149)+$O99,IF(AE$87&gt;$G99,AE149,0)),0)</f>
        <v>0</v>
      </c>
      <c r="AF99" s="181">
        <f>IF(OR(RIGHT($H99,3)="RGT",RIGHT($H99,3)="INC"),IF($G99=AF$87,SUM($S149:AF149)+$O99,IF(AF$87&gt;$G99,AF149,0)),0)</f>
        <v>0</v>
      </c>
      <c r="AG99" s="181">
        <f>IF(OR(RIGHT($H99,3)="RGT",RIGHT($H99,3)="INC"),IF($G99=AG$87,SUM($S149:AG149)+$O99,IF(AG$87&gt;$G99,AG149,0)),0)</f>
        <v>0</v>
      </c>
      <c r="AH99" s="181">
        <f>IF(OR(RIGHT($H99,3)="RGT",RIGHT($H99,3)="INC"),IF($G99=AH$87,SUM($S149:AH149)+$O99,IF(AH$87&gt;$G99,AH149,0)),0)</f>
        <v>0</v>
      </c>
      <c r="AI99" s="181">
        <f>IF(OR(RIGHT($H99,3)="RGT",RIGHT($H99,3)="INC"),IF($G99=AI$87,SUM($S149:AI149)+$O99,IF(AI$87&gt;$G99,AI149,0)),0)</f>
        <v>0</v>
      </c>
      <c r="AJ99" s="181">
        <f>IF(OR(RIGHT($H99,3)="RGT",RIGHT($H99,3)="INC"),IF($G99=AJ$87,SUM($S149:AJ149)+$O99,IF(AJ$87&gt;$G99,AJ149,0)),0)</f>
        <v>0</v>
      </c>
      <c r="AK99" s="181">
        <f>IF(OR(RIGHT($H99,3)="RGT",RIGHT($H99,3)="INC"),IF($G99=AK$87,SUM($S149:AK149)+$O99,IF(AK$87&gt;$G99,AK149,0)),0)</f>
        <v>0</v>
      </c>
      <c r="AL99" s="181">
        <f>IF(OR(RIGHT($H99,3)="RGT",RIGHT($H99,3)="INC"),IF($G99=AL$87,SUM($S149:AL149)+$O99,IF(AL$87&gt;$G99,AL149,0)),0)</f>
        <v>0</v>
      </c>
      <c r="AM99" s="181">
        <f>IF(OR(RIGHT($H99,3)="RGT",RIGHT($H99,3)="INC"),IF($G99=AM$87,SUM($S149:AM149)+$O99,IF(AM$87&gt;$G99,AM149,0)),0)</f>
        <v>0</v>
      </c>
      <c r="AN99" s="181">
        <f>IF(OR(RIGHT($H99,3)="RGT",RIGHT($H99,3)="INC"),IF($G99=AN$87,SUM($S149:AN149)+$O99,IF(AN$87&gt;$G99,AN149,0)),0)</f>
        <v>0</v>
      </c>
      <c r="AO99" s="181">
        <f>IF(OR(RIGHT($H99,3)="RGT",RIGHT($H99,3)="INC"),IF($G99=AO$87,SUM($S149:AO149)+$O99,IF(AO$87&gt;$G99,AO149,0)),0)</f>
        <v>0</v>
      </c>
      <c r="AP99" s="182">
        <f>IF(OR(RIGHT($H99,3)="RGT",RIGHT($H99,3)="INC"),IF($G99=AP$87,SUM($S149:AP149)+$O99,IF(AP$87&gt;$G99,AP149,0)),0)</f>
        <v>0</v>
      </c>
    </row>
    <row r="100" spans="1:42" s="183" customFormat="1" x14ac:dyDescent="0.25">
      <c r="A100" s="178" t="str">
        <f t="shared" si="49"/>
        <v>Tehachapi Segments 4-11</v>
      </c>
      <c r="B100" s="179" t="s">
        <v>33</v>
      </c>
      <c r="C100" s="56" t="s">
        <v>184</v>
      </c>
      <c r="D100" s="66" t="s">
        <v>185</v>
      </c>
      <c r="E100" s="58" t="s">
        <v>270</v>
      </c>
      <c r="F100" s="155" t="s">
        <v>70</v>
      </c>
      <c r="G100" s="59">
        <v>40695</v>
      </c>
      <c r="H100" s="60" t="s">
        <v>264</v>
      </c>
      <c r="I100" s="61">
        <v>0</v>
      </c>
      <c r="J100" s="62">
        <v>1</v>
      </c>
      <c r="K100" s="63"/>
      <c r="L100" s="236">
        <v>0</v>
      </c>
      <c r="M100" s="71">
        <f t="shared" si="50"/>
        <v>0.53439000000000003</v>
      </c>
      <c r="N100" s="71">
        <f t="shared" si="51"/>
        <v>0</v>
      </c>
      <c r="O100" s="64">
        <f t="shared" si="52"/>
        <v>0</v>
      </c>
      <c r="P100" s="64">
        <f t="shared" si="53"/>
        <v>0.53439000000000003</v>
      </c>
      <c r="Q100" s="65">
        <f t="shared" si="54"/>
        <v>0</v>
      </c>
      <c r="R100" s="59"/>
      <c r="S100" s="180">
        <f>IF(OR(RIGHT($H100,3)="RGT",RIGHT($H100,3)="INC"),IF($G100=S$87,SUM($S150:S150)+$O100,IF(S$87&gt;$G100,S150,0)),0)</f>
        <v>0.53439000000000003</v>
      </c>
      <c r="T100" s="181">
        <f>IF(OR(RIGHT($H100,3)="RGT",RIGHT($H100,3)="INC"),IF($G100=T$87,SUM($S150:T150)+$O100,IF(T$87&gt;$G100,T150,0)),0)</f>
        <v>0</v>
      </c>
      <c r="U100" s="181">
        <f>IF(OR(RIGHT($H100,3)="RGT",RIGHT($H100,3)="INC"),IF($G100=U$87,SUM($S150:U150)+$O100,IF(U$87&gt;$G100,U150,0)),0)</f>
        <v>0</v>
      </c>
      <c r="V100" s="181">
        <f>IF(OR(RIGHT($H100,3)="RGT",RIGHT($H100,3)="INC"),IF($G100=V$87,SUM($S150:V150)+$O100,IF(V$87&gt;$G100,V150,0)),0)</f>
        <v>0</v>
      </c>
      <c r="W100" s="181">
        <f>IF(OR(RIGHT($H100,3)="RGT",RIGHT($H100,3)="INC"),IF($G100=W$87,SUM($S150:W150)+$O100,IF(W$87&gt;$G100,W150,0)),0)</f>
        <v>0</v>
      </c>
      <c r="X100" s="181">
        <f>IF(OR(RIGHT($H100,3)="RGT",RIGHT($H100,3)="INC"),IF($G100=X$87,SUM($S150:X150)+$O100,IF(X$87&gt;$G100,X150,0)),0)</f>
        <v>0</v>
      </c>
      <c r="Y100" s="181">
        <f>IF(OR(RIGHT($H100,3)="RGT",RIGHT($H100,3)="INC"),IF($G100=Y$87,SUM($S150:Y150)+$O100,IF(Y$87&gt;$G100,Y150,0)),0)</f>
        <v>0</v>
      </c>
      <c r="Z100" s="181">
        <f>IF(OR(RIGHT($H100,3)="RGT",RIGHT($H100,3)="INC"),IF($G100=Z$87,SUM($S150:Z150)+$O100,IF(Z$87&gt;$G100,Z150,0)),0)</f>
        <v>0</v>
      </c>
      <c r="AA100" s="181">
        <f>IF(OR(RIGHT($H100,3)="RGT",RIGHT($H100,3)="INC"),IF($G100=AA$87,SUM($S150:AA150)+$O100,IF(AA$87&gt;$G100,AA150,0)),0)</f>
        <v>0</v>
      </c>
      <c r="AB100" s="181">
        <f>IF(OR(RIGHT($H100,3)="RGT",RIGHT($H100,3)="INC"),IF($G100=AB$87,SUM($S150:AB150)+$O100,IF(AB$87&gt;$G100,AB150,0)),0)</f>
        <v>0</v>
      </c>
      <c r="AC100" s="181">
        <f>IF(OR(RIGHT($H100,3)="RGT",RIGHT($H100,3)="INC"),IF($G100=AC$87,SUM($S150:AC150)+$O100,IF(AC$87&gt;$G100,AC150,0)),0)</f>
        <v>0</v>
      </c>
      <c r="AD100" s="182">
        <f>IF(OR(RIGHT($H100,3)="RGT",RIGHT($H100,3)="INC"),IF($G100=AD$87,SUM($S150:AD150)+$O100,IF(AD$87&gt;$G100,AD150,0)),0)</f>
        <v>0</v>
      </c>
      <c r="AE100" s="181">
        <f>IF(OR(RIGHT($H100,3)="RGT",RIGHT($H100,3)="INC"),IF($G100=AE$87,SUM($S150:AE150)+$O100,IF(AE$87&gt;$G100,AE150,0)),0)</f>
        <v>0</v>
      </c>
      <c r="AF100" s="181">
        <f>IF(OR(RIGHT($H100,3)="RGT",RIGHT($H100,3)="INC"),IF($G100=AF$87,SUM($S150:AF150)+$O100,IF(AF$87&gt;$G100,AF150,0)),0)</f>
        <v>0</v>
      </c>
      <c r="AG100" s="181">
        <f>IF(OR(RIGHT($H100,3)="RGT",RIGHT($H100,3)="INC"),IF($G100=AG$87,SUM($S150:AG150)+$O100,IF(AG$87&gt;$G100,AG150,0)),0)</f>
        <v>0</v>
      </c>
      <c r="AH100" s="181">
        <f>IF(OR(RIGHT($H100,3)="RGT",RIGHT($H100,3)="INC"),IF($G100=AH$87,SUM($S150:AH150)+$O100,IF(AH$87&gt;$G100,AH150,0)),0)</f>
        <v>0</v>
      </c>
      <c r="AI100" s="181">
        <f>IF(OR(RIGHT($H100,3)="RGT",RIGHT($H100,3)="INC"),IF($G100=AI$87,SUM($S150:AI150)+$O100,IF(AI$87&gt;$G100,AI150,0)),0)</f>
        <v>0</v>
      </c>
      <c r="AJ100" s="181">
        <f>IF(OR(RIGHT($H100,3)="RGT",RIGHT($H100,3)="INC"),IF($G100=AJ$87,SUM($S150:AJ150)+$O100,IF(AJ$87&gt;$G100,AJ150,0)),0)</f>
        <v>0</v>
      </c>
      <c r="AK100" s="181">
        <f>IF(OR(RIGHT($H100,3)="RGT",RIGHT($H100,3)="INC"),IF($G100=AK$87,SUM($S150:AK150)+$O100,IF(AK$87&gt;$G100,AK150,0)),0)</f>
        <v>0</v>
      </c>
      <c r="AL100" s="181">
        <f>IF(OR(RIGHT($H100,3)="RGT",RIGHT($H100,3)="INC"),IF($G100=AL$87,SUM($S150:AL150)+$O100,IF(AL$87&gt;$G100,AL150,0)),0)</f>
        <v>0</v>
      </c>
      <c r="AM100" s="181">
        <f>IF(OR(RIGHT($H100,3)="RGT",RIGHT($H100,3)="INC"),IF($G100=AM$87,SUM($S150:AM150)+$O100,IF(AM$87&gt;$G100,AM150,0)),0)</f>
        <v>0</v>
      </c>
      <c r="AN100" s="181">
        <f>IF(OR(RIGHT($H100,3)="RGT",RIGHT($H100,3)="INC"),IF($G100=AN$87,SUM($S150:AN150)+$O100,IF(AN$87&gt;$G100,AN150,0)),0)</f>
        <v>0</v>
      </c>
      <c r="AO100" s="181">
        <f>IF(OR(RIGHT($H100,3)="RGT",RIGHT($H100,3)="INC"),IF($G100=AO$87,SUM($S150:AO150)+$O100,IF(AO$87&gt;$G100,AO150,0)),0)</f>
        <v>0</v>
      </c>
      <c r="AP100" s="182">
        <f>IF(OR(RIGHT($H100,3)="RGT",RIGHT($H100,3)="INC"),IF($G100=AP$87,SUM($S150:AP150)+$O100,IF(AP$87&gt;$G100,AP150,0)),0)</f>
        <v>0</v>
      </c>
    </row>
    <row r="101" spans="1:42" s="183" customFormat="1" x14ac:dyDescent="0.25">
      <c r="A101" s="178" t="str">
        <f t="shared" si="49"/>
        <v>Tehachapi Segments 4-11</v>
      </c>
      <c r="B101" s="179" t="s">
        <v>33</v>
      </c>
      <c r="C101" s="56" t="s">
        <v>186</v>
      </c>
      <c r="D101" s="66" t="s">
        <v>187</v>
      </c>
      <c r="E101" s="58" t="s">
        <v>270</v>
      </c>
      <c r="F101" s="155" t="s">
        <v>70</v>
      </c>
      <c r="G101" s="59">
        <v>42125</v>
      </c>
      <c r="H101" s="60" t="s">
        <v>264</v>
      </c>
      <c r="I101" s="61">
        <v>0</v>
      </c>
      <c r="J101" s="62">
        <v>1</v>
      </c>
      <c r="K101" s="237">
        <v>800218645</v>
      </c>
      <c r="L101" s="236">
        <v>372601.56187999994</v>
      </c>
      <c r="M101" s="71">
        <f t="shared" si="50"/>
        <v>40256.725522179993</v>
      </c>
      <c r="N101" s="71">
        <f t="shared" si="51"/>
        <v>700</v>
      </c>
      <c r="O101" s="64">
        <f t="shared" si="52"/>
        <v>372601.56187999994</v>
      </c>
      <c r="P101" s="64">
        <f t="shared" si="53"/>
        <v>40256.725522179993</v>
      </c>
      <c r="Q101" s="65">
        <f t="shared" si="54"/>
        <v>700</v>
      </c>
      <c r="R101" s="59"/>
      <c r="S101" s="180">
        <f>IF(OR(RIGHT($H101,3)="RGT",RIGHT($H101,3)="INC"),IF($G101=S$87,SUM($S151:S151)+$O101,IF(S$87&gt;$G101,S151,0)),0)</f>
        <v>0</v>
      </c>
      <c r="T101" s="181">
        <f>IF(OR(RIGHT($H101,3)="RGT",RIGHT($H101,3)="INC"),IF($G101=T$87,SUM($S151:T151)+$O101,IF(T$87&gt;$G101,T151,0)),0)</f>
        <v>0</v>
      </c>
      <c r="U101" s="181">
        <f>IF(OR(RIGHT($H101,3)="RGT",RIGHT($H101,3)="INC"),IF($G101=U$87,SUM($S151:U151)+$O101,IF(U$87&gt;$G101,U151,0)),0)</f>
        <v>0</v>
      </c>
      <c r="V101" s="181">
        <f>IF(OR(RIGHT($H101,3)="RGT",RIGHT($H101,3)="INC"),IF($G101=V$87,SUM($S151:V151)+$O101,IF(V$87&gt;$G101,V151,0)),0)</f>
        <v>0</v>
      </c>
      <c r="W101" s="181">
        <f>IF(OR(RIGHT($H101,3)="RGT",RIGHT($H101,3)="INC"),IF($G101=W$87,SUM($S151:W151)+$O101,IF(W$87&gt;$G101,W151,0)),0)</f>
        <v>390457.30764709995</v>
      </c>
      <c r="X101" s="181">
        <f>IF(OR(RIGHT($H101,3)="RGT",RIGHT($H101,3)="INC"),IF($G101=X$87,SUM($S151:X151)+$O101,IF(X$87&gt;$G101,X151,0)),0)</f>
        <v>5290.2718347999999</v>
      </c>
      <c r="Y101" s="181">
        <f>IF(OR(RIGHT($H101,3)="RGT",RIGHT($H101,3)="INC"),IF($G101=Y$87,SUM($S151:Y151)+$O101,IF(Y$87&gt;$G101,Y151,0)),0)</f>
        <v>1161.1539768</v>
      </c>
      <c r="Z101" s="181">
        <f>IF(OR(RIGHT($H101,3)="RGT",RIGHT($H101,3)="INC"),IF($G101=Z$87,SUM($S151:Z151)+$O101,IF(Z$87&gt;$G101,Z151,0)),0)</f>
        <v>1112.4277892</v>
      </c>
      <c r="AA101" s="181">
        <f>IF(OR(RIGHT($H101,3)="RGT",RIGHT($H101,3)="INC"),IF($G101=AA$87,SUM($S151:AA151)+$O101,IF(AA$87&gt;$G101,AA151,0)),0)</f>
        <v>1005</v>
      </c>
      <c r="AB101" s="181">
        <f>IF(OR(RIGHT($H101,3)="RGT",RIGHT($H101,3)="INC"),IF($G101=AB$87,SUM($S151:AB151)+$O101,IF(AB$87&gt;$G101,AB151,0)),0)</f>
        <v>1005</v>
      </c>
      <c r="AC101" s="181">
        <f>IF(OR(RIGHT($H101,3)="RGT",RIGHT($H101,3)="INC"),IF($G101=AC$87,SUM($S151:AC151)+$O101,IF(AC$87&gt;$G101,AC151,0)),0)</f>
        <v>1005</v>
      </c>
      <c r="AD101" s="182">
        <f>IF(OR(RIGHT($H101,3)="RGT",RIGHT($H101,3)="INC"),IF($G101=AD$87,SUM($S151:AD151)+$O101,IF(AD$87&gt;$G101,AD151,0)),0)</f>
        <v>11822.12615428</v>
      </c>
      <c r="AE101" s="181">
        <f>IF(OR(RIGHT($H101,3)="RGT",RIGHT($H101,3)="INC"),IF($G101=AE$87,SUM($S151:AE151)+$O101,IF(AE$87&gt;$G101,AE151,0)),0)</f>
        <v>70</v>
      </c>
      <c r="AF101" s="181">
        <f>IF(OR(RIGHT($H101,3)="RGT",RIGHT($H101,3)="INC"),IF($G101=AF$87,SUM($S151:AF151)+$O101,IF(AF$87&gt;$G101,AF151,0)),0)</f>
        <v>70</v>
      </c>
      <c r="AG101" s="181">
        <f>IF(OR(RIGHT($H101,3)="RGT",RIGHT($H101,3)="INC"),IF($G101=AG$87,SUM($S151:AG151)+$O101,IF(AG$87&gt;$G101,AG151,0)),0)</f>
        <v>70</v>
      </c>
      <c r="AH101" s="181">
        <f>IF(OR(RIGHT($H101,3)="RGT",RIGHT($H101,3)="INC"),IF($G101=AH$87,SUM($S151:AH151)+$O101,IF(AH$87&gt;$G101,AH151,0)),0)</f>
        <v>70</v>
      </c>
      <c r="AI101" s="181">
        <f>IF(OR(RIGHT($H101,3)="RGT",RIGHT($H101,3)="INC"),IF($G101=AI$87,SUM($S151:AI151)+$O101,IF(AI$87&gt;$G101,AI151,0)),0)</f>
        <v>70</v>
      </c>
      <c r="AJ101" s="181">
        <f>IF(OR(RIGHT($H101,3)="RGT",RIGHT($H101,3)="INC"),IF($G101=AJ$87,SUM($S151:AJ151)+$O101,IF(AJ$87&gt;$G101,AJ151,0)),0)</f>
        <v>70</v>
      </c>
      <c r="AK101" s="181">
        <f>IF(OR(RIGHT($H101,3)="RGT",RIGHT($H101,3)="INC"),IF($G101=AK$87,SUM($S151:AK151)+$O101,IF(AK$87&gt;$G101,AK151,0)),0)</f>
        <v>70</v>
      </c>
      <c r="AL101" s="181">
        <f>IF(OR(RIGHT($H101,3)="RGT",RIGHT($H101,3)="INC"),IF($G101=AL$87,SUM($S151:AL151)+$O101,IF(AL$87&gt;$G101,AL151,0)),0)</f>
        <v>70</v>
      </c>
      <c r="AM101" s="181">
        <f>IF(OR(RIGHT($H101,3)="RGT",RIGHT($H101,3)="INC"),IF($G101=AM$87,SUM($S151:AM151)+$O101,IF(AM$87&gt;$G101,AM151,0)),0)</f>
        <v>70</v>
      </c>
      <c r="AN101" s="181">
        <f>IF(OR(RIGHT($H101,3)="RGT",RIGHT($H101,3)="INC"),IF($G101=AN$87,SUM($S151:AN151)+$O101,IF(AN$87&gt;$G101,AN151,0)),0)</f>
        <v>70</v>
      </c>
      <c r="AO101" s="181">
        <f>IF(OR(RIGHT($H101,3)="RGT",RIGHT($H101,3)="INC"),IF($G101=AO$87,SUM($S151:AO151)+$O101,IF(AO$87&gt;$G101,AO151,0)),0)</f>
        <v>0</v>
      </c>
      <c r="AP101" s="182">
        <f>IF(OR(RIGHT($H101,3)="RGT",RIGHT($H101,3)="INC"),IF($G101=AP$87,SUM($S151:AP151)+$O101,IF(AP$87&gt;$G101,AP151,0)),0)</f>
        <v>0</v>
      </c>
    </row>
    <row r="102" spans="1:42" s="183" customFormat="1" x14ac:dyDescent="0.25">
      <c r="A102" s="178" t="str">
        <f t="shared" si="49"/>
        <v>Tehachapi Segments 4-11</v>
      </c>
      <c r="B102" s="179" t="s">
        <v>33</v>
      </c>
      <c r="C102" s="56" t="s">
        <v>188</v>
      </c>
      <c r="D102" s="66" t="s">
        <v>189</v>
      </c>
      <c r="E102" s="58" t="s">
        <v>270</v>
      </c>
      <c r="F102" s="155" t="s">
        <v>70</v>
      </c>
      <c r="G102" s="59" t="s">
        <v>297</v>
      </c>
      <c r="H102" s="60" t="s">
        <v>264</v>
      </c>
      <c r="I102" s="61">
        <v>0</v>
      </c>
      <c r="J102" s="62">
        <v>1</v>
      </c>
      <c r="K102" s="237">
        <v>800375079</v>
      </c>
      <c r="L102" s="285">
        <f>18.84527*0</f>
        <v>0</v>
      </c>
      <c r="M102" s="71">
        <f t="shared" si="50"/>
        <v>0</v>
      </c>
      <c r="N102" s="71">
        <f t="shared" si="51"/>
        <v>0</v>
      </c>
      <c r="O102" s="64">
        <f t="shared" si="52"/>
        <v>0</v>
      </c>
      <c r="P102" s="64">
        <f t="shared" si="53"/>
        <v>0</v>
      </c>
      <c r="Q102" s="65">
        <f t="shared" si="54"/>
        <v>0</v>
      </c>
      <c r="R102" s="59"/>
      <c r="S102" s="180">
        <f>IF(OR(RIGHT($H102,3)="RGT",RIGHT($H102,3)="INC"),IF($G102=S$87,SUM($S152:S152)+$O102,IF(S$87&gt;$G102,S152,0)),0)</f>
        <v>0</v>
      </c>
      <c r="T102" s="181">
        <f>IF(OR(RIGHT($H102,3)="RGT",RIGHT($H102,3)="INC"),IF($G102=T$87,SUM($S152:T152)+$O102,IF(T$87&gt;$G102,T152,0)),0)</f>
        <v>0</v>
      </c>
      <c r="U102" s="181">
        <f>IF(OR(RIGHT($H102,3)="RGT",RIGHT($H102,3)="INC"),IF($G102=U$87,SUM($S152:U152)+$O102,IF(U$87&gt;$G102,U152,0)),0)</f>
        <v>0</v>
      </c>
      <c r="V102" s="181">
        <f>IF(OR(RIGHT($H102,3)="RGT",RIGHT($H102,3)="INC"),IF($G102=V$87,SUM($S152:V152)+$O102,IF(V$87&gt;$G102,V152,0)),0)</f>
        <v>0</v>
      </c>
      <c r="W102" s="181">
        <f>IF(OR(RIGHT($H102,3)="RGT",RIGHT($H102,3)="INC"),IF($G102=W$87,SUM($S152:W152)+$O102,IF(W$87&gt;$G102,W152,0)),0)</f>
        <v>0</v>
      </c>
      <c r="X102" s="181">
        <f>IF(OR(RIGHT($H102,3)="RGT",RIGHT($H102,3)="INC"),IF($G102=X$87,SUM($S152:X152)+$O102,IF(X$87&gt;$G102,X152,0)),0)</f>
        <v>0</v>
      </c>
      <c r="Y102" s="181">
        <f>IF(OR(RIGHT($H102,3)="RGT",RIGHT($H102,3)="INC"),IF($G102=Y$87,SUM($S152:Y152)+$O102,IF(Y$87&gt;$G102,Y152,0)),0)</f>
        <v>0</v>
      </c>
      <c r="Z102" s="181">
        <f>IF(OR(RIGHT($H102,3)="RGT",RIGHT($H102,3)="INC"),IF($G102=Z$87,SUM($S152:Z152)+$O102,IF(Z$87&gt;$G102,Z152,0)),0)</f>
        <v>0</v>
      </c>
      <c r="AA102" s="181">
        <f>IF(OR(RIGHT($H102,3)="RGT",RIGHT($H102,3)="INC"),IF($G102=AA$87,SUM($S152:AA152)+$O102,IF(AA$87&gt;$G102,AA152,0)),0)</f>
        <v>0</v>
      </c>
      <c r="AB102" s="181">
        <f>IF(OR(RIGHT($H102,3)="RGT",RIGHT($H102,3)="INC"),IF($G102=AB$87,SUM($S152:AB152)+$O102,IF(AB$87&gt;$G102,AB152,0)),0)</f>
        <v>0</v>
      </c>
      <c r="AC102" s="181">
        <f>IF(OR(RIGHT($H102,3)="RGT",RIGHT($H102,3)="INC"),IF($G102=AC$87,SUM($S152:AC152)+$O102,IF(AC$87&gt;$G102,AC152,0)),0)</f>
        <v>0</v>
      </c>
      <c r="AD102" s="182">
        <f>IF(OR(RIGHT($H102,3)="RGT",RIGHT($H102,3)="INC"),IF($G102=AD$87,SUM($S152:AD152)+$O102,IF(AD$87&gt;$G102,AD152,0)),0)</f>
        <v>0</v>
      </c>
      <c r="AE102" s="181">
        <f>IF(OR(RIGHT($H102,3)="RGT",RIGHT($H102,3)="INC"),IF($G102=AE$87,SUM($S152:AE152)+$O102,IF(AE$87&gt;$G102,AE152,0)),0)</f>
        <v>0</v>
      </c>
      <c r="AF102" s="181">
        <f>IF(OR(RIGHT($H102,3)="RGT",RIGHT($H102,3)="INC"),IF($G102=AF$87,SUM($S152:AF152)+$O102,IF(AF$87&gt;$G102,AF152,0)),0)</f>
        <v>0</v>
      </c>
      <c r="AG102" s="181">
        <f>IF(OR(RIGHT($H102,3)="RGT",RIGHT($H102,3)="INC"),IF($G102=AG$87,SUM($S152:AG152)+$O102,IF(AG$87&gt;$G102,AG152,0)),0)</f>
        <v>0</v>
      </c>
      <c r="AH102" s="181">
        <f>IF(OR(RIGHT($H102,3)="RGT",RIGHT($H102,3)="INC"),IF($G102=AH$87,SUM($S152:AH152)+$O102,IF(AH$87&gt;$G102,AH152,0)),0)</f>
        <v>0</v>
      </c>
      <c r="AI102" s="181">
        <f>IF(OR(RIGHT($H102,3)="RGT",RIGHT($H102,3)="INC"),IF($G102=AI$87,SUM($S152:AI152)+$O102,IF(AI$87&gt;$G102,AI152,0)),0)</f>
        <v>0</v>
      </c>
      <c r="AJ102" s="181">
        <f>IF(OR(RIGHT($H102,3)="RGT",RIGHT($H102,3)="INC"),IF($G102=AJ$87,SUM($S152:AJ152)+$O102,IF(AJ$87&gt;$G102,AJ152,0)),0)</f>
        <v>0</v>
      </c>
      <c r="AK102" s="181">
        <f>IF(OR(RIGHT($H102,3)="RGT",RIGHT($H102,3)="INC"),IF($G102=AK$87,SUM($S152:AK152)+$O102,IF(AK$87&gt;$G102,AK152,0)),0)</f>
        <v>0</v>
      </c>
      <c r="AL102" s="181">
        <f>IF(OR(RIGHT($H102,3)="RGT",RIGHT($H102,3)="INC"),IF($G102=AL$87,SUM($S152:AL152)+$O102,IF(AL$87&gt;$G102,AL152,0)),0)</f>
        <v>0</v>
      </c>
      <c r="AM102" s="181">
        <f>IF(OR(RIGHT($H102,3)="RGT",RIGHT($H102,3)="INC"),IF($G102=AM$87,SUM($S152:AM152)+$O102,IF(AM$87&gt;$G102,AM152,0)),0)</f>
        <v>0</v>
      </c>
      <c r="AN102" s="181">
        <f>IF(OR(RIGHT($H102,3)="RGT",RIGHT($H102,3)="INC"),IF($G102=AN$87,SUM($S152:AN152)+$O102,IF(AN$87&gt;$G102,AN152,0)),0)</f>
        <v>0</v>
      </c>
      <c r="AO102" s="181">
        <f>IF(OR(RIGHT($H102,3)="RGT",RIGHT($H102,3)="INC"),IF($G102=AO$87,SUM($S152:AO152)+$O102,IF(AO$87&gt;$G102,AO152,0)),0)</f>
        <v>0</v>
      </c>
      <c r="AP102" s="182">
        <f>IF(OR(RIGHT($H102,3)="RGT",RIGHT($H102,3)="INC"),IF($G102=AP$87,SUM($S152:AP152)+$O102,IF(AP$87&gt;$G102,AP152,0)),0)</f>
        <v>0</v>
      </c>
    </row>
    <row r="103" spans="1:42" s="183" customFormat="1" x14ac:dyDescent="0.25">
      <c r="A103" s="178" t="str">
        <f t="shared" si="49"/>
        <v>Tehachapi Segments 4-11</v>
      </c>
      <c r="B103" s="179" t="s">
        <v>33</v>
      </c>
      <c r="C103" s="56" t="s">
        <v>190</v>
      </c>
      <c r="D103" s="66" t="s">
        <v>191</v>
      </c>
      <c r="E103" s="58" t="s">
        <v>270</v>
      </c>
      <c r="F103" s="155" t="s">
        <v>70</v>
      </c>
      <c r="G103" s="59">
        <v>41852</v>
      </c>
      <c r="H103" s="60" t="s">
        <v>264</v>
      </c>
      <c r="I103" s="61">
        <v>0</v>
      </c>
      <c r="J103" s="62">
        <v>1</v>
      </c>
      <c r="K103" s="237">
        <v>800051911</v>
      </c>
      <c r="L103" s="236">
        <v>0</v>
      </c>
      <c r="M103" s="71">
        <f t="shared" si="50"/>
        <v>0</v>
      </c>
      <c r="N103" s="71">
        <f t="shared" si="51"/>
        <v>0</v>
      </c>
      <c r="O103" s="64">
        <f t="shared" si="52"/>
        <v>0</v>
      </c>
      <c r="P103" s="64">
        <f t="shared" si="53"/>
        <v>0</v>
      </c>
      <c r="Q103" s="65">
        <f t="shared" si="54"/>
        <v>0</v>
      </c>
      <c r="R103" s="59"/>
      <c r="S103" s="180">
        <f>IF(OR(RIGHT($H103,3)="RGT",RIGHT($H103,3)="INC"),IF($G103=S$87,SUM($S153:S153)+$O103,IF(S$87&gt;$G103,S153,0)),0)</f>
        <v>0</v>
      </c>
      <c r="T103" s="181">
        <f>IF(OR(RIGHT($H103,3)="RGT",RIGHT($H103,3)="INC"),IF($G103=T$87,SUM($S153:T153)+$O103,IF(T$87&gt;$G103,T153,0)),0)</f>
        <v>0</v>
      </c>
      <c r="U103" s="181">
        <f>IF(OR(RIGHT($H103,3)="RGT",RIGHT($H103,3)="INC"),IF($G103=U$87,SUM($S153:U153)+$O103,IF(U$87&gt;$G103,U153,0)),0)</f>
        <v>0</v>
      </c>
      <c r="V103" s="181">
        <f>IF(OR(RIGHT($H103,3)="RGT",RIGHT($H103,3)="INC"),IF($G103=V$87,SUM($S153:V153)+$O103,IF(V$87&gt;$G103,V153,0)),0)</f>
        <v>0</v>
      </c>
      <c r="W103" s="181">
        <f>IF(OR(RIGHT($H103,3)="RGT",RIGHT($H103,3)="INC"),IF($G103=W$87,SUM($S153:W153)+$O103,IF(W$87&gt;$G103,W153,0)),0)</f>
        <v>0</v>
      </c>
      <c r="X103" s="181">
        <f>IF(OR(RIGHT($H103,3)="RGT",RIGHT($H103,3)="INC"),IF($G103=X$87,SUM($S153:X153)+$O103,IF(X$87&gt;$G103,X153,0)),0)</f>
        <v>0</v>
      </c>
      <c r="Y103" s="181">
        <f>IF(OR(RIGHT($H103,3)="RGT",RIGHT($H103,3)="INC"),IF($G103=Y$87,SUM($S153:Y153)+$O103,IF(Y$87&gt;$G103,Y153,0)),0)</f>
        <v>0</v>
      </c>
      <c r="Z103" s="181">
        <f>IF(OR(RIGHT($H103,3)="RGT",RIGHT($H103,3)="INC"),IF($G103=Z$87,SUM($S153:Z153)+$O103,IF(Z$87&gt;$G103,Z153,0)),0)</f>
        <v>0</v>
      </c>
      <c r="AA103" s="181">
        <f>IF(OR(RIGHT($H103,3)="RGT",RIGHT($H103,3)="INC"),IF($G103=AA$87,SUM($S153:AA153)+$O103,IF(AA$87&gt;$G103,AA153,0)),0)</f>
        <v>0</v>
      </c>
      <c r="AB103" s="181">
        <f>IF(OR(RIGHT($H103,3)="RGT",RIGHT($H103,3)="INC"),IF($G103=AB$87,SUM($S153:AB153)+$O103,IF(AB$87&gt;$G103,AB153,0)),0)</f>
        <v>0</v>
      </c>
      <c r="AC103" s="181">
        <f>IF(OR(RIGHT($H103,3)="RGT",RIGHT($H103,3)="INC"),IF($G103=AC$87,SUM($S153:AC153)+$O103,IF(AC$87&gt;$G103,AC153,0)),0)</f>
        <v>0</v>
      </c>
      <c r="AD103" s="182">
        <f>IF(OR(RIGHT($H103,3)="RGT",RIGHT($H103,3)="INC"),IF($G103=AD$87,SUM($S153:AD153)+$O103,IF(AD$87&gt;$G103,AD153,0)),0)</f>
        <v>0</v>
      </c>
      <c r="AE103" s="181">
        <f>IF(OR(RIGHT($H103,3)="RGT",RIGHT($H103,3)="INC"),IF($G103=AE$87,SUM($S153:AE153)+$O103,IF(AE$87&gt;$G103,AE153,0)),0)</f>
        <v>0</v>
      </c>
      <c r="AF103" s="181">
        <f>IF(OR(RIGHT($H103,3)="RGT",RIGHT($H103,3)="INC"),IF($G103=AF$87,SUM($S153:AF153)+$O103,IF(AF$87&gt;$G103,AF153,0)),0)</f>
        <v>0</v>
      </c>
      <c r="AG103" s="181">
        <f>IF(OR(RIGHT($H103,3)="RGT",RIGHT($H103,3)="INC"),IF($G103=AG$87,SUM($S153:AG153)+$O103,IF(AG$87&gt;$G103,AG153,0)),0)</f>
        <v>0</v>
      </c>
      <c r="AH103" s="181">
        <f>IF(OR(RIGHT($H103,3)="RGT",RIGHT($H103,3)="INC"),IF($G103=AH$87,SUM($S153:AH153)+$O103,IF(AH$87&gt;$G103,AH153,0)),0)</f>
        <v>0</v>
      </c>
      <c r="AI103" s="181">
        <f>IF(OR(RIGHT($H103,3)="RGT",RIGHT($H103,3)="INC"),IF($G103=AI$87,SUM($S153:AI153)+$O103,IF(AI$87&gt;$G103,AI153,0)),0)</f>
        <v>0</v>
      </c>
      <c r="AJ103" s="181">
        <f>IF(OR(RIGHT($H103,3)="RGT",RIGHT($H103,3)="INC"),IF($G103=AJ$87,SUM($S153:AJ153)+$O103,IF(AJ$87&gt;$G103,AJ153,0)),0)</f>
        <v>0</v>
      </c>
      <c r="AK103" s="181">
        <f>IF(OR(RIGHT($H103,3)="RGT",RIGHT($H103,3)="INC"),IF($G103=AK$87,SUM($S153:AK153)+$O103,IF(AK$87&gt;$G103,AK153,0)),0)</f>
        <v>0</v>
      </c>
      <c r="AL103" s="181">
        <f>IF(OR(RIGHT($H103,3)="RGT",RIGHT($H103,3)="INC"),IF($G103=AL$87,SUM($S153:AL153)+$O103,IF(AL$87&gt;$G103,AL153,0)),0)</f>
        <v>0</v>
      </c>
      <c r="AM103" s="181">
        <f>IF(OR(RIGHT($H103,3)="RGT",RIGHT($H103,3)="INC"),IF($G103=AM$87,SUM($S153:AM153)+$O103,IF(AM$87&gt;$G103,AM153,0)),0)</f>
        <v>0</v>
      </c>
      <c r="AN103" s="181">
        <f>IF(OR(RIGHT($H103,3)="RGT",RIGHT($H103,3)="INC"),IF($G103=AN$87,SUM($S153:AN153)+$O103,IF(AN$87&gt;$G103,AN153,0)),0)</f>
        <v>0</v>
      </c>
      <c r="AO103" s="181">
        <f>IF(OR(RIGHT($H103,3)="RGT",RIGHT($H103,3)="INC"),IF($G103=AO$87,SUM($S153:AO153)+$O103,IF(AO$87&gt;$G103,AO153,0)),0)</f>
        <v>0</v>
      </c>
      <c r="AP103" s="182">
        <f>IF(OR(RIGHT($H103,3)="RGT",RIGHT($H103,3)="INC"),IF($G103=AP$87,SUM($S153:AP153)+$O103,IF(AP$87&gt;$G103,AP153,0)),0)</f>
        <v>0</v>
      </c>
    </row>
    <row r="104" spans="1:42" s="183" customFormat="1" x14ac:dyDescent="0.25">
      <c r="A104" s="178" t="str">
        <f t="shared" si="49"/>
        <v>Tehachapi Segments 4-11</v>
      </c>
      <c r="B104" s="179" t="s">
        <v>33</v>
      </c>
      <c r="C104" s="56" t="s">
        <v>192</v>
      </c>
      <c r="D104" s="66" t="s">
        <v>298</v>
      </c>
      <c r="E104" s="58" t="s">
        <v>271</v>
      </c>
      <c r="F104" s="155" t="s">
        <v>70</v>
      </c>
      <c r="G104" s="59">
        <v>42644</v>
      </c>
      <c r="H104" s="60" t="s">
        <v>264</v>
      </c>
      <c r="I104" s="61">
        <v>0</v>
      </c>
      <c r="J104" s="62">
        <v>1</v>
      </c>
      <c r="K104" s="237">
        <v>900610533</v>
      </c>
      <c r="L104" s="236">
        <v>35890.656670000004</v>
      </c>
      <c r="M104" s="71">
        <f t="shared" si="50"/>
        <v>127680.36551000002</v>
      </c>
      <c r="N104" s="71">
        <f t="shared" si="51"/>
        <v>96850.08004999996</v>
      </c>
      <c r="O104" s="64">
        <f t="shared" si="52"/>
        <v>35890.656670000004</v>
      </c>
      <c r="P104" s="64">
        <f t="shared" si="53"/>
        <v>127680.36551000002</v>
      </c>
      <c r="Q104" s="65">
        <f t="shared" si="54"/>
        <v>96850.08004999996</v>
      </c>
      <c r="R104" s="59"/>
      <c r="S104" s="180">
        <f>IF(OR(RIGHT($H104,3)="RGT",RIGHT($H104,3)="INC"),IF($G104=S$87,SUM($S154:S154)+$O104,IF(S$87&gt;$G104,S154,0)),0)</f>
        <v>0</v>
      </c>
      <c r="T104" s="181">
        <f>IF(OR(RIGHT($H104,3)="RGT",RIGHT($H104,3)="INC"),IF($G104=T$87,SUM($S154:T154)+$O104,IF(T$87&gt;$G104,T154,0)),0)</f>
        <v>0</v>
      </c>
      <c r="U104" s="181">
        <f>IF(OR(RIGHT($H104,3)="RGT",RIGHT($H104,3)="INC"),IF($G104=U$87,SUM($S154:U154)+$O104,IF(U$87&gt;$G104,U154,0)),0)</f>
        <v>0</v>
      </c>
      <c r="V104" s="181">
        <f>IF(OR(RIGHT($H104,3)="RGT",RIGHT($H104,3)="INC"),IF($G104=V$87,SUM($S154:V154)+$O104,IF(V$87&gt;$G104,V154,0)),0)</f>
        <v>0</v>
      </c>
      <c r="W104" s="181">
        <f>IF(OR(RIGHT($H104,3)="RGT",RIGHT($H104,3)="INC"),IF($G104=W$87,SUM($S154:W154)+$O104,IF(W$87&gt;$G104,W154,0)),0)</f>
        <v>0</v>
      </c>
      <c r="X104" s="181">
        <f>IF(OR(RIGHT($H104,3)="RGT",RIGHT($H104,3)="INC"),IF($G104=X$87,SUM($S154:X154)+$O104,IF(X$87&gt;$G104,X154,0)),0)</f>
        <v>0</v>
      </c>
      <c r="Y104" s="181">
        <f>IF(OR(RIGHT($H104,3)="RGT",RIGHT($H104,3)="INC"),IF($G104=Y$87,SUM($S154:Y154)+$O104,IF(Y$87&gt;$G104,Y154,0)),0)</f>
        <v>0</v>
      </c>
      <c r="Z104" s="181">
        <f>IF(OR(RIGHT($H104,3)="RGT",RIGHT($H104,3)="INC"),IF($G104=Z$87,SUM($S154:Z154)+$O104,IF(Z$87&gt;$G104,Z154,0)),0)</f>
        <v>0</v>
      </c>
      <c r="AA104" s="181">
        <f>IF(OR(RIGHT($H104,3)="RGT",RIGHT($H104,3)="INC"),IF($G104=AA$87,SUM($S154:AA154)+$O104,IF(AA$87&gt;$G104,AA154,0)),0)</f>
        <v>0</v>
      </c>
      <c r="AB104" s="181">
        <f>IF(OR(RIGHT($H104,3)="RGT",RIGHT($H104,3)="INC"),IF($G104=AB$87,SUM($S154:AB154)+$O104,IF(AB$87&gt;$G104,AB154,0)),0)</f>
        <v>0</v>
      </c>
      <c r="AC104" s="181">
        <f>IF(OR(RIGHT($H104,3)="RGT",RIGHT($H104,3)="INC"),IF($G104=AC$87,SUM($S154:AC154)+$O104,IF(AC$87&gt;$G104,AC154,0)),0)</f>
        <v>0</v>
      </c>
      <c r="AD104" s="182">
        <f>IF(OR(RIGHT($H104,3)="RGT",RIGHT($H104,3)="INC"),IF($G104=AD$87,SUM($S154:AD154)+$O104,IF(AD$87&gt;$G104,AD154,0)),0)</f>
        <v>0</v>
      </c>
      <c r="AE104" s="181">
        <f>IF(OR(RIGHT($H104,3)="RGT",RIGHT($H104,3)="INC"),IF($G104=AE$87,SUM($S154:AE154)+$O104,IF(AE$87&gt;$G104,AE154,0)),0)</f>
        <v>0</v>
      </c>
      <c r="AF104" s="181">
        <f>IF(OR(RIGHT($H104,3)="RGT",RIGHT($H104,3)="INC"),IF($G104=AF$87,SUM($S154:AF154)+$O104,IF(AF$87&gt;$G104,AF154,0)),0)</f>
        <v>0</v>
      </c>
      <c r="AG104" s="181">
        <f>IF(OR(RIGHT($H104,3)="RGT",RIGHT($H104,3)="INC"),IF($G104=AG$87,SUM($S154:AG154)+$O104,IF(AG$87&gt;$G104,AG154,0)),0)</f>
        <v>0</v>
      </c>
      <c r="AH104" s="181">
        <f>IF(OR(RIGHT($H104,3)="RGT",RIGHT($H104,3)="INC"),IF($G104=AH$87,SUM($S154:AH154)+$O104,IF(AH$87&gt;$G104,AH154,0)),0)</f>
        <v>0</v>
      </c>
      <c r="AI104" s="181">
        <f>IF(OR(RIGHT($H104,3)="RGT",RIGHT($H104,3)="INC"),IF($G104=AI$87,SUM($S154:AI154)+$O104,IF(AI$87&gt;$G104,AI154,0)),0)</f>
        <v>0</v>
      </c>
      <c r="AJ104" s="181">
        <f>IF(OR(RIGHT($H104,3)="RGT",RIGHT($H104,3)="INC"),IF($G104=AJ$87,SUM($S154:AJ154)+$O104,IF(AJ$87&gt;$G104,AJ154,0)),0)</f>
        <v>0</v>
      </c>
      <c r="AK104" s="181">
        <f>IF(OR(RIGHT($H104,3)="RGT",RIGHT($H104,3)="INC"),IF($G104=AK$87,SUM($S154:AK154)+$O104,IF(AK$87&gt;$G104,AK154,0)),0)</f>
        <v>0</v>
      </c>
      <c r="AL104" s="181">
        <f>IF(OR(RIGHT($H104,3)="RGT",RIGHT($H104,3)="INC"),IF($G104=AL$87,SUM($S154:AL154)+$O104,IF(AL$87&gt;$G104,AL154,0)),0)</f>
        <v>0</v>
      </c>
      <c r="AM104" s="181">
        <f>IF(OR(RIGHT($H104,3)="RGT",RIGHT($H104,3)="INC"),IF($G104=AM$87,SUM($S154:AM154)+$O104,IF(AM$87&gt;$G104,AM154,0)),0)</f>
        <v>0</v>
      </c>
      <c r="AN104" s="181">
        <f>IF(OR(RIGHT($H104,3)="RGT",RIGHT($H104,3)="INC"),IF($G104=AN$87,SUM($S154:AN154)+$O104,IF(AN$87&gt;$G104,AN154,0)),0)</f>
        <v>254907.21622000009</v>
      </c>
      <c r="AO104" s="181">
        <f>IF(OR(RIGHT($H104,3)="RGT",RIGHT($H104,3)="INC"),IF($G104=AO$87,SUM($S154:AO154)+$O104,IF(AO$87&gt;$G104,AO154,0)),0)</f>
        <v>2751.9430050000001</v>
      </c>
      <c r="AP104" s="182">
        <f>IF(OR(RIGHT($H104,3)="RGT",RIGHT($H104,3)="INC"),IF($G104=AP$87,SUM($S154:AP154)+$O104,IF(AP$87&gt;$G104,AP154,0)),0)</f>
        <v>2761.9430050000001</v>
      </c>
    </row>
    <row r="105" spans="1:42" s="183" customFormat="1" x14ac:dyDescent="0.25">
      <c r="A105" s="178" t="str">
        <f t="shared" si="49"/>
        <v>Tehachapi Segments 4-11</v>
      </c>
      <c r="B105" s="179" t="s">
        <v>33</v>
      </c>
      <c r="C105" s="56" t="s">
        <v>193</v>
      </c>
      <c r="D105" s="66" t="s">
        <v>194</v>
      </c>
      <c r="E105" s="58" t="s">
        <v>271</v>
      </c>
      <c r="F105" s="155" t="s">
        <v>70</v>
      </c>
      <c r="G105" s="59">
        <v>42644</v>
      </c>
      <c r="H105" s="60" t="s">
        <v>288</v>
      </c>
      <c r="I105" s="61">
        <v>0</v>
      </c>
      <c r="J105" s="62">
        <v>1</v>
      </c>
      <c r="K105" s="237">
        <v>901094247</v>
      </c>
      <c r="L105" s="236">
        <v>739.06348999999977</v>
      </c>
      <c r="M105" s="71">
        <f t="shared" si="50"/>
        <v>24759.866869999998</v>
      </c>
      <c r="N105" s="71">
        <f t="shared" si="51"/>
        <v>1899.4</v>
      </c>
      <c r="O105" s="64">
        <f t="shared" si="52"/>
        <v>739.06348999999977</v>
      </c>
      <c r="P105" s="64">
        <f t="shared" si="53"/>
        <v>24759.866869999998</v>
      </c>
      <c r="Q105" s="65">
        <f t="shared" si="54"/>
        <v>1899.4</v>
      </c>
      <c r="R105" s="59"/>
      <c r="S105" s="180">
        <f>IF(OR(RIGHT($H105,3)="RGT",RIGHT($H105,3)="INC"),IF($G105=S$87,SUM($S155:S155)+$O105,IF(S$87&gt;$G105,S155,0)),0)</f>
        <v>0</v>
      </c>
      <c r="T105" s="181">
        <f>IF(OR(RIGHT($H105,3)="RGT",RIGHT($H105,3)="INC"),IF($G105=T$87,SUM($S155:T155)+$O105,IF(T$87&gt;$G105,T155,0)),0)</f>
        <v>0</v>
      </c>
      <c r="U105" s="181">
        <f>IF(OR(RIGHT($H105,3)="RGT",RIGHT($H105,3)="INC"),IF($G105=U$87,SUM($S155:U155)+$O105,IF(U$87&gt;$G105,U155,0)),0)</f>
        <v>0</v>
      </c>
      <c r="V105" s="181">
        <f>IF(OR(RIGHT($H105,3)="RGT",RIGHT($H105,3)="INC"),IF($G105=V$87,SUM($S155:V155)+$O105,IF(V$87&gt;$G105,V155,0)),0)</f>
        <v>0</v>
      </c>
      <c r="W105" s="181">
        <f>IF(OR(RIGHT($H105,3)="RGT",RIGHT($H105,3)="INC"),IF($G105=W$87,SUM($S155:W155)+$O105,IF(W$87&gt;$G105,W155,0)),0)</f>
        <v>0</v>
      </c>
      <c r="X105" s="181">
        <f>IF(OR(RIGHT($H105,3)="RGT",RIGHT($H105,3)="INC"),IF($G105=X$87,SUM($S155:X155)+$O105,IF(X$87&gt;$G105,X155,0)),0)</f>
        <v>0</v>
      </c>
      <c r="Y105" s="181">
        <f>IF(OR(RIGHT($H105,3)="RGT",RIGHT($H105,3)="INC"),IF($G105=Y$87,SUM($S155:Y155)+$O105,IF(Y$87&gt;$G105,Y155,0)),0)</f>
        <v>0</v>
      </c>
      <c r="Z105" s="181">
        <f>IF(OR(RIGHT($H105,3)="RGT",RIGHT($H105,3)="INC"),IF($G105=Z$87,SUM($S155:Z155)+$O105,IF(Z$87&gt;$G105,Z155,0)),0)</f>
        <v>0</v>
      </c>
      <c r="AA105" s="181">
        <f>IF(OR(RIGHT($H105,3)="RGT",RIGHT($H105,3)="INC"),IF($G105=AA$87,SUM($S155:AA155)+$O105,IF(AA$87&gt;$G105,AA155,0)),0)</f>
        <v>0</v>
      </c>
      <c r="AB105" s="181">
        <f>IF(OR(RIGHT($H105,3)="RGT",RIGHT($H105,3)="INC"),IF($G105=AB$87,SUM($S155:AB155)+$O105,IF(AB$87&gt;$G105,AB155,0)),0)</f>
        <v>0</v>
      </c>
      <c r="AC105" s="181">
        <f>IF(OR(RIGHT($H105,3)="RGT",RIGHT($H105,3)="INC"),IF($G105=AC$87,SUM($S155:AC155)+$O105,IF(AC$87&gt;$G105,AC155,0)),0)</f>
        <v>0</v>
      </c>
      <c r="AD105" s="182">
        <f>IF(OR(RIGHT($H105,3)="RGT",RIGHT($H105,3)="INC"),IF($G105=AD$87,SUM($S155:AD155)+$O105,IF(AD$87&gt;$G105,AD155,0)),0)</f>
        <v>0</v>
      </c>
      <c r="AE105" s="181">
        <f>IF(OR(RIGHT($H105,3)="RGT",RIGHT($H105,3)="INC"),IF($G105=AE$87,SUM($S155:AE155)+$O105,IF(AE$87&gt;$G105,AE155,0)),0)</f>
        <v>0</v>
      </c>
      <c r="AF105" s="181">
        <f>IF(OR(RIGHT($H105,3)="RGT",RIGHT($H105,3)="INC"),IF($G105=AF$87,SUM($S155:AF155)+$O105,IF(AF$87&gt;$G105,AF155,0)),0)</f>
        <v>0</v>
      </c>
      <c r="AG105" s="181">
        <f>IF(OR(RIGHT($H105,3)="RGT",RIGHT($H105,3)="INC"),IF($G105=AG$87,SUM($S155:AG155)+$O105,IF(AG$87&gt;$G105,AG155,0)),0)</f>
        <v>0</v>
      </c>
      <c r="AH105" s="181">
        <f>IF(OR(RIGHT($H105,3)="RGT",RIGHT($H105,3)="INC"),IF($G105=AH$87,SUM($S155:AH155)+$O105,IF(AH$87&gt;$G105,AH155,0)),0)</f>
        <v>0</v>
      </c>
      <c r="AI105" s="181">
        <f>IF(OR(RIGHT($H105,3)="RGT",RIGHT($H105,3)="INC"),IF($G105=AI$87,SUM($S155:AI155)+$O105,IF(AI$87&gt;$G105,AI155,0)),0)</f>
        <v>0</v>
      </c>
      <c r="AJ105" s="181">
        <f>IF(OR(RIGHT($H105,3)="RGT",RIGHT($H105,3)="INC"),IF($G105=AJ$87,SUM($S155:AJ155)+$O105,IF(AJ$87&gt;$G105,AJ155,0)),0)</f>
        <v>0</v>
      </c>
      <c r="AK105" s="181">
        <f>IF(OR(RIGHT($H105,3)="RGT",RIGHT($H105,3)="INC"),IF($G105=AK$87,SUM($S155:AK155)+$O105,IF(AK$87&gt;$G105,AK155,0)),0)</f>
        <v>0</v>
      </c>
      <c r="AL105" s="181">
        <f>IF(OR(RIGHT($H105,3)="RGT",RIGHT($H105,3)="INC"),IF($G105=AL$87,SUM($S155:AL155)+$O105,IF(AL$87&gt;$G105,AL155,0)),0)</f>
        <v>0</v>
      </c>
      <c r="AM105" s="181">
        <f>IF(OR(RIGHT($H105,3)="RGT",RIGHT($H105,3)="INC"),IF($G105=AM$87,SUM($S155:AM155)+$O105,IF(AM$87&gt;$G105,AM155,0)),0)</f>
        <v>0</v>
      </c>
      <c r="AN105" s="181">
        <f>IF(OR(RIGHT($H105,3)="RGT",RIGHT($H105,3)="INC"),IF($G105=AN$87,SUM($S155:AN155)+$O105,IF(AN$87&gt;$G105,AN155,0)),0)</f>
        <v>27398.33036</v>
      </c>
      <c r="AO105" s="181">
        <f>IF(OR(RIGHT($H105,3)="RGT",RIGHT($H105,3)="INC"),IF($G105=AO$87,SUM($S155:AO155)+$O105,IF(AO$87&gt;$G105,AO155,0)),0)</f>
        <v>0</v>
      </c>
      <c r="AP105" s="182">
        <f>IF(OR(RIGHT($H105,3)="RGT",RIGHT($H105,3)="INC"),IF($G105=AP$87,SUM($S155:AP155)+$O105,IF(AP$87&gt;$G105,AP155,0)),0)</f>
        <v>0</v>
      </c>
    </row>
    <row r="106" spans="1:42" s="183" customFormat="1" x14ac:dyDescent="0.25">
      <c r="A106" s="178" t="str">
        <f t="shared" si="49"/>
        <v>Tehachapi Segments 4-11</v>
      </c>
      <c r="B106" s="179" t="s">
        <v>33</v>
      </c>
      <c r="C106" s="56" t="s">
        <v>195</v>
      </c>
      <c r="D106" s="66" t="s">
        <v>196</v>
      </c>
      <c r="E106" s="58" t="s">
        <v>271</v>
      </c>
      <c r="F106" s="155" t="s">
        <v>70</v>
      </c>
      <c r="G106" s="59">
        <v>42644</v>
      </c>
      <c r="H106" s="60" t="s">
        <v>288</v>
      </c>
      <c r="I106" s="61">
        <v>0</v>
      </c>
      <c r="J106" s="62">
        <v>1</v>
      </c>
      <c r="K106" s="237">
        <v>901094249</v>
      </c>
      <c r="L106" s="236">
        <v>372.97103000000016</v>
      </c>
      <c r="M106" s="71">
        <f t="shared" si="50"/>
        <v>0.65324000000000026</v>
      </c>
      <c r="N106" s="71">
        <f t="shared" si="51"/>
        <v>66</v>
      </c>
      <c r="O106" s="64">
        <f t="shared" si="52"/>
        <v>372.97103000000016</v>
      </c>
      <c r="P106" s="64">
        <f t="shared" si="53"/>
        <v>0.65324000000000026</v>
      </c>
      <c r="Q106" s="65">
        <f t="shared" si="54"/>
        <v>66</v>
      </c>
      <c r="R106" s="59"/>
      <c r="S106" s="180">
        <f>IF(OR(RIGHT($H106,3)="RGT",RIGHT($H106,3)="INC"),IF($G106=S$87,SUM($S156:S156)+$O106,IF(S$87&gt;$G106,S156,0)),0)</f>
        <v>0</v>
      </c>
      <c r="T106" s="181">
        <f>IF(OR(RIGHT($H106,3)="RGT",RIGHT($H106,3)="INC"),IF($G106=T$87,SUM($S156:T156)+$O106,IF(T$87&gt;$G106,T156,0)),0)</f>
        <v>0</v>
      </c>
      <c r="U106" s="181">
        <f>IF(OR(RIGHT($H106,3)="RGT",RIGHT($H106,3)="INC"),IF($G106=U$87,SUM($S156:U156)+$O106,IF(U$87&gt;$G106,U156,0)),0)</f>
        <v>0</v>
      </c>
      <c r="V106" s="181">
        <f>IF(OR(RIGHT($H106,3)="RGT",RIGHT($H106,3)="INC"),IF($G106=V$87,SUM($S156:V156)+$O106,IF(V$87&gt;$G106,V156,0)),0)</f>
        <v>0</v>
      </c>
      <c r="W106" s="181">
        <f>IF(OR(RIGHT($H106,3)="RGT",RIGHT($H106,3)="INC"),IF($G106=W$87,SUM($S156:W156)+$O106,IF(W$87&gt;$G106,W156,0)),0)</f>
        <v>0</v>
      </c>
      <c r="X106" s="181">
        <f>IF(OR(RIGHT($H106,3)="RGT",RIGHT($H106,3)="INC"),IF($G106=X$87,SUM($S156:X156)+$O106,IF(X$87&gt;$G106,X156,0)),0)</f>
        <v>0</v>
      </c>
      <c r="Y106" s="181">
        <f>IF(OR(RIGHT($H106,3)="RGT",RIGHT($H106,3)="INC"),IF($G106=Y$87,SUM($S156:Y156)+$O106,IF(Y$87&gt;$G106,Y156,0)),0)</f>
        <v>0</v>
      </c>
      <c r="Z106" s="181">
        <f>IF(OR(RIGHT($H106,3)="RGT",RIGHT($H106,3)="INC"),IF($G106=Z$87,SUM($S156:Z156)+$O106,IF(Z$87&gt;$G106,Z156,0)),0)</f>
        <v>0</v>
      </c>
      <c r="AA106" s="181">
        <f>IF(OR(RIGHT($H106,3)="RGT",RIGHT($H106,3)="INC"),IF($G106=AA$87,SUM($S156:AA156)+$O106,IF(AA$87&gt;$G106,AA156,0)),0)</f>
        <v>0</v>
      </c>
      <c r="AB106" s="181">
        <f>IF(OR(RIGHT($H106,3)="RGT",RIGHT($H106,3)="INC"),IF($G106=AB$87,SUM($S156:AB156)+$O106,IF(AB$87&gt;$G106,AB156,0)),0)</f>
        <v>0</v>
      </c>
      <c r="AC106" s="181">
        <f>IF(OR(RIGHT($H106,3)="RGT",RIGHT($H106,3)="INC"),IF($G106=AC$87,SUM($S156:AC156)+$O106,IF(AC$87&gt;$G106,AC156,0)),0)</f>
        <v>0</v>
      </c>
      <c r="AD106" s="182">
        <f>IF(OR(RIGHT($H106,3)="RGT",RIGHT($H106,3)="INC"),IF($G106=AD$87,SUM($S156:AD156)+$O106,IF(AD$87&gt;$G106,AD156,0)),0)</f>
        <v>0</v>
      </c>
      <c r="AE106" s="181">
        <f>IF(OR(RIGHT($H106,3)="RGT",RIGHT($H106,3)="INC"),IF($G106=AE$87,SUM($S156:AE156)+$O106,IF(AE$87&gt;$G106,AE156,0)),0)</f>
        <v>0</v>
      </c>
      <c r="AF106" s="181">
        <f>IF(OR(RIGHT($H106,3)="RGT",RIGHT($H106,3)="INC"),IF($G106=AF$87,SUM($S156:AF156)+$O106,IF(AF$87&gt;$G106,AF156,0)),0)</f>
        <v>0</v>
      </c>
      <c r="AG106" s="181">
        <f>IF(OR(RIGHT($H106,3)="RGT",RIGHT($H106,3)="INC"),IF($G106=AG$87,SUM($S156:AG156)+$O106,IF(AG$87&gt;$G106,AG156,0)),0)</f>
        <v>0</v>
      </c>
      <c r="AH106" s="181">
        <f>IF(OR(RIGHT($H106,3)="RGT",RIGHT($H106,3)="INC"),IF($G106=AH$87,SUM($S156:AH156)+$O106,IF(AH$87&gt;$G106,AH156,0)),0)</f>
        <v>0</v>
      </c>
      <c r="AI106" s="181">
        <f>IF(OR(RIGHT($H106,3)="RGT",RIGHT($H106,3)="INC"),IF($G106=AI$87,SUM($S156:AI156)+$O106,IF(AI$87&gt;$G106,AI156,0)),0)</f>
        <v>0</v>
      </c>
      <c r="AJ106" s="181">
        <f>IF(OR(RIGHT($H106,3)="RGT",RIGHT($H106,3)="INC"),IF($G106=AJ$87,SUM($S156:AJ156)+$O106,IF(AJ$87&gt;$G106,AJ156,0)),0)</f>
        <v>0</v>
      </c>
      <c r="AK106" s="181">
        <f>IF(OR(RIGHT($H106,3)="RGT",RIGHT($H106,3)="INC"),IF($G106=AK$87,SUM($S156:AK156)+$O106,IF(AK$87&gt;$G106,AK156,0)),0)</f>
        <v>0</v>
      </c>
      <c r="AL106" s="181">
        <f>IF(OR(RIGHT($H106,3)="RGT",RIGHT($H106,3)="INC"),IF($G106=AL$87,SUM($S156:AL156)+$O106,IF(AL$87&gt;$G106,AL156,0)),0)</f>
        <v>0</v>
      </c>
      <c r="AM106" s="181">
        <f>IF(OR(RIGHT($H106,3)="RGT",RIGHT($H106,3)="INC"),IF($G106=AM$87,SUM($S156:AM156)+$O106,IF(AM$87&gt;$G106,AM156,0)),0)</f>
        <v>0</v>
      </c>
      <c r="AN106" s="181">
        <f>IF(OR(RIGHT($H106,3)="RGT",RIGHT($H106,3)="INC"),IF($G106=AN$87,SUM($S156:AN156)+$O106,IF(AN$87&gt;$G106,AN156,0)),0)</f>
        <v>418.62427000000014</v>
      </c>
      <c r="AO106" s="181">
        <f>IF(OR(RIGHT($H106,3)="RGT",RIGHT($H106,3)="INC"),IF($G106=AO$87,SUM($S156:AO156)+$O106,IF(AO$87&gt;$G106,AO156,0)),0)</f>
        <v>10</v>
      </c>
      <c r="AP106" s="182">
        <f>IF(OR(RIGHT($H106,3)="RGT",RIGHT($H106,3)="INC"),IF($G106=AP$87,SUM($S156:AP156)+$O106,IF(AP$87&gt;$G106,AP156,0)),0)</f>
        <v>11</v>
      </c>
    </row>
    <row r="107" spans="1:42" s="183" customFormat="1" x14ac:dyDescent="0.25">
      <c r="A107" s="178" t="str">
        <f t="shared" si="49"/>
        <v>Tehachapi Segments 4-11</v>
      </c>
      <c r="B107" s="179" t="s">
        <v>33</v>
      </c>
      <c r="C107" s="56" t="s">
        <v>197</v>
      </c>
      <c r="D107" s="66" t="s">
        <v>198</v>
      </c>
      <c r="E107" s="58" t="s">
        <v>271</v>
      </c>
      <c r="F107" s="155" t="s">
        <v>70</v>
      </c>
      <c r="G107" s="59">
        <v>42644</v>
      </c>
      <c r="H107" s="60" t="s">
        <v>264</v>
      </c>
      <c r="I107" s="61">
        <v>0</v>
      </c>
      <c r="J107" s="62">
        <v>1</v>
      </c>
      <c r="K107" s="237">
        <v>801025887</v>
      </c>
      <c r="L107" s="236">
        <v>7563.3898400000007</v>
      </c>
      <c r="M107" s="71">
        <f t="shared" si="50"/>
        <v>7630.0720199999996</v>
      </c>
      <c r="N107" s="71">
        <f t="shared" si="51"/>
        <v>0</v>
      </c>
      <c r="O107" s="64">
        <f t="shared" si="52"/>
        <v>7563.3898400000007</v>
      </c>
      <c r="P107" s="64">
        <f t="shared" si="53"/>
        <v>7630.0720199999996</v>
      </c>
      <c r="Q107" s="65">
        <f t="shared" si="54"/>
        <v>0</v>
      </c>
      <c r="R107" s="59"/>
      <c r="S107" s="180">
        <f>IF(OR(RIGHT($H107,3)="RGT",RIGHT($H107,3)="INC"),IF($G107=S$87,SUM($S157:S157)+$O107,IF(S$87&gt;$G107,S157,0)),0)</f>
        <v>0</v>
      </c>
      <c r="T107" s="181">
        <f>IF(OR(RIGHT($H107,3)="RGT",RIGHT($H107,3)="INC"),IF($G107=T$87,SUM($S157:T157)+$O107,IF(T$87&gt;$G107,T157,0)),0)</f>
        <v>0</v>
      </c>
      <c r="U107" s="181">
        <f>IF(OR(RIGHT($H107,3)="RGT",RIGHT($H107,3)="INC"),IF($G107=U$87,SUM($S157:U157)+$O107,IF(U$87&gt;$G107,U157,0)),0)</f>
        <v>0</v>
      </c>
      <c r="V107" s="181">
        <f>IF(OR(RIGHT($H107,3)="RGT",RIGHT($H107,3)="INC"),IF($G107=V$87,SUM($S157:V157)+$O107,IF(V$87&gt;$G107,V157,0)),0)</f>
        <v>0</v>
      </c>
      <c r="W107" s="181">
        <f>IF(OR(RIGHT($H107,3)="RGT",RIGHT($H107,3)="INC"),IF($G107=W$87,SUM($S157:W157)+$O107,IF(W$87&gt;$G107,W157,0)),0)</f>
        <v>0</v>
      </c>
      <c r="X107" s="181">
        <f>IF(OR(RIGHT($H107,3)="RGT",RIGHT($H107,3)="INC"),IF($G107=X$87,SUM($S157:X157)+$O107,IF(X$87&gt;$G107,X157,0)),0)</f>
        <v>0</v>
      </c>
      <c r="Y107" s="181">
        <f>IF(OR(RIGHT($H107,3)="RGT",RIGHT($H107,3)="INC"),IF($G107=Y$87,SUM($S157:Y157)+$O107,IF(Y$87&gt;$G107,Y157,0)),0)</f>
        <v>0</v>
      </c>
      <c r="Z107" s="181">
        <f>IF(OR(RIGHT($H107,3)="RGT",RIGHT($H107,3)="INC"),IF($G107=Z$87,SUM($S157:Z157)+$O107,IF(Z$87&gt;$G107,Z157,0)),0)</f>
        <v>0</v>
      </c>
      <c r="AA107" s="181">
        <f>IF(OR(RIGHT($H107,3)="RGT",RIGHT($H107,3)="INC"),IF($G107=AA$87,SUM($S157:AA157)+$O107,IF(AA$87&gt;$G107,AA157,0)),0)</f>
        <v>0</v>
      </c>
      <c r="AB107" s="181">
        <f>IF(OR(RIGHT($H107,3)="RGT",RIGHT($H107,3)="INC"),IF($G107=AB$87,SUM($S157:AB157)+$O107,IF(AB$87&gt;$G107,AB157,0)),0)</f>
        <v>0</v>
      </c>
      <c r="AC107" s="181">
        <f>IF(OR(RIGHT($H107,3)="RGT",RIGHT($H107,3)="INC"),IF($G107=AC$87,SUM($S157:AC157)+$O107,IF(AC$87&gt;$G107,AC157,0)),0)</f>
        <v>0</v>
      </c>
      <c r="AD107" s="182">
        <f>IF(OR(RIGHT($H107,3)="RGT",RIGHT($H107,3)="INC"),IF($G107=AD$87,SUM($S157:AD157)+$O107,IF(AD$87&gt;$G107,AD157,0)),0)</f>
        <v>0</v>
      </c>
      <c r="AE107" s="181">
        <f>IF(OR(RIGHT($H107,3)="RGT",RIGHT($H107,3)="INC"),IF($G107=AE$87,SUM($S157:AE157)+$O107,IF(AE$87&gt;$G107,AE157,0)),0)</f>
        <v>0</v>
      </c>
      <c r="AF107" s="181">
        <f>IF(OR(RIGHT($H107,3)="RGT",RIGHT($H107,3)="INC"),IF($G107=AF$87,SUM($S157:AF157)+$O107,IF(AF$87&gt;$G107,AF157,0)),0)</f>
        <v>0</v>
      </c>
      <c r="AG107" s="181">
        <f>IF(OR(RIGHT($H107,3)="RGT",RIGHT($H107,3)="INC"),IF($G107=AG$87,SUM($S157:AG157)+$O107,IF(AG$87&gt;$G107,AG157,0)),0)</f>
        <v>0</v>
      </c>
      <c r="AH107" s="181">
        <f>IF(OR(RIGHT($H107,3)="RGT",RIGHT($H107,3)="INC"),IF($G107=AH$87,SUM($S157:AH157)+$O107,IF(AH$87&gt;$G107,AH157,0)),0)</f>
        <v>0</v>
      </c>
      <c r="AI107" s="181">
        <f>IF(OR(RIGHT($H107,3)="RGT",RIGHT($H107,3)="INC"),IF($G107=AI$87,SUM($S157:AI157)+$O107,IF(AI$87&gt;$G107,AI157,0)),0)</f>
        <v>0</v>
      </c>
      <c r="AJ107" s="181">
        <f>IF(OR(RIGHT($H107,3)="RGT",RIGHT($H107,3)="INC"),IF($G107=AJ$87,SUM($S157:AJ157)+$O107,IF(AJ$87&gt;$G107,AJ157,0)),0)</f>
        <v>0</v>
      </c>
      <c r="AK107" s="181">
        <f>IF(OR(RIGHT($H107,3)="RGT",RIGHT($H107,3)="INC"),IF($G107=AK$87,SUM($S157:AK157)+$O107,IF(AK$87&gt;$G107,AK157,0)),0)</f>
        <v>0</v>
      </c>
      <c r="AL107" s="181">
        <f>IF(OR(RIGHT($H107,3)="RGT",RIGHT($H107,3)="INC"),IF($G107=AL$87,SUM($S157:AL157)+$O107,IF(AL$87&gt;$G107,AL157,0)),0)</f>
        <v>0</v>
      </c>
      <c r="AM107" s="181">
        <f>IF(OR(RIGHT($H107,3)="RGT",RIGHT($H107,3)="INC"),IF($G107=AM$87,SUM($S157:AM157)+$O107,IF(AM$87&gt;$G107,AM157,0)),0)</f>
        <v>0</v>
      </c>
      <c r="AN107" s="181">
        <f>IF(OR(RIGHT($H107,3)="RGT",RIGHT($H107,3)="INC"),IF($G107=AN$87,SUM($S157:AN157)+$O107,IF(AN$87&gt;$G107,AN157,0)),0)</f>
        <v>15193.461859999999</v>
      </c>
      <c r="AO107" s="181">
        <f>IF(OR(RIGHT($H107,3)="RGT",RIGHT($H107,3)="INC"),IF($G107=AO$87,SUM($S157:AO157)+$O107,IF(AO$87&gt;$G107,AO157,0)),0)</f>
        <v>0</v>
      </c>
      <c r="AP107" s="182">
        <f>IF(OR(RIGHT($H107,3)="RGT",RIGHT($H107,3)="INC"),IF($G107=AP$87,SUM($S157:AP157)+$O107,IF(AP$87&gt;$G107,AP157,0)),0)</f>
        <v>0</v>
      </c>
    </row>
    <row r="108" spans="1:42" s="183" customFormat="1" x14ac:dyDescent="0.25">
      <c r="A108" s="178" t="str">
        <f t="shared" si="49"/>
        <v>Tehachapi Segments 4-11</v>
      </c>
      <c r="B108" s="179" t="s">
        <v>33</v>
      </c>
      <c r="C108" s="56" t="s">
        <v>199</v>
      </c>
      <c r="D108" s="66" t="s">
        <v>200</v>
      </c>
      <c r="E108" s="58" t="s">
        <v>271</v>
      </c>
      <c r="F108" s="155" t="s">
        <v>70</v>
      </c>
      <c r="G108" s="59">
        <v>42644</v>
      </c>
      <c r="H108" s="60" t="s">
        <v>288</v>
      </c>
      <c r="I108" s="61">
        <v>0</v>
      </c>
      <c r="J108" s="62">
        <v>1</v>
      </c>
      <c r="K108" s="237">
        <v>901109252</v>
      </c>
      <c r="L108" s="236">
        <v>1154.2956199999999</v>
      </c>
      <c r="M108" s="71">
        <f t="shared" si="50"/>
        <v>7979.6792400000004</v>
      </c>
      <c r="N108" s="71">
        <f t="shared" si="51"/>
        <v>570.00000000000011</v>
      </c>
      <c r="O108" s="64">
        <f t="shared" si="52"/>
        <v>1154.2956199999999</v>
      </c>
      <c r="P108" s="64">
        <f t="shared" si="53"/>
        <v>7979.6792400000004</v>
      </c>
      <c r="Q108" s="65">
        <f t="shared" si="54"/>
        <v>570.00000000000011</v>
      </c>
      <c r="R108" s="59"/>
      <c r="S108" s="180">
        <f>IF(OR(RIGHT($H108,3)="RGT",RIGHT($H108,3)="INC"),IF($G108=S$87,SUM($S158:S158)+$O108,IF(S$87&gt;$G108,S158,0)),0)</f>
        <v>0</v>
      </c>
      <c r="T108" s="181">
        <f>IF(OR(RIGHT($H108,3)="RGT",RIGHT($H108,3)="INC"),IF($G108=T$87,SUM($S158:T158)+$O108,IF(T$87&gt;$G108,T158,0)),0)</f>
        <v>0</v>
      </c>
      <c r="U108" s="181">
        <f>IF(OR(RIGHT($H108,3)="RGT",RIGHT($H108,3)="INC"),IF($G108=U$87,SUM($S158:U158)+$O108,IF(U$87&gt;$G108,U158,0)),0)</f>
        <v>0</v>
      </c>
      <c r="V108" s="181">
        <f>IF(OR(RIGHT($H108,3)="RGT",RIGHT($H108,3)="INC"),IF($G108=V$87,SUM($S158:V158)+$O108,IF(V$87&gt;$G108,V158,0)),0)</f>
        <v>0</v>
      </c>
      <c r="W108" s="181">
        <f>IF(OR(RIGHT($H108,3)="RGT",RIGHT($H108,3)="INC"),IF($G108=W$87,SUM($S158:W158)+$O108,IF(W$87&gt;$G108,W158,0)),0)</f>
        <v>0</v>
      </c>
      <c r="X108" s="181">
        <f>IF(OR(RIGHT($H108,3)="RGT",RIGHT($H108,3)="INC"),IF($G108=X$87,SUM($S158:X158)+$O108,IF(X$87&gt;$G108,X158,0)),0)</f>
        <v>0</v>
      </c>
      <c r="Y108" s="181">
        <f>IF(OR(RIGHT($H108,3)="RGT",RIGHT($H108,3)="INC"),IF($G108=Y$87,SUM($S158:Y158)+$O108,IF(Y$87&gt;$G108,Y158,0)),0)</f>
        <v>0</v>
      </c>
      <c r="Z108" s="181">
        <f>IF(OR(RIGHT($H108,3)="RGT",RIGHT($H108,3)="INC"),IF($G108=Z$87,SUM($S158:Z158)+$O108,IF(Z$87&gt;$G108,Z158,0)),0)</f>
        <v>0</v>
      </c>
      <c r="AA108" s="181">
        <f>IF(OR(RIGHT($H108,3)="RGT",RIGHT($H108,3)="INC"),IF($G108=AA$87,SUM($S158:AA158)+$O108,IF(AA$87&gt;$G108,AA158,0)),0)</f>
        <v>0</v>
      </c>
      <c r="AB108" s="181">
        <f>IF(OR(RIGHT($H108,3)="RGT",RIGHT($H108,3)="INC"),IF($G108=AB$87,SUM($S158:AB158)+$O108,IF(AB$87&gt;$G108,AB158,0)),0)</f>
        <v>0</v>
      </c>
      <c r="AC108" s="181">
        <f>IF(OR(RIGHT($H108,3)="RGT",RIGHT($H108,3)="INC"),IF($G108=AC$87,SUM($S158:AC158)+$O108,IF(AC$87&gt;$G108,AC158,0)),0)</f>
        <v>0</v>
      </c>
      <c r="AD108" s="182">
        <f>IF(OR(RIGHT($H108,3)="RGT",RIGHT($H108,3)="INC"),IF($G108=AD$87,SUM($S158:AD158)+$O108,IF(AD$87&gt;$G108,AD158,0)),0)</f>
        <v>0</v>
      </c>
      <c r="AE108" s="181">
        <f>IF(OR(RIGHT($H108,3)="RGT",RIGHT($H108,3)="INC"),IF($G108=AE$87,SUM($S158:AE158)+$O108,IF(AE$87&gt;$G108,AE158,0)),0)</f>
        <v>0</v>
      </c>
      <c r="AF108" s="181">
        <f>IF(OR(RIGHT($H108,3)="RGT",RIGHT($H108,3)="INC"),IF($G108=AF$87,SUM($S158:AF158)+$O108,IF(AF$87&gt;$G108,AF158,0)),0)</f>
        <v>0</v>
      </c>
      <c r="AG108" s="181">
        <f>IF(OR(RIGHT($H108,3)="RGT",RIGHT($H108,3)="INC"),IF($G108=AG$87,SUM($S158:AG158)+$O108,IF(AG$87&gt;$G108,AG158,0)),0)</f>
        <v>0</v>
      </c>
      <c r="AH108" s="181">
        <f>IF(OR(RIGHT($H108,3)="RGT",RIGHT($H108,3)="INC"),IF($G108=AH$87,SUM($S158:AH158)+$O108,IF(AH$87&gt;$G108,AH158,0)),0)</f>
        <v>0</v>
      </c>
      <c r="AI108" s="181">
        <f>IF(OR(RIGHT($H108,3)="RGT",RIGHT($H108,3)="INC"),IF($G108=AI$87,SUM($S158:AI158)+$O108,IF(AI$87&gt;$G108,AI158,0)),0)</f>
        <v>0</v>
      </c>
      <c r="AJ108" s="181">
        <f>IF(OR(RIGHT($H108,3)="RGT",RIGHT($H108,3)="INC"),IF($G108=AJ$87,SUM($S158:AJ158)+$O108,IF(AJ$87&gt;$G108,AJ158,0)),0)</f>
        <v>0</v>
      </c>
      <c r="AK108" s="181">
        <f>IF(OR(RIGHT($H108,3)="RGT",RIGHT($H108,3)="INC"),IF($G108=AK$87,SUM($S158:AK158)+$O108,IF(AK$87&gt;$G108,AK158,0)),0)</f>
        <v>0</v>
      </c>
      <c r="AL108" s="181">
        <f>IF(OR(RIGHT($H108,3)="RGT",RIGHT($H108,3)="INC"),IF($G108=AL$87,SUM($S158:AL158)+$O108,IF(AL$87&gt;$G108,AL158,0)),0)</f>
        <v>0</v>
      </c>
      <c r="AM108" s="181">
        <f>IF(OR(RIGHT($H108,3)="RGT",RIGHT($H108,3)="INC"),IF($G108=AM$87,SUM($S158:AM158)+$O108,IF(AM$87&gt;$G108,AM158,0)),0)</f>
        <v>0</v>
      </c>
      <c r="AN108" s="181">
        <f>IF(OR(RIGHT($H108,3)="RGT",RIGHT($H108,3)="INC"),IF($G108=AN$87,SUM($S158:AN158)+$O108,IF(AN$87&gt;$G108,AN158,0)),0)</f>
        <v>9703.9748600000021</v>
      </c>
      <c r="AO108" s="181">
        <f>IF(OR(RIGHT($H108,3)="RGT",RIGHT($H108,3)="INC"),IF($G108=AO$87,SUM($S158:AO158)+$O108,IF(AO$87&gt;$G108,AO158,0)),0)</f>
        <v>0</v>
      </c>
      <c r="AP108" s="182">
        <f>IF(OR(RIGHT($H108,3)="RGT",RIGHT($H108,3)="INC"),IF($G108=AP$87,SUM($S158:AP158)+$O108,IF(AP$87&gt;$G108,AP158,0)),0)</f>
        <v>0</v>
      </c>
    </row>
    <row r="109" spans="1:42" s="183" customFormat="1" x14ac:dyDescent="0.25">
      <c r="A109" s="178" t="str">
        <f t="shared" si="49"/>
        <v>Tehachapi Segments 4-11</v>
      </c>
      <c r="B109" s="179" t="s">
        <v>33</v>
      </c>
      <c r="C109" s="56" t="s">
        <v>201</v>
      </c>
      <c r="D109" s="66" t="s">
        <v>202</v>
      </c>
      <c r="E109" s="58" t="s">
        <v>271</v>
      </c>
      <c r="F109" s="155" t="s">
        <v>70</v>
      </c>
      <c r="G109" s="59">
        <v>42644</v>
      </c>
      <c r="H109" s="60" t="s">
        <v>288</v>
      </c>
      <c r="I109" s="61">
        <v>0</v>
      </c>
      <c r="J109" s="62">
        <v>1</v>
      </c>
      <c r="K109" s="237">
        <v>901109253</v>
      </c>
      <c r="L109" s="236">
        <v>536.18763999999987</v>
      </c>
      <c r="M109" s="71">
        <f t="shared" si="50"/>
        <v>9800.4707300000009</v>
      </c>
      <c r="N109" s="71">
        <f t="shared" si="51"/>
        <v>475.00000000000006</v>
      </c>
      <c r="O109" s="64">
        <f t="shared" si="52"/>
        <v>536.18763999999987</v>
      </c>
      <c r="P109" s="64">
        <f t="shared" si="53"/>
        <v>9800.4707300000009</v>
      </c>
      <c r="Q109" s="65">
        <f t="shared" si="54"/>
        <v>475.00000000000006</v>
      </c>
      <c r="R109" s="59"/>
      <c r="S109" s="180">
        <f>IF(OR(RIGHT($H109,3)="RGT",RIGHT($H109,3)="INC"),IF($G109=S$87,SUM($S159:S159)+$O109,IF(S$87&gt;$G109,S159,0)),0)</f>
        <v>0</v>
      </c>
      <c r="T109" s="181">
        <f>IF(OR(RIGHT($H109,3)="RGT",RIGHT($H109,3)="INC"),IF($G109=T$87,SUM($S159:T159)+$O109,IF(T$87&gt;$G109,T159,0)),0)</f>
        <v>0</v>
      </c>
      <c r="U109" s="181">
        <f>IF(OR(RIGHT($H109,3)="RGT",RIGHT($H109,3)="INC"),IF($G109=U$87,SUM($S159:U159)+$O109,IF(U$87&gt;$G109,U159,0)),0)</f>
        <v>0</v>
      </c>
      <c r="V109" s="181">
        <f>IF(OR(RIGHT($H109,3)="RGT",RIGHT($H109,3)="INC"),IF($G109=V$87,SUM($S159:V159)+$O109,IF(V$87&gt;$G109,V159,0)),0)</f>
        <v>0</v>
      </c>
      <c r="W109" s="181">
        <f>IF(OR(RIGHT($H109,3)="RGT",RIGHT($H109,3)="INC"),IF($G109=W$87,SUM($S159:W159)+$O109,IF(W$87&gt;$G109,W159,0)),0)</f>
        <v>0</v>
      </c>
      <c r="X109" s="181">
        <f>IF(OR(RIGHT($H109,3)="RGT",RIGHT($H109,3)="INC"),IF($G109=X$87,SUM($S159:X159)+$O109,IF(X$87&gt;$G109,X159,0)),0)</f>
        <v>0</v>
      </c>
      <c r="Y109" s="181">
        <f>IF(OR(RIGHT($H109,3)="RGT",RIGHT($H109,3)="INC"),IF($G109=Y$87,SUM($S159:Y159)+$O109,IF(Y$87&gt;$G109,Y159,0)),0)</f>
        <v>0</v>
      </c>
      <c r="Z109" s="181">
        <f>IF(OR(RIGHT($H109,3)="RGT",RIGHT($H109,3)="INC"),IF($G109=Z$87,SUM($S159:Z159)+$O109,IF(Z$87&gt;$G109,Z159,0)),0)</f>
        <v>0</v>
      </c>
      <c r="AA109" s="181">
        <f>IF(OR(RIGHT($H109,3)="RGT",RIGHT($H109,3)="INC"),IF($G109=AA$87,SUM($S159:AA159)+$O109,IF(AA$87&gt;$G109,AA159,0)),0)</f>
        <v>0</v>
      </c>
      <c r="AB109" s="181">
        <f>IF(OR(RIGHT($H109,3)="RGT",RIGHT($H109,3)="INC"),IF($G109=AB$87,SUM($S159:AB159)+$O109,IF(AB$87&gt;$G109,AB159,0)),0)</f>
        <v>0</v>
      </c>
      <c r="AC109" s="181">
        <f>IF(OR(RIGHT($H109,3)="RGT",RIGHT($H109,3)="INC"),IF($G109=AC$87,SUM($S159:AC159)+$O109,IF(AC$87&gt;$G109,AC159,0)),0)</f>
        <v>0</v>
      </c>
      <c r="AD109" s="182">
        <f>IF(OR(RIGHT($H109,3)="RGT",RIGHT($H109,3)="INC"),IF($G109=AD$87,SUM($S159:AD159)+$O109,IF(AD$87&gt;$G109,AD159,0)),0)</f>
        <v>0</v>
      </c>
      <c r="AE109" s="181">
        <f>IF(OR(RIGHT($H109,3)="RGT",RIGHT($H109,3)="INC"),IF($G109=AE$87,SUM($S159:AE159)+$O109,IF(AE$87&gt;$G109,AE159,0)),0)</f>
        <v>0</v>
      </c>
      <c r="AF109" s="181">
        <f>IF(OR(RIGHT($H109,3)="RGT",RIGHT($H109,3)="INC"),IF($G109=AF$87,SUM($S159:AF159)+$O109,IF(AF$87&gt;$G109,AF159,0)),0)</f>
        <v>0</v>
      </c>
      <c r="AG109" s="181">
        <f>IF(OR(RIGHT($H109,3)="RGT",RIGHT($H109,3)="INC"),IF($G109=AG$87,SUM($S159:AG159)+$O109,IF(AG$87&gt;$G109,AG159,0)),0)</f>
        <v>0</v>
      </c>
      <c r="AH109" s="181">
        <f>IF(OR(RIGHT($H109,3)="RGT",RIGHT($H109,3)="INC"),IF($G109=AH$87,SUM($S159:AH159)+$O109,IF(AH$87&gt;$G109,AH159,0)),0)</f>
        <v>0</v>
      </c>
      <c r="AI109" s="181">
        <f>IF(OR(RIGHT($H109,3)="RGT",RIGHT($H109,3)="INC"),IF($G109=AI$87,SUM($S159:AI159)+$O109,IF(AI$87&gt;$G109,AI159,0)),0)</f>
        <v>0</v>
      </c>
      <c r="AJ109" s="181">
        <f>IF(OR(RIGHT($H109,3)="RGT",RIGHT($H109,3)="INC"),IF($G109=AJ$87,SUM($S159:AJ159)+$O109,IF(AJ$87&gt;$G109,AJ159,0)),0)</f>
        <v>0</v>
      </c>
      <c r="AK109" s="181">
        <f>IF(OR(RIGHT($H109,3)="RGT",RIGHT($H109,3)="INC"),IF($G109=AK$87,SUM($S159:AK159)+$O109,IF(AK$87&gt;$G109,AK159,0)),0)</f>
        <v>0</v>
      </c>
      <c r="AL109" s="181">
        <f>IF(OR(RIGHT($H109,3)="RGT",RIGHT($H109,3)="INC"),IF($G109=AL$87,SUM($S159:AL159)+$O109,IF(AL$87&gt;$G109,AL159,0)),0)</f>
        <v>0</v>
      </c>
      <c r="AM109" s="181">
        <f>IF(OR(RIGHT($H109,3)="RGT",RIGHT($H109,3)="INC"),IF($G109=AM$87,SUM($S159:AM159)+$O109,IF(AM$87&gt;$G109,AM159,0)),0)</f>
        <v>0</v>
      </c>
      <c r="AN109" s="181">
        <f>IF(OR(RIGHT($H109,3)="RGT",RIGHT($H109,3)="INC"),IF($G109=AN$87,SUM($S159:AN159)+$O109,IF(AN$87&gt;$G109,AN159,0)),0)</f>
        <v>10811.658370000001</v>
      </c>
      <c r="AO109" s="181">
        <f>IF(OR(RIGHT($H109,3)="RGT",RIGHT($H109,3)="INC"),IF($G109=AO$87,SUM($S159:AO159)+$O109,IF(AO$87&gt;$G109,AO159,0)),0)</f>
        <v>0</v>
      </c>
      <c r="AP109" s="182">
        <f>IF(OR(RIGHT($H109,3)="RGT",RIGHT($H109,3)="INC"),IF($G109=AP$87,SUM($S159:AP159)+$O109,IF(AP$87&gt;$G109,AP159,0)),0)</f>
        <v>0</v>
      </c>
    </row>
    <row r="110" spans="1:42" s="183" customFormat="1" x14ac:dyDescent="0.25">
      <c r="A110" s="178" t="str">
        <f t="shared" si="49"/>
        <v>Tehachapi Segments 4-11</v>
      </c>
      <c r="B110" s="179" t="s">
        <v>33</v>
      </c>
      <c r="C110" s="56" t="s">
        <v>299</v>
      </c>
      <c r="D110" s="66" t="s">
        <v>300</v>
      </c>
      <c r="E110" s="58" t="s">
        <v>271</v>
      </c>
      <c r="F110" s="155" t="s">
        <v>70</v>
      </c>
      <c r="G110" s="59">
        <v>42644</v>
      </c>
      <c r="H110" s="60" t="s">
        <v>264</v>
      </c>
      <c r="I110" s="61">
        <v>0</v>
      </c>
      <c r="J110" s="62">
        <v>1</v>
      </c>
      <c r="K110" s="63"/>
      <c r="L110" s="236">
        <v>0</v>
      </c>
      <c r="M110" s="71">
        <f t="shared" si="50"/>
        <v>12200</v>
      </c>
      <c r="N110" s="71">
        <f t="shared" si="51"/>
        <v>0</v>
      </c>
      <c r="O110" s="64">
        <f t="shared" si="52"/>
        <v>0</v>
      </c>
      <c r="P110" s="64">
        <f t="shared" si="53"/>
        <v>12200</v>
      </c>
      <c r="Q110" s="65">
        <f t="shared" si="54"/>
        <v>0</v>
      </c>
      <c r="R110" s="59"/>
      <c r="S110" s="180">
        <f>IF(OR(RIGHT($H110,3)="RGT",RIGHT($H110,3)="INC"),IF($G110=S$87,SUM($S160:S160)+$O110,IF(S$87&gt;$G110,S160,0)),0)</f>
        <v>0</v>
      </c>
      <c r="T110" s="181">
        <f>IF(OR(RIGHT($H110,3)="RGT",RIGHT($H110,3)="INC"),IF($G110=T$87,SUM($S160:T160)+$O110,IF(T$87&gt;$G110,T160,0)),0)</f>
        <v>0</v>
      </c>
      <c r="U110" s="181">
        <f>IF(OR(RIGHT($H110,3)="RGT",RIGHT($H110,3)="INC"),IF($G110=U$87,SUM($S160:U160)+$O110,IF(U$87&gt;$G110,U160,0)),0)</f>
        <v>0</v>
      </c>
      <c r="V110" s="181">
        <f>IF(OR(RIGHT($H110,3)="RGT",RIGHT($H110,3)="INC"),IF($G110=V$87,SUM($S160:V160)+$O110,IF(V$87&gt;$G110,V160,0)),0)</f>
        <v>0</v>
      </c>
      <c r="W110" s="181">
        <f>IF(OR(RIGHT($H110,3)="RGT",RIGHT($H110,3)="INC"),IF($G110=W$87,SUM($S160:W160)+$O110,IF(W$87&gt;$G110,W160,0)),0)</f>
        <v>0</v>
      </c>
      <c r="X110" s="181">
        <f>IF(OR(RIGHT($H110,3)="RGT",RIGHT($H110,3)="INC"),IF($G110=X$87,SUM($S160:X160)+$O110,IF(X$87&gt;$G110,X160,0)),0)</f>
        <v>0</v>
      </c>
      <c r="Y110" s="181">
        <f>IF(OR(RIGHT($H110,3)="RGT",RIGHT($H110,3)="INC"),IF($G110=Y$87,SUM($S160:Y160)+$O110,IF(Y$87&gt;$G110,Y160,0)),0)</f>
        <v>0</v>
      </c>
      <c r="Z110" s="181">
        <f>IF(OR(RIGHT($H110,3)="RGT",RIGHT($H110,3)="INC"),IF($G110=Z$87,SUM($S160:Z160)+$O110,IF(Z$87&gt;$G110,Z160,0)),0)</f>
        <v>0</v>
      </c>
      <c r="AA110" s="181">
        <f>IF(OR(RIGHT($H110,3)="RGT",RIGHT($H110,3)="INC"),IF($G110=AA$87,SUM($S160:AA160)+$O110,IF(AA$87&gt;$G110,AA160,0)),0)</f>
        <v>0</v>
      </c>
      <c r="AB110" s="181">
        <f>IF(OR(RIGHT($H110,3)="RGT",RIGHT($H110,3)="INC"),IF($G110=AB$87,SUM($S160:AB160)+$O110,IF(AB$87&gt;$G110,AB160,0)),0)</f>
        <v>0</v>
      </c>
      <c r="AC110" s="181">
        <f>IF(OR(RIGHT($H110,3)="RGT",RIGHT($H110,3)="INC"),IF($G110=AC$87,SUM($S160:AC160)+$O110,IF(AC$87&gt;$G110,AC160,0)),0)</f>
        <v>0</v>
      </c>
      <c r="AD110" s="182">
        <f>IF(OR(RIGHT($H110,3)="RGT",RIGHT($H110,3)="INC"),IF($G110=AD$87,SUM($S160:AD160)+$O110,IF(AD$87&gt;$G110,AD160,0)),0)</f>
        <v>0</v>
      </c>
      <c r="AE110" s="181">
        <f>IF(OR(RIGHT($H110,3)="RGT",RIGHT($H110,3)="INC"),IF($G110=AE$87,SUM($S160:AE160)+$O110,IF(AE$87&gt;$G110,AE160,0)),0)</f>
        <v>0</v>
      </c>
      <c r="AF110" s="181">
        <f>IF(OR(RIGHT($H110,3)="RGT",RIGHT($H110,3)="INC"),IF($G110=AF$87,SUM($S160:AF160)+$O110,IF(AF$87&gt;$G110,AF160,0)),0)</f>
        <v>0</v>
      </c>
      <c r="AG110" s="181">
        <f>IF(OR(RIGHT($H110,3)="RGT",RIGHT($H110,3)="INC"),IF($G110=AG$87,SUM($S160:AG160)+$O110,IF(AG$87&gt;$G110,AG160,0)),0)</f>
        <v>0</v>
      </c>
      <c r="AH110" s="181">
        <f>IF(OR(RIGHT($H110,3)="RGT",RIGHT($H110,3)="INC"),IF($G110=AH$87,SUM($S160:AH160)+$O110,IF(AH$87&gt;$G110,AH160,0)),0)</f>
        <v>0</v>
      </c>
      <c r="AI110" s="181">
        <f>IF(OR(RIGHT($H110,3)="RGT",RIGHT($H110,3)="INC"),IF($G110=AI$87,SUM($S160:AI160)+$O110,IF(AI$87&gt;$G110,AI160,0)),0)</f>
        <v>0</v>
      </c>
      <c r="AJ110" s="181">
        <f>IF(OR(RIGHT($H110,3)="RGT",RIGHT($H110,3)="INC"),IF($G110=AJ$87,SUM($S160:AJ160)+$O110,IF(AJ$87&gt;$G110,AJ160,0)),0)</f>
        <v>0</v>
      </c>
      <c r="AK110" s="181">
        <f>IF(OR(RIGHT($H110,3)="RGT",RIGHT($H110,3)="INC"),IF($G110=AK$87,SUM($S160:AK160)+$O110,IF(AK$87&gt;$G110,AK160,0)),0)</f>
        <v>0</v>
      </c>
      <c r="AL110" s="181">
        <f>IF(OR(RIGHT($H110,3)="RGT",RIGHT($H110,3)="INC"),IF($G110=AL$87,SUM($S160:AL160)+$O110,IF(AL$87&gt;$G110,AL160,0)),0)</f>
        <v>0</v>
      </c>
      <c r="AM110" s="181">
        <f>IF(OR(RIGHT($H110,3)="RGT",RIGHT($H110,3)="INC"),IF($G110=AM$87,SUM($S160:AM160)+$O110,IF(AM$87&gt;$G110,AM160,0)),0)</f>
        <v>0</v>
      </c>
      <c r="AN110" s="181">
        <f>IF(OR(RIGHT($H110,3)="RGT",RIGHT($H110,3)="INC"),IF($G110=AN$87,SUM($S160:AN160)+$O110,IF(AN$87&gt;$G110,AN160,0)),0)</f>
        <v>12200</v>
      </c>
      <c r="AO110" s="181">
        <f>IF(OR(RIGHT($H110,3)="RGT",RIGHT($H110,3)="INC"),IF($G110=AO$87,SUM($S160:AO160)+$O110,IF(AO$87&gt;$G110,AO160,0)),0)</f>
        <v>0</v>
      </c>
      <c r="AP110" s="182">
        <f>IF(OR(RIGHT($H110,3)="RGT",RIGHT($H110,3)="INC"),IF($G110=AP$87,SUM($S160:AP160)+$O110,IF(AP$87&gt;$G110,AP160,0)),0)</f>
        <v>0</v>
      </c>
    </row>
    <row r="111" spans="1:42" s="183" customFormat="1" x14ac:dyDescent="0.25">
      <c r="A111" s="178" t="str">
        <f t="shared" si="49"/>
        <v>Tehachapi Segments 4-11</v>
      </c>
      <c r="B111" s="179" t="s">
        <v>33</v>
      </c>
      <c r="C111" s="56" t="s">
        <v>203</v>
      </c>
      <c r="D111" s="66" t="s">
        <v>204</v>
      </c>
      <c r="E111" s="58" t="s">
        <v>272</v>
      </c>
      <c r="F111" s="155" t="s">
        <v>70</v>
      </c>
      <c r="G111" s="281">
        <v>41274</v>
      </c>
      <c r="H111" s="60" t="s">
        <v>288</v>
      </c>
      <c r="I111" s="61">
        <v>0</v>
      </c>
      <c r="J111" s="62">
        <v>1</v>
      </c>
      <c r="K111" s="63"/>
      <c r="L111" s="286">
        <v>0</v>
      </c>
      <c r="M111" s="71">
        <f t="shared" si="50"/>
        <v>165.318871</v>
      </c>
      <c r="N111" s="71">
        <f t="shared" si="51"/>
        <v>0</v>
      </c>
      <c r="O111" s="64">
        <f t="shared" si="52"/>
        <v>0</v>
      </c>
      <c r="P111" s="64">
        <f t="shared" si="53"/>
        <v>165.318871</v>
      </c>
      <c r="Q111" s="65">
        <f t="shared" si="54"/>
        <v>0</v>
      </c>
      <c r="R111" s="59"/>
      <c r="S111" s="180">
        <f>IF(OR(RIGHT($H111,3)="RGT",RIGHT($H111,3)="INC"),IF($G111=S$87,SUM($S161:S161)+$O111,IF(S$87&gt;$G111,S161,0)),0)</f>
        <v>5.6138999999999992</v>
      </c>
      <c r="T111" s="181">
        <f>IF(OR(RIGHT($H111,3)="RGT",RIGHT($H111,3)="INC"),IF($G111=T$87,SUM($S161:T161)+$O111,IF(T$87&gt;$G111,T161,0)),0)</f>
        <v>5.0163400000000005</v>
      </c>
      <c r="U111" s="181">
        <f>IF(OR(RIGHT($H111,3)="RGT",RIGHT($H111,3)="INC"),IF($G111=U$87,SUM($S161:U161)+$O111,IF(U$87&gt;$G111,U161,0)),0)</f>
        <v>-44.907019999999996</v>
      </c>
      <c r="V111" s="181">
        <f>IF(OR(RIGHT($H111,3)="RGT",RIGHT($H111,3)="INC"),IF($G111=V$87,SUM($S161:V161)+$O111,IF(V$87&gt;$G111,V161,0)),0)</f>
        <v>10</v>
      </c>
      <c r="W111" s="181">
        <f>IF(OR(RIGHT($H111,3)="RGT",RIGHT($H111,3)="INC"),IF($G111=W$87,SUM($S161:W161)+$O111,IF(W$87&gt;$G111,W161,0)),0)</f>
        <v>10</v>
      </c>
      <c r="X111" s="181">
        <f>IF(OR(RIGHT($H111,3)="RGT",RIGHT($H111,3)="INC"),IF($G111=X$87,SUM($S161:X161)+$O111,IF(X$87&gt;$G111,X161,0)),0)</f>
        <v>10</v>
      </c>
      <c r="Y111" s="181">
        <f>IF(OR(RIGHT($H111,3)="RGT",RIGHT($H111,3)="INC"),IF($G111=Y$87,SUM($S161:Y161)+$O111,IF(Y$87&gt;$G111,Y161,0)),0)</f>
        <v>10</v>
      </c>
      <c r="Z111" s="181">
        <f>IF(OR(RIGHT($H111,3)="RGT",RIGHT($H111,3)="INC"),IF($G111=Z$87,SUM($S161:Z161)+$O111,IF(Z$87&gt;$G111,Z161,0)),0)</f>
        <v>10</v>
      </c>
      <c r="AA111" s="181">
        <f>IF(OR(RIGHT($H111,3)="RGT",RIGHT($H111,3)="INC"),IF($G111=AA$87,SUM($S161:AA161)+$O111,IF(AA$87&gt;$G111,AA161,0)),0)</f>
        <v>10</v>
      </c>
      <c r="AB111" s="181">
        <f>IF(OR(RIGHT($H111,3)="RGT",RIGHT($H111,3)="INC"),IF($G111=AB$87,SUM($S161:AB161)+$O111,IF(AB$87&gt;$G111,AB161,0)),0)</f>
        <v>10</v>
      </c>
      <c r="AC111" s="181">
        <f>IF(OR(RIGHT($H111,3)="RGT",RIGHT($H111,3)="INC"),IF($G111=AC$87,SUM($S161:AC161)+$O111,IF(AC$87&gt;$G111,AC161,0)),0)</f>
        <v>10</v>
      </c>
      <c r="AD111" s="182">
        <f>IF(OR(RIGHT($H111,3)="RGT",RIGHT($H111,3)="INC"),IF($G111=AD$87,SUM($S161:AD161)+$O111,IF(AD$87&gt;$G111,AD161,0)),0)</f>
        <v>119.595651</v>
      </c>
      <c r="AE111" s="181">
        <f>IF(OR(RIGHT($H111,3)="RGT",RIGHT($H111,3)="INC"),IF($G111=AE$87,SUM($S161:AE161)+$O111,IF(AE$87&gt;$G111,AE161,0)),0)</f>
        <v>0</v>
      </c>
      <c r="AF111" s="181">
        <f>IF(OR(RIGHT($H111,3)="RGT",RIGHT($H111,3)="INC"),IF($G111=AF$87,SUM($S161:AF161)+$O111,IF(AF$87&gt;$G111,AF161,0)),0)</f>
        <v>0</v>
      </c>
      <c r="AG111" s="181">
        <f>IF(OR(RIGHT($H111,3)="RGT",RIGHT($H111,3)="INC"),IF($G111=AG$87,SUM($S161:AG161)+$O111,IF(AG$87&gt;$G111,AG161,0)),0)</f>
        <v>0</v>
      </c>
      <c r="AH111" s="181">
        <f>IF(OR(RIGHT($H111,3)="RGT",RIGHT($H111,3)="INC"),IF($G111=AH$87,SUM($S161:AH161)+$O111,IF(AH$87&gt;$G111,AH161,0)),0)</f>
        <v>0</v>
      </c>
      <c r="AI111" s="181">
        <f>IF(OR(RIGHT($H111,3)="RGT",RIGHT($H111,3)="INC"),IF($G111=AI$87,SUM($S161:AI161)+$O111,IF(AI$87&gt;$G111,AI161,0)),0)</f>
        <v>0</v>
      </c>
      <c r="AJ111" s="181">
        <f>IF(OR(RIGHT($H111,3)="RGT",RIGHT($H111,3)="INC"),IF($G111=AJ$87,SUM($S161:AJ161)+$O111,IF(AJ$87&gt;$G111,AJ161,0)),0)</f>
        <v>0</v>
      </c>
      <c r="AK111" s="181">
        <f>IF(OR(RIGHT($H111,3)="RGT",RIGHT($H111,3)="INC"),IF($G111=AK$87,SUM($S161:AK161)+$O111,IF(AK$87&gt;$G111,AK161,0)),0)</f>
        <v>0</v>
      </c>
      <c r="AL111" s="181">
        <f>IF(OR(RIGHT($H111,3)="RGT",RIGHT($H111,3)="INC"),IF($G111=AL$87,SUM($S161:AL161)+$O111,IF(AL$87&gt;$G111,AL161,0)),0)</f>
        <v>0</v>
      </c>
      <c r="AM111" s="181">
        <f>IF(OR(RIGHT($H111,3)="RGT",RIGHT($H111,3)="INC"),IF($G111=AM$87,SUM($S161:AM161)+$O111,IF(AM$87&gt;$G111,AM161,0)),0)</f>
        <v>0</v>
      </c>
      <c r="AN111" s="181">
        <f>IF(OR(RIGHT($H111,3)="RGT",RIGHT($H111,3)="INC"),IF($G111=AN$87,SUM($S161:AN161)+$O111,IF(AN$87&gt;$G111,AN161,0)),0)</f>
        <v>0</v>
      </c>
      <c r="AO111" s="181">
        <f>IF(OR(RIGHT($H111,3)="RGT",RIGHT($H111,3)="INC"),IF($G111=AO$87,SUM($S161:AO161)+$O111,IF(AO$87&gt;$G111,AO161,0)),0)</f>
        <v>0</v>
      </c>
      <c r="AP111" s="182">
        <f>IF(OR(RIGHT($H111,3)="RGT",RIGHT($H111,3)="INC"),IF($G111=AP$87,SUM($S161:AP161)+$O111,IF(AP$87&gt;$G111,AP161,0)),0)</f>
        <v>0</v>
      </c>
    </row>
    <row r="112" spans="1:42" s="183" customFormat="1" x14ac:dyDescent="0.25">
      <c r="A112" s="178" t="str">
        <f t="shared" si="49"/>
        <v>Tehachapi Segments 4-11</v>
      </c>
      <c r="B112" s="179" t="s">
        <v>33</v>
      </c>
      <c r="C112" s="56" t="s">
        <v>205</v>
      </c>
      <c r="D112" s="66" t="s">
        <v>206</v>
      </c>
      <c r="E112" s="58" t="s">
        <v>272</v>
      </c>
      <c r="F112" s="155" t="s">
        <v>70</v>
      </c>
      <c r="G112" s="281">
        <v>41274</v>
      </c>
      <c r="H112" s="60" t="s">
        <v>288</v>
      </c>
      <c r="I112" s="61">
        <v>0</v>
      </c>
      <c r="J112" s="62">
        <v>1</v>
      </c>
      <c r="K112" s="63"/>
      <c r="L112" s="286">
        <v>0</v>
      </c>
      <c r="M112" s="71">
        <f t="shared" si="50"/>
        <v>-22.787209999999998</v>
      </c>
      <c r="N112" s="71">
        <f t="shared" si="51"/>
        <v>0</v>
      </c>
      <c r="O112" s="64">
        <f t="shared" si="52"/>
        <v>0</v>
      </c>
      <c r="P112" s="64">
        <f t="shared" si="53"/>
        <v>-22.787209999999998</v>
      </c>
      <c r="Q112" s="65">
        <f t="shared" si="54"/>
        <v>0</v>
      </c>
      <c r="R112" s="59"/>
      <c r="S112" s="180">
        <f>IF(OR(RIGHT($H112,3)="RGT",RIGHT($H112,3)="INC"),IF($G112=S$87,SUM($S162:S162)+$O112,IF(S$87&gt;$G112,S162,0)),0)</f>
        <v>0.68967999999999996</v>
      </c>
      <c r="T112" s="181">
        <f>IF(OR(RIGHT($H112,3)="RGT",RIGHT($H112,3)="INC"),IF($G112=T$87,SUM($S162:T162)+$O112,IF(T$87&gt;$G112,T162,0)),0)</f>
        <v>3.4299999999999997E-2</v>
      </c>
      <c r="U112" s="181">
        <f>IF(OR(RIGHT($H112,3)="RGT",RIGHT($H112,3)="INC"),IF($G112=U$87,SUM($S162:U162)+$O112,IF(U$87&gt;$G112,U162,0)),0)</f>
        <v>-23.511189999999999</v>
      </c>
      <c r="V112" s="181">
        <f>IF(OR(RIGHT($H112,3)="RGT",RIGHT($H112,3)="INC"),IF($G112=V$87,SUM($S162:V162)+$O112,IF(V$87&gt;$G112,V162,0)),0)</f>
        <v>0</v>
      </c>
      <c r="W112" s="181">
        <f>IF(OR(RIGHT($H112,3)="RGT",RIGHT($H112,3)="INC"),IF($G112=W$87,SUM($S162:W162)+$O112,IF(W$87&gt;$G112,W162,0)),0)</f>
        <v>0</v>
      </c>
      <c r="X112" s="181">
        <f>IF(OR(RIGHT($H112,3)="RGT",RIGHT($H112,3)="INC"),IF($G112=X$87,SUM($S162:X162)+$O112,IF(X$87&gt;$G112,X162,0)),0)</f>
        <v>0</v>
      </c>
      <c r="Y112" s="181">
        <f>IF(OR(RIGHT($H112,3)="RGT",RIGHT($H112,3)="INC"),IF($G112=Y$87,SUM($S162:Y162)+$O112,IF(Y$87&gt;$G112,Y162,0)),0)</f>
        <v>0</v>
      </c>
      <c r="Z112" s="181">
        <f>IF(OR(RIGHT($H112,3)="RGT",RIGHT($H112,3)="INC"),IF($G112=Z$87,SUM($S162:Z162)+$O112,IF(Z$87&gt;$G112,Z162,0)),0)</f>
        <v>0</v>
      </c>
      <c r="AA112" s="181">
        <f>IF(OR(RIGHT($H112,3)="RGT",RIGHT($H112,3)="INC"),IF($G112=AA$87,SUM($S162:AA162)+$O112,IF(AA$87&gt;$G112,AA162,0)),0)</f>
        <v>0</v>
      </c>
      <c r="AB112" s="181">
        <f>IF(OR(RIGHT($H112,3)="RGT",RIGHT($H112,3)="INC"),IF($G112=AB$87,SUM($S162:AB162)+$O112,IF(AB$87&gt;$G112,AB162,0)),0)</f>
        <v>0</v>
      </c>
      <c r="AC112" s="181">
        <f>IF(OR(RIGHT($H112,3)="RGT",RIGHT($H112,3)="INC"),IF($G112=AC$87,SUM($S162:AC162)+$O112,IF(AC$87&gt;$G112,AC162,0)),0)</f>
        <v>0</v>
      </c>
      <c r="AD112" s="182">
        <f>IF(OR(RIGHT($H112,3)="RGT",RIGHT($H112,3)="INC"),IF($G112=AD$87,SUM($S162:AD162)+$O112,IF(AD$87&gt;$G112,AD162,0)),0)</f>
        <v>0</v>
      </c>
      <c r="AE112" s="181">
        <f>IF(OR(RIGHT($H112,3)="RGT",RIGHT($H112,3)="INC"),IF($G112=AE$87,SUM($S162:AE162)+$O112,IF(AE$87&gt;$G112,AE162,0)),0)</f>
        <v>0</v>
      </c>
      <c r="AF112" s="181">
        <f>IF(OR(RIGHT($H112,3)="RGT",RIGHT($H112,3)="INC"),IF($G112=AF$87,SUM($S162:AF162)+$O112,IF(AF$87&gt;$G112,AF162,0)),0)</f>
        <v>0</v>
      </c>
      <c r="AG112" s="181">
        <f>IF(OR(RIGHT($H112,3)="RGT",RIGHT($H112,3)="INC"),IF($G112=AG$87,SUM($S162:AG162)+$O112,IF(AG$87&gt;$G112,AG162,0)),0)</f>
        <v>0</v>
      </c>
      <c r="AH112" s="181">
        <f>IF(OR(RIGHT($H112,3)="RGT",RIGHT($H112,3)="INC"),IF($G112=AH$87,SUM($S162:AH162)+$O112,IF(AH$87&gt;$G112,AH162,0)),0)</f>
        <v>0</v>
      </c>
      <c r="AI112" s="181">
        <f>IF(OR(RIGHT($H112,3)="RGT",RIGHT($H112,3)="INC"),IF($G112=AI$87,SUM($S162:AI162)+$O112,IF(AI$87&gt;$G112,AI162,0)),0)</f>
        <v>0</v>
      </c>
      <c r="AJ112" s="181">
        <f>IF(OR(RIGHT($H112,3)="RGT",RIGHT($H112,3)="INC"),IF($G112=AJ$87,SUM($S162:AJ162)+$O112,IF(AJ$87&gt;$G112,AJ162,0)),0)</f>
        <v>0</v>
      </c>
      <c r="AK112" s="181">
        <f>IF(OR(RIGHT($H112,3)="RGT",RIGHT($H112,3)="INC"),IF($G112=AK$87,SUM($S162:AK162)+$O112,IF(AK$87&gt;$G112,AK162,0)),0)</f>
        <v>0</v>
      </c>
      <c r="AL112" s="181">
        <f>IF(OR(RIGHT($H112,3)="RGT",RIGHT($H112,3)="INC"),IF($G112=AL$87,SUM($S162:AL162)+$O112,IF(AL$87&gt;$G112,AL162,0)),0)</f>
        <v>0</v>
      </c>
      <c r="AM112" s="181">
        <f>IF(OR(RIGHT($H112,3)="RGT",RIGHT($H112,3)="INC"),IF($G112=AM$87,SUM($S162:AM162)+$O112,IF(AM$87&gt;$G112,AM162,0)),0)</f>
        <v>0</v>
      </c>
      <c r="AN112" s="181">
        <f>IF(OR(RIGHT($H112,3)="RGT",RIGHT($H112,3)="INC"),IF($G112=AN$87,SUM($S162:AN162)+$O112,IF(AN$87&gt;$G112,AN162,0)),0)</f>
        <v>0</v>
      </c>
      <c r="AO112" s="181">
        <f>IF(OR(RIGHT($H112,3)="RGT",RIGHT($H112,3)="INC"),IF($G112=AO$87,SUM($S162:AO162)+$O112,IF(AO$87&gt;$G112,AO162,0)),0)</f>
        <v>0</v>
      </c>
      <c r="AP112" s="182">
        <f>IF(OR(RIGHT($H112,3)="RGT",RIGHT($H112,3)="INC"),IF($G112=AP$87,SUM($S162:AP162)+$O112,IF(AP$87&gt;$G112,AP162,0)),0)</f>
        <v>0</v>
      </c>
    </row>
    <row r="113" spans="1:42" s="183" customFormat="1" x14ac:dyDescent="0.25">
      <c r="A113" s="178" t="str">
        <f t="shared" si="49"/>
        <v>Tehachapi Segments 4-11</v>
      </c>
      <c r="B113" s="179" t="s">
        <v>33</v>
      </c>
      <c r="C113" s="56" t="s">
        <v>207</v>
      </c>
      <c r="D113" s="66" t="s">
        <v>208</v>
      </c>
      <c r="E113" s="58" t="s">
        <v>272</v>
      </c>
      <c r="F113" s="155" t="s">
        <v>70</v>
      </c>
      <c r="G113" s="281">
        <v>41639</v>
      </c>
      <c r="H113" s="60" t="s">
        <v>288</v>
      </c>
      <c r="I113" s="61">
        <v>0</v>
      </c>
      <c r="J113" s="62">
        <v>1</v>
      </c>
      <c r="K113" s="237">
        <v>800219576</v>
      </c>
      <c r="L113" s="286">
        <v>0</v>
      </c>
      <c r="M113" s="71">
        <f t="shared" si="50"/>
        <v>-126.34281999999985</v>
      </c>
      <c r="N113" s="71">
        <f t="shared" si="51"/>
        <v>0</v>
      </c>
      <c r="O113" s="64">
        <f t="shared" si="52"/>
        <v>0</v>
      </c>
      <c r="P113" s="64">
        <f t="shared" si="53"/>
        <v>-126.34281999999985</v>
      </c>
      <c r="Q113" s="65">
        <f t="shared" si="54"/>
        <v>0</v>
      </c>
      <c r="R113" s="59"/>
      <c r="S113" s="180">
        <f>IF(OR(RIGHT($H113,3)="RGT",RIGHT($H113,3)="INC"),IF($G113=S$87,SUM($S163:S163)+$O113,IF(S$87&gt;$G113,S163,0)),0)</f>
        <v>-14.828719999999999</v>
      </c>
      <c r="T113" s="181">
        <f>IF(OR(RIGHT($H113,3)="RGT",RIGHT($H113,3)="INC"),IF($G113=T$87,SUM($S163:T163)+$O113,IF(T$87&gt;$G113,T163,0)),0)</f>
        <v>2.7970999999999999</v>
      </c>
      <c r="U113" s="181">
        <f>IF(OR(RIGHT($H113,3)="RGT",RIGHT($H113,3)="INC"),IF($G113=U$87,SUM($S163:U163)+$O113,IF(U$87&gt;$G113,U163,0)),0)</f>
        <v>-129.81119999999999</v>
      </c>
      <c r="V113" s="181">
        <f>IF(OR(RIGHT($H113,3)="RGT",RIGHT($H113,3)="INC"),IF($G113=V$87,SUM($S163:V163)+$O113,IF(V$87&gt;$G113,V163,0)),0)</f>
        <v>0</v>
      </c>
      <c r="W113" s="181">
        <f>IF(OR(RIGHT($H113,3)="RGT",RIGHT($H113,3)="INC"),IF($G113=W$87,SUM($S163:W163)+$O113,IF(W$87&gt;$G113,W163,0)),0)</f>
        <v>0</v>
      </c>
      <c r="X113" s="181">
        <f>IF(OR(RIGHT($H113,3)="RGT",RIGHT($H113,3)="INC"),IF($G113=X$87,SUM($S163:X163)+$O113,IF(X$87&gt;$G113,X163,0)),0)</f>
        <v>0</v>
      </c>
      <c r="Y113" s="181">
        <f>IF(OR(RIGHT($H113,3)="RGT",RIGHT($H113,3)="INC"),IF($G113=Y$87,SUM($S163:Y163)+$O113,IF(Y$87&gt;$G113,Y163,0)),0)</f>
        <v>0</v>
      </c>
      <c r="Z113" s="181">
        <f>IF(OR(RIGHT($H113,3)="RGT",RIGHT($H113,3)="INC"),IF($G113=Z$87,SUM($S163:Z163)+$O113,IF(Z$87&gt;$G113,Z163,0)),0)</f>
        <v>0</v>
      </c>
      <c r="AA113" s="181">
        <f>IF(OR(RIGHT($H113,3)="RGT",RIGHT($H113,3)="INC"),IF($G113=AA$87,SUM($S163:AA163)+$O113,IF(AA$87&gt;$G113,AA163,0)),0)</f>
        <v>0</v>
      </c>
      <c r="AB113" s="181">
        <f>IF(OR(RIGHT($H113,3)="RGT",RIGHT($H113,3)="INC"),IF($G113=AB$87,SUM($S163:AB163)+$O113,IF(AB$87&gt;$G113,AB163,0)),0)</f>
        <v>0</v>
      </c>
      <c r="AC113" s="181">
        <f>IF(OR(RIGHT($H113,3)="RGT",RIGHT($H113,3)="INC"),IF($G113=AC$87,SUM($S163:AC163)+$O113,IF(AC$87&gt;$G113,AC163,0)),0)</f>
        <v>0</v>
      </c>
      <c r="AD113" s="182">
        <f>IF(OR(RIGHT($H113,3)="RGT",RIGHT($H113,3)="INC"),IF($G113=AD$87,SUM($S163:AD163)+$O113,IF(AD$87&gt;$G113,AD163,0)),0)</f>
        <v>15.500000000000146</v>
      </c>
      <c r="AE113" s="181">
        <f>IF(OR(RIGHT($H113,3)="RGT",RIGHT($H113,3)="INC"),IF($G113=AE$87,SUM($S163:AE163)+$O113,IF(AE$87&gt;$G113,AE163,0)),0)</f>
        <v>0</v>
      </c>
      <c r="AF113" s="181">
        <f>IF(OR(RIGHT($H113,3)="RGT",RIGHT($H113,3)="INC"),IF($G113=AF$87,SUM($S163:AF163)+$O113,IF(AF$87&gt;$G113,AF163,0)),0)</f>
        <v>0</v>
      </c>
      <c r="AG113" s="181">
        <f>IF(OR(RIGHT($H113,3)="RGT",RIGHT($H113,3)="INC"),IF($G113=AG$87,SUM($S163:AG163)+$O113,IF(AG$87&gt;$G113,AG163,0)),0)</f>
        <v>0</v>
      </c>
      <c r="AH113" s="181">
        <f>IF(OR(RIGHT($H113,3)="RGT",RIGHT($H113,3)="INC"),IF($G113=AH$87,SUM($S163:AH163)+$O113,IF(AH$87&gt;$G113,AH163,0)),0)</f>
        <v>0</v>
      </c>
      <c r="AI113" s="181">
        <f>IF(OR(RIGHT($H113,3)="RGT",RIGHT($H113,3)="INC"),IF($G113=AI$87,SUM($S163:AI163)+$O113,IF(AI$87&gt;$G113,AI163,0)),0)</f>
        <v>0</v>
      </c>
      <c r="AJ113" s="181">
        <f>IF(OR(RIGHT($H113,3)="RGT",RIGHT($H113,3)="INC"),IF($G113=AJ$87,SUM($S163:AJ163)+$O113,IF(AJ$87&gt;$G113,AJ163,0)),0)</f>
        <v>0</v>
      </c>
      <c r="AK113" s="181">
        <f>IF(OR(RIGHT($H113,3)="RGT",RIGHT($H113,3)="INC"),IF($G113=AK$87,SUM($S163:AK163)+$O113,IF(AK$87&gt;$G113,AK163,0)),0)</f>
        <v>0</v>
      </c>
      <c r="AL113" s="181">
        <f>IF(OR(RIGHT($H113,3)="RGT",RIGHT($H113,3)="INC"),IF($G113=AL$87,SUM($S163:AL163)+$O113,IF(AL$87&gt;$G113,AL163,0)),0)</f>
        <v>0</v>
      </c>
      <c r="AM113" s="181">
        <f>IF(OR(RIGHT($H113,3)="RGT",RIGHT($H113,3)="INC"),IF($G113=AM$87,SUM($S163:AM163)+$O113,IF(AM$87&gt;$G113,AM163,0)),0)</f>
        <v>0</v>
      </c>
      <c r="AN113" s="181">
        <f>IF(OR(RIGHT($H113,3)="RGT",RIGHT($H113,3)="INC"),IF($G113=AN$87,SUM($S163:AN163)+$O113,IF(AN$87&gt;$G113,AN163,0)),0)</f>
        <v>0</v>
      </c>
      <c r="AO113" s="181">
        <f>IF(OR(RIGHT($H113,3)="RGT",RIGHT($H113,3)="INC"),IF($G113=AO$87,SUM($S163:AO163)+$O113,IF(AO$87&gt;$G113,AO163,0)),0)</f>
        <v>0</v>
      </c>
      <c r="AP113" s="182">
        <f>IF(OR(RIGHT($H113,3)="RGT",RIGHT($H113,3)="INC"),IF($G113=AP$87,SUM($S163:AP163)+$O113,IF(AP$87&gt;$G113,AP163,0)),0)</f>
        <v>0</v>
      </c>
    </row>
    <row r="114" spans="1:42" s="183" customFormat="1" x14ac:dyDescent="0.25">
      <c r="A114" s="178" t="str">
        <f t="shared" si="49"/>
        <v>Tehachapi Segments 4-11</v>
      </c>
      <c r="B114" s="179" t="s">
        <v>33</v>
      </c>
      <c r="C114" s="56" t="s">
        <v>281</v>
      </c>
      <c r="D114" s="66" t="s">
        <v>282</v>
      </c>
      <c r="E114" s="58" t="s">
        <v>272</v>
      </c>
      <c r="F114" s="155" t="s">
        <v>70</v>
      </c>
      <c r="G114" s="278">
        <v>42156</v>
      </c>
      <c r="H114" s="60" t="s">
        <v>288</v>
      </c>
      <c r="I114" s="61">
        <v>0</v>
      </c>
      <c r="J114" s="62">
        <v>1</v>
      </c>
      <c r="K114" s="237"/>
      <c r="L114" s="286">
        <v>-77.57656000000145</v>
      </c>
      <c r="M114" s="71">
        <f t="shared" si="50"/>
        <v>8.9999999999999992E-5</v>
      </c>
      <c r="N114" s="71">
        <f t="shared" si="51"/>
        <v>0</v>
      </c>
      <c r="O114" s="64">
        <f t="shared" si="52"/>
        <v>-77.57656000000145</v>
      </c>
      <c r="P114" s="64">
        <f t="shared" si="53"/>
        <v>8.9999999999999992E-5</v>
      </c>
      <c r="Q114" s="65">
        <f t="shared" si="54"/>
        <v>0</v>
      </c>
      <c r="R114" s="59"/>
      <c r="S114" s="180">
        <f>IF(OR(RIGHT($H114,3)="RGT",RIGHT($H114,3)="INC"),IF($G114=S$87,SUM($S164:S164)+$O114,IF(S$87&gt;$G114,S164,0)),0)</f>
        <v>0</v>
      </c>
      <c r="T114" s="181">
        <f>IF(OR(RIGHT($H114,3)="RGT",RIGHT($H114,3)="INC"),IF($G114=T$87,SUM($S164:T164)+$O114,IF(T$87&gt;$G114,T164,0)),0)</f>
        <v>0</v>
      </c>
      <c r="U114" s="181">
        <f>IF(OR(RIGHT($H114,3)="RGT",RIGHT($H114,3)="INC"),IF($G114=U$87,SUM($S164:U164)+$O114,IF(U$87&gt;$G114,U164,0)),0)</f>
        <v>0</v>
      </c>
      <c r="V114" s="181">
        <f>IF(OR(RIGHT($H114,3)="RGT",RIGHT($H114,3)="INC"),IF($G114=V$87,SUM($S164:V164)+$O114,IF(V$87&gt;$G114,V164,0)),0)</f>
        <v>0</v>
      </c>
      <c r="W114" s="181">
        <f>IF(OR(RIGHT($H114,3)="RGT",RIGHT($H114,3)="INC"),IF($G114=W$87,SUM($S164:W164)+$O114,IF(W$87&gt;$G114,W164,0)),0)</f>
        <v>0</v>
      </c>
      <c r="X114" s="181">
        <f>IF(OR(RIGHT($H114,3)="RGT",RIGHT($H114,3)="INC"),IF($G114=X$87,SUM($S164:X164)+$O114,IF(X$87&gt;$G114,X164,0)),0)</f>
        <v>-77.57647000000145</v>
      </c>
      <c r="Y114" s="181">
        <f>IF(OR(RIGHT($H114,3)="RGT",RIGHT($H114,3)="INC"),IF($G114=Y$87,SUM($S164:Y164)+$O114,IF(Y$87&gt;$G114,Y164,0)),0)</f>
        <v>0</v>
      </c>
      <c r="Z114" s="181">
        <f>IF(OR(RIGHT($H114,3)="RGT",RIGHT($H114,3)="INC"),IF($G114=Z$87,SUM($S164:Z164)+$O114,IF(Z$87&gt;$G114,Z164,0)),0)</f>
        <v>0</v>
      </c>
      <c r="AA114" s="181">
        <f>IF(OR(RIGHT($H114,3)="RGT",RIGHT($H114,3)="INC"),IF($G114=AA$87,SUM($S164:AA164)+$O114,IF(AA$87&gt;$G114,AA164,0)),0)</f>
        <v>0</v>
      </c>
      <c r="AB114" s="181">
        <f>IF(OR(RIGHT($H114,3)="RGT",RIGHT($H114,3)="INC"),IF($G114=AB$87,SUM($S164:AB164)+$O114,IF(AB$87&gt;$G114,AB164,0)),0)</f>
        <v>0</v>
      </c>
      <c r="AC114" s="181">
        <f>IF(OR(RIGHT($H114,3)="RGT",RIGHT($H114,3)="INC"),IF($G114=AC$87,SUM($S164:AC164)+$O114,IF(AC$87&gt;$G114,AC164,0)),0)</f>
        <v>0</v>
      </c>
      <c r="AD114" s="182">
        <f>IF(OR(RIGHT($H114,3)="RGT",RIGHT($H114,3)="INC"),IF($G114=AD$87,SUM($S164:AD164)+$O114,IF(AD$87&gt;$G114,AD164,0)),0)</f>
        <v>0</v>
      </c>
      <c r="AE114" s="181">
        <f>IF(OR(RIGHT($H114,3)="RGT",RIGHT($H114,3)="INC"),IF($G114=AE$87,SUM($S164:AE164)+$O114,IF(AE$87&gt;$G114,AE164,0)),0)</f>
        <v>0</v>
      </c>
      <c r="AF114" s="181">
        <f>IF(OR(RIGHT($H114,3)="RGT",RIGHT($H114,3)="INC"),IF($G114=AF$87,SUM($S164:AF164)+$O114,IF(AF$87&gt;$G114,AF164,0)),0)</f>
        <v>0</v>
      </c>
      <c r="AG114" s="181">
        <f>IF(OR(RIGHT($H114,3)="RGT",RIGHT($H114,3)="INC"),IF($G114=AG$87,SUM($S164:AG164)+$O114,IF(AG$87&gt;$G114,AG164,0)),0)</f>
        <v>0</v>
      </c>
      <c r="AH114" s="181">
        <f>IF(OR(RIGHT($H114,3)="RGT",RIGHT($H114,3)="INC"),IF($G114=AH$87,SUM($S164:AH164)+$O114,IF(AH$87&gt;$G114,AH164,0)),0)</f>
        <v>0</v>
      </c>
      <c r="AI114" s="181">
        <f>IF(OR(RIGHT($H114,3)="RGT",RIGHT($H114,3)="INC"),IF($G114=AI$87,SUM($S164:AI164)+$O114,IF(AI$87&gt;$G114,AI164,0)),0)</f>
        <v>0</v>
      </c>
      <c r="AJ114" s="181">
        <f>IF(OR(RIGHT($H114,3)="RGT",RIGHT($H114,3)="INC"),IF($G114=AJ$87,SUM($S164:AJ164)+$O114,IF(AJ$87&gt;$G114,AJ164,0)),0)</f>
        <v>0</v>
      </c>
      <c r="AK114" s="181">
        <f>IF(OR(RIGHT($H114,3)="RGT",RIGHT($H114,3)="INC"),IF($G114=AK$87,SUM($S164:AK164)+$O114,IF(AK$87&gt;$G114,AK164,0)),0)</f>
        <v>0</v>
      </c>
      <c r="AL114" s="181">
        <f>IF(OR(RIGHT($H114,3)="RGT",RIGHT($H114,3)="INC"),IF($G114=AL$87,SUM($S164:AL164)+$O114,IF(AL$87&gt;$G114,AL164,0)),0)</f>
        <v>0</v>
      </c>
      <c r="AM114" s="181">
        <f>IF(OR(RIGHT($H114,3)="RGT",RIGHT($H114,3)="INC"),IF($G114=AM$87,SUM($S164:AM164)+$O114,IF(AM$87&gt;$G114,AM164,0)),0)</f>
        <v>0</v>
      </c>
      <c r="AN114" s="181">
        <f>IF(OR(RIGHT($H114,3)="RGT",RIGHT($H114,3)="INC"),IF($G114=AN$87,SUM($S164:AN164)+$O114,IF(AN$87&gt;$G114,AN164,0)),0)</f>
        <v>0</v>
      </c>
      <c r="AO114" s="181">
        <f>IF(OR(RIGHT($H114,3)="RGT",RIGHT($H114,3)="INC"),IF($G114=AO$87,SUM($S164:AO164)+$O114,IF(AO$87&gt;$G114,AO164,0)),0)</f>
        <v>0</v>
      </c>
      <c r="AP114" s="182">
        <f>IF(OR(RIGHT($H114,3)="RGT",RIGHT($H114,3)="INC"),IF($G114=AP$87,SUM($S164:AP164)+$O114,IF(AP$87&gt;$G114,AP164,0)),0)</f>
        <v>0</v>
      </c>
    </row>
    <row r="115" spans="1:42" s="183" customFormat="1" x14ac:dyDescent="0.25">
      <c r="A115" s="178" t="str">
        <f t="shared" si="49"/>
        <v>Tehachapi Segments 4-11</v>
      </c>
      <c r="B115" s="179" t="s">
        <v>33</v>
      </c>
      <c r="C115" s="56" t="s">
        <v>209</v>
      </c>
      <c r="D115" s="66" t="s">
        <v>210</v>
      </c>
      <c r="E115" s="58" t="s">
        <v>272</v>
      </c>
      <c r="F115" s="155" t="s">
        <v>70</v>
      </c>
      <c r="G115" s="59">
        <v>41640</v>
      </c>
      <c r="H115" s="60" t="s">
        <v>288</v>
      </c>
      <c r="I115" s="61">
        <v>0</v>
      </c>
      <c r="J115" s="62">
        <v>1</v>
      </c>
      <c r="K115" s="237">
        <v>800218712</v>
      </c>
      <c r="L115" s="285">
        <f>2888.80776*0</f>
        <v>0</v>
      </c>
      <c r="M115" s="71">
        <f t="shared" si="50"/>
        <v>0</v>
      </c>
      <c r="N115" s="71">
        <f t="shared" si="51"/>
        <v>0</v>
      </c>
      <c r="O115" s="64">
        <f t="shared" si="52"/>
        <v>0</v>
      </c>
      <c r="P115" s="64">
        <f t="shared" si="53"/>
        <v>0</v>
      </c>
      <c r="Q115" s="65">
        <f t="shared" si="54"/>
        <v>0</v>
      </c>
      <c r="R115" s="59"/>
      <c r="S115" s="180">
        <f>IF(OR(RIGHT($H115,3)="RGT",RIGHT($H115,3)="INC"),IF($G115=S$87,SUM($S165:S165)+$O115,IF(S$87&gt;$G115,S165,0)),0)</f>
        <v>0</v>
      </c>
      <c r="T115" s="181">
        <f>IF(OR(RIGHT($H115,3)="RGT",RIGHT($H115,3)="INC"),IF($G115=T$87,SUM($S165:T165)+$O115,IF(T$87&gt;$G115,T165,0)),0)</f>
        <v>0</v>
      </c>
      <c r="U115" s="181">
        <f>IF(OR(RIGHT($H115,3)="RGT",RIGHT($H115,3)="INC"),IF($G115=U$87,SUM($S165:U165)+$O115,IF(U$87&gt;$G115,U165,0)),0)</f>
        <v>0</v>
      </c>
      <c r="V115" s="181">
        <f>IF(OR(RIGHT($H115,3)="RGT",RIGHT($H115,3)="INC"),IF($G115=V$87,SUM($S165:V165)+$O115,IF(V$87&gt;$G115,V165,0)),0)</f>
        <v>0</v>
      </c>
      <c r="W115" s="181">
        <f>IF(OR(RIGHT($H115,3)="RGT",RIGHT($H115,3)="INC"),IF($G115=W$87,SUM($S165:W165)+$O115,IF(W$87&gt;$G115,W165,0)),0)</f>
        <v>0</v>
      </c>
      <c r="X115" s="181">
        <f>IF(OR(RIGHT($H115,3)="RGT",RIGHT($H115,3)="INC"),IF($G115=X$87,SUM($S165:X165)+$O115,IF(X$87&gt;$G115,X165,0)),0)</f>
        <v>0</v>
      </c>
      <c r="Y115" s="181">
        <f>IF(OR(RIGHT($H115,3)="RGT",RIGHT($H115,3)="INC"),IF($G115=Y$87,SUM($S165:Y165)+$O115,IF(Y$87&gt;$G115,Y165,0)),0)</f>
        <v>0</v>
      </c>
      <c r="Z115" s="181">
        <f>IF(OR(RIGHT($H115,3)="RGT",RIGHT($H115,3)="INC"),IF($G115=Z$87,SUM($S165:Z165)+$O115,IF(Z$87&gt;$G115,Z165,0)),0)</f>
        <v>0</v>
      </c>
      <c r="AA115" s="181">
        <f>IF(OR(RIGHT($H115,3)="RGT",RIGHT($H115,3)="INC"),IF($G115=AA$87,SUM($S165:AA165)+$O115,IF(AA$87&gt;$G115,AA165,0)),0)</f>
        <v>0</v>
      </c>
      <c r="AB115" s="181">
        <f>IF(OR(RIGHT($H115,3)="RGT",RIGHT($H115,3)="INC"),IF($G115=AB$87,SUM($S165:AB165)+$O115,IF(AB$87&gt;$G115,AB165,0)),0)</f>
        <v>0</v>
      </c>
      <c r="AC115" s="181">
        <f>IF(OR(RIGHT($H115,3)="RGT",RIGHT($H115,3)="INC"),IF($G115=AC$87,SUM($S165:AC165)+$O115,IF(AC$87&gt;$G115,AC165,0)),0)</f>
        <v>0</v>
      </c>
      <c r="AD115" s="182">
        <f>IF(OR(RIGHT($H115,3)="RGT",RIGHT($H115,3)="INC"),IF($G115=AD$87,SUM($S165:AD165)+$O115,IF(AD$87&gt;$G115,AD165,0)),0)</f>
        <v>0</v>
      </c>
      <c r="AE115" s="181">
        <f>IF(OR(RIGHT($H115,3)="RGT",RIGHT($H115,3)="INC"),IF($G115=AE$87,SUM($S165:AE165)+$O115,IF(AE$87&gt;$G115,AE165,0)),0)</f>
        <v>0</v>
      </c>
      <c r="AF115" s="181">
        <f>IF(OR(RIGHT($H115,3)="RGT",RIGHT($H115,3)="INC"),IF($G115=AF$87,SUM($S165:AF165)+$O115,IF(AF$87&gt;$G115,AF165,0)),0)</f>
        <v>0</v>
      </c>
      <c r="AG115" s="181">
        <f>IF(OR(RIGHT($H115,3)="RGT",RIGHT($H115,3)="INC"),IF($G115=AG$87,SUM($S165:AG165)+$O115,IF(AG$87&gt;$G115,AG165,0)),0)</f>
        <v>0</v>
      </c>
      <c r="AH115" s="181">
        <f>IF(OR(RIGHT($H115,3)="RGT",RIGHT($H115,3)="INC"),IF($G115=AH$87,SUM($S165:AH165)+$O115,IF(AH$87&gt;$G115,AH165,0)),0)</f>
        <v>0</v>
      </c>
      <c r="AI115" s="181">
        <f>IF(OR(RIGHT($H115,3)="RGT",RIGHT($H115,3)="INC"),IF($G115=AI$87,SUM($S165:AI165)+$O115,IF(AI$87&gt;$G115,AI165,0)),0)</f>
        <v>0</v>
      </c>
      <c r="AJ115" s="181">
        <f>IF(OR(RIGHT($H115,3)="RGT",RIGHT($H115,3)="INC"),IF($G115=AJ$87,SUM($S165:AJ165)+$O115,IF(AJ$87&gt;$G115,AJ165,0)),0)</f>
        <v>0</v>
      </c>
      <c r="AK115" s="181">
        <f>IF(OR(RIGHT($H115,3)="RGT",RIGHT($H115,3)="INC"),IF($G115=AK$87,SUM($S165:AK165)+$O115,IF(AK$87&gt;$G115,AK165,0)),0)</f>
        <v>0</v>
      </c>
      <c r="AL115" s="181">
        <f>IF(OR(RIGHT($H115,3)="RGT",RIGHT($H115,3)="INC"),IF($G115=AL$87,SUM($S165:AL165)+$O115,IF(AL$87&gt;$G115,AL165,0)),0)</f>
        <v>0</v>
      </c>
      <c r="AM115" s="181">
        <f>IF(OR(RIGHT($H115,3)="RGT",RIGHT($H115,3)="INC"),IF($G115=AM$87,SUM($S165:AM165)+$O115,IF(AM$87&gt;$G115,AM165,0)),0)</f>
        <v>0</v>
      </c>
      <c r="AN115" s="181">
        <f>IF(OR(RIGHT($H115,3)="RGT",RIGHT($H115,3)="INC"),IF($G115=AN$87,SUM($S165:AN165)+$O115,IF(AN$87&gt;$G115,AN165,0)),0)</f>
        <v>0</v>
      </c>
      <c r="AO115" s="181">
        <f>IF(OR(RIGHT($H115,3)="RGT",RIGHT($H115,3)="INC"),IF($G115=AO$87,SUM($S165:AO165)+$O115,IF(AO$87&gt;$G115,AO165,0)),0)</f>
        <v>0</v>
      </c>
      <c r="AP115" s="182">
        <f>IF(OR(RIGHT($H115,3)="RGT",RIGHT($H115,3)="INC"),IF($G115=AP$87,SUM($S165:AP165)+$O115,IF(AP$87&gt;$G115,AP165,0)),0)</f>
        <v>0</v>
      </c>
    </row>
    <row r="116" spans="1:42" s="183" customFormat="1" x14ac:dyDescent="0.25">
      <c r="A116" s="178" t="str">
        <f t="shared" si="49"/>
        <v>Tehachapi Segments 4-11</v>
      </c>
      <c r="B116" s="179" t="s">
        <v>33</v>
      </c>
      <c r="C116" s="56" t="s">
        <v>211</v>
      </c>
      <c r="D116" s="66" t="s">
        <v>212</v>
      </c>
      <c r="E116" s="58" t="s">
        <v>272</v>
      </c>
      <c r="F116" s="155" t="s">
        <v>70</v>
      </c>
      <c r="G116" s="59">
        <v>41821</v>
      </c>
      <c r="H116" s="60" t="s">
        <v>288</v>
      </c>
      <c r="I116" s="61">
        <v>0</v>
      </c>
      <c r="J116" s="62">
        <v>1</v>
      </c>
      <c r="K116" s="237">
        <v>800219576</v>
      </c>
      <c r="L116" s="236">
        <v>0</v>
      </c>
      <c r="M116" s="71">
        <f t="shared" si="50"/>
        <v>865</v>
      </c>
      <c r="N116" s="71">
        <f t="shared" si="51"/>
        <v>0</v>
      </c>
      <c r="O116" s="64">
        <f t="shared" si="52"/>
        <v>0</v>
      </c>
      <c r="P116" s="64">
        <f t="shared" si="53"/>
        <v>865</v>
      </c>
      <c r="Q116" s="65">
        <f t="shared" si="54"/>
        <v>0</v>
      </c>
      <c r="R116" s="59"/>
      <c r="S116" s="180">
        <f>IF(OR(RIGHT($H116,3)="RGT",RIGHT($H116,3)="INC"),IF($G116=S$87,SUM($S166:S166)+$O116,IF(S$87&gt;$G116,S166,0)),0)</f>
        <v>30.4773</v>
      </c>
      <c r="T116" s="181">
        <f>IF(OR(RIGHT($H116,3)="RGT",RIGHT($H116,3)="INC"),IF($G116=T$87,SUM($S166:T166)+$O116,IF(T$87&gt;$G116,T166,0)),0)</f>
        <v>7.7539799999999994</v>
      </c>
      <c r="U116" s="181">
        <f>IF(OR(RIGHT($H116,3)="RGT",RIGHT($H116,3)="INC"),IF($G116=U$87,SUM($S166:U166)+$O116,IF(U$87&gt;$G116,U166,0)),0)</f>
        <v>8.6286900000000006</v>
      </c>
      <c r="V116" s="181">
        <f>IF(OR(RIGHT($H116,3)="RGT",RIGHT($H116,3)="INC"),IF($G116=V$87,SUM($S166:V166)+$O116,IF(V$87&gt;$G116,V166,0)),0)</f>
        <v>124.2</v>
      </c>
      <c r="W116" s="181">
        <f>IF(OR(RIGHT($H116,3)="RGT",RIGHT($H116,3)="INC"),IF($G116=W$87,SUM($S166:W166)+$O116,IF(W$87&gt;$G116,W166,0)),0)</f>
        <v>68.2</v>
      </c>
      <c r="X116" s="181">
        <f>IF(OR(RIGHT($H116,3)="RGT",RIGHT($H116,3)="INC"),IF($G116=X$87,SUM($S166:X166)+$O116,IF(X$87&gt;$G116,X166,0)),0)</f>
        <v>68.2</v>
      </c>
      <c r="Y116" s="181">
        <f>IF(OR(RIGHT($H116,3)="RGT",RIGHT($H116,3)="INC"),IF($G116=Y$87,SUM($S166:Y166)+$O116,IF(Y$87&gt;$G116,Y166,0)),0)</f>
        <v>68.2</v>
      </c>
      <c r="Z116" s="181">
        <f>IF(OR(RIGHT($H116,3)="RGT",RIGHT($H116,3)="INC"),IF($G116=Z$87,SUM($S166:Z166)+$O116,IF(Z$87&gt;$G116,Z166,0)),0)</f>
        <v>68.2</v>
      </c>
      <c r="AA116" s="181">
        <f>IF(OR(RIGHT($H116,3)="RGT",RIGHT($H116,3)="INC"),IF($G116=AA$87,SUM($S166:AA166)+$O116,IF(AA$87&gt;$G116,AA166,0)),0)</f>
        <v>68.2</v>
      </c>
      <c r="AB116" s="181">
        <f>IF(OR(RIGHT($H116,3)="RGT",RIGHT($H116,3)="INC"),IF($G116=AB$87,SUM($S166:AB166)+$O116,IF(AB$87&gt;$G116,AB166,0)),0)</f>
        <v>57</v>
      </c>
      <c r="AC116" s="181">
        <f>IF(OR(RIGHT($H116,3)="RGT",RIGHT($H116,3)="INC"),IF($G116=AC$87,SUM($S166:AC166)+$O116,IF(AC$87&gt;$G116,AC166,0)),0)</f>
        <v>56</v>
      </c>
      <c r="AD116" s="182">
        <f>IF(OR(RIGHT($H116,3)="RGT",RIGHT($H116,3)="INC"),IF($G116=AD$87,SUM($S166:AD166)+$O116,IF(AD$87&gt;$G116,AD166,0)),0)</f>
        <v>239.94003000000004</v>
      </c>
      <c r="AE116" s="181">
        <f>IF(OR(RIGHT($H116,3)="RGT",RIGHT($H116,3)="INC"),IF($G116=AE$87,SUM($S166:AE166)+$O116,IF(AE$87&gt;$G116,AE166,0)),0)</f>
        <v>0</v>
      </c>
      <c r="AF116" s="181">
        <f>IF(OR(RIGHT($H116,3)="RGT",RIGHT($H116,3)="INC"),IF($G116=AF$87,SUM($S166:AF166)+$O116,IF(AF$87&gt;$G116,AF166,0)),0)</f>
        <v>0</v>
      </c>
      <c r="AG116" s="181">
        <f>IF(OR(RIGHT($H116,3)="RGT",RIGHT($H116,3)="INC"),IF($G116=AG$87,SUM($S166:AG166)+$O116,IF(AG$87&gt;$G116,AG166,0)),0)</f>
        <v>0</v>
      </c>
      <c r="AH116" s="181">
        <f>IF(OR(RIGHT($H116,3)="RGT",RIGHT($H116,3)="INC"),IF($G116=AH$87,SUM($S166:AH166)+$O116,IF(AH$87&gt;$G116,AH166,0)),0)</f>
        <v>0</v>
      </c>
      <c r="AI116" s="181">
        <f>IF(OR(RIGHT($H116,3)="RGT",RIGHT($H116,3)="INC"),IF($G116=AI$87,SUM($S166:AI166)+$O116,IF(AI$87&gt;$G116,AI166,0)),0)</f>
        <v>0</v>
      </c>
      <c r="AJ116" s="181">
        <f>IF(OR(RIGHT($H116,3)="RGT",RIGHT($H116,3)="INC"),IF($G116=AJ$87,SUM($S166:AJ166)+$O116,IF(AJ$87&gt;$G116,AJ166,0)),0)</f>
        <v>0</v>
      </c>
      <c r="AK116" s="181">
        <f>IF(OR(RIGHT($H116,3)="RGT",RIGHT($H116,3)="INC"),IF($G116=AK$87,SUM($S166:AK166)+$O116,IF(AK$87&gt;$G116,AK166,0)),0)</f>
        <v>0</v>
      </c>
      <c r="AL116" s="181">
        <f>IF(OR(RIGHT($H116,3)="RGT",RIGHT($H116,3)="INC"),IF($G116=AL$87,SUM($S166:AL166)+$O116,IF(AL$87&gt;$G116,AL166,0)),0)</f>
        <v>0</v>
      </c>
      <c r="AM116" s="181">
        <f>IF(OR(RIGHT($H116,3)="RGT",RIGHT($H116,3)="INC"),IF($G116=AM$87,SUM($S166:AM166)+$O116,IF(AM$87&gt;$G116,AM166,0)),0)</f>
        <v>0</v>
      </c>
      <c r="AN116" s="181">
        <f>IF(OR(RIGHT($H116,3)="RGT",RIGHT($H116,3)="INC"),IF($G116=AN$87,SUM($S166:AN166)+$O116,IF(AN$87&gt;$G116,AN166,0)),0)</f>
        <v>0</v>
      </c>
      <c r="AO116" s="181">
        <f>IF(OR(RIGHT($H116,3)="RGT",RIGHT($H116,3)="INC"),IF($G116=AO$87,SUM($S166:AO166)+$O116,IF(AO$87&gt;$G116,AO166,0)),0)</f>
        <v>0</v>
      </c>
      <c r="AP116" s="182">
        <f>IF(OR(RIGHT($H116,3)="RGT",RIGHT($H116,3)="INC"),IF($G116=AP$87,SUM($S166:AP166)+$O116,IF(AP$87&gt;$G116,AP166,0)),0)</f>
        <v>0</v>
      </c>
    </row>
    <row r="117" spans="1:42" s="183" customFormat="1" x14ac:dyDescent="0.25">
      <c r="A117" s="178" t="str">
        <f t="shared" si="49"/>
        <v>Tehachapi Segments 4-11</v>
      </c>
      <c r="B117" s="179" t="s">
        <v>33</v>
      </c>
      <c r="C117" s="56" t="s">
        <v>283</v>
      </c>
      <c r="D117" s="66" t="s">
        <v>284</v>
      </c>
      <c r="E117" s="58" t="s">
        <v>272</v>
      </c>
      <c r="F117" s="155" t="s">
        <v>70</v>
      </c>
      <c r="G117" s="59">
        <v>41640</v>
      </c>
      <c r="H117" s="60" t="s">
        <v>288</v>
      </c>
      <c r="I117" s="61">
        <v>0</v>
      </c>
      <c r="J117" s="62">
        <v>1</v>
      </c>
      <c r="K117" s="237">
        <v>800219704</v>
      </c>
      <c r="L117" s="285">
        <f>1088.87105*0</f>
        <v>0</v>
      </c>
      <c r="M117" s="71">
        <f t="shared" si="50"/>
        <v>1.4057999999999999</v>
      </c>
      <c r="N117" s="71">
        <f t="shared" si="51"/>
        <v>0</v>
      </c>
      <c r="O117" s="64">
        <f t="shared" si="52"/>
        <v>0</v>
      </c>
      <c r="P117" s="64">
        <f t="shared" si="53"/>
        <v>1.4057999999999999</v>
      </c>
      <c r="Q117" s="65">
        <f t="shared" si="54"/>
        <v>0</v>
      </c>
      <c r="R117" s="59"/>
      <c r="S117" s="180">
        <f>IF(OR(RIGHT($H117,3)="RGT",RIGHT($H117,3)="INC"),IF($G117=S$87,SUM($S167:S167)+$O117,IF(S$87&gt;$G117,S167,0)),0)</f>
        <v>1.15293</v>
      </c>
      <c r="T117" s="181">
        <f>IF(OR(RIGHT($H117,3)="RGT",RIGHT($H117,3)="INC"),IF($G117=T$87,SUM($S167:T167)+$O117,IF(T$87&gt;$G117,T167,0)),0)</f>
        <v>5.3679999999999999E-2</v>
      </c>
      <c r="U117" s="181">
        <f>IF(OR(RIGHT($H117,3)="RGT",RIGHT($H117,3)="INC"),IF($G117=U$87,SUM($S167:U167)+$O117,IF(U$87&gt;$G117,U167,0)),0)</f>
        <v>0.19919000000000001</v>
      </c>
      <c r="V117" s="181">
        <f>IF(OR(RIGHT($H117,3)="RGT",RIGHT($H117,3)="INC"),IF($G117=V$87,SUM($S167:V167)+$O117,IF(V$87&gt;$G117,V167,0)),0)</f>
        <v>0</v>
      </c>
      <c r="W117" s="181">
        <f>IF(OR(RIGHT($H117,3)="RGT",RIGHT($H117,3)="INC"),IF($G117=W$87,SUM($S167:W167)+$O117,IF(W$87&gt;$G117,W167,0)),0)</f>
        <v>0</v>
      </c>
      <c r="X117" s="181">
        <f>IF(OR(RIGHT($H117,3)="RGT",RIGHT($H117,3)="INC"),IF($G117=X$87,SUM($S167:X167)+$O117,IF(X$87&gt;$G117,X167,0)),0)</f>
        <v>0</v>
      </c>
      <c r="Y117" s="181">
        <f>IF(OR(RIGHT($H117,3)="RGT",RIGHT($H117,3)="INC"),IF($G117=Y$87,SUM($S167:Y167)+$O117,IF(Y$87&gt;$G117,Y167,0)),0)</f>
        <v>0</v>
      </c>
      <c r="Z117" s="181">
        <f>IF(OR(RIGHT($H117,3)="RGT",RIGHT($H117,3)="INC"),IF($G117=Z$87,SUM($S167:Z167)+$O117,IF(Z$87&gt;$G117,Z167,0)),0)</f>
        <v>0</v>
      </c>
      <c r="AA117" s="181">
        <f>IF(OR(RIGHT($H117,3)="RGT",RIGHT($H117,3)="INC"),IF($G117=AA$87,SUM($S167:AA167)+$O117,IF(AA$87&gt;$G117,AA167,0)),0)</f>
        <v>0</v>
      </c>
      <c r="AB117" s="181">
        <f>IF(OR(RIGHT($H117,3)="RGT",RIGHT($H117,3)="INC"),IF($G117=AB$87,SUM($S167:AB167)+$O117,IF(AB$87&gt;$G117,AB167,0)),0)</f>
        <v>0</v>
      </c>
      <c r="AC117" s="181">
        <f>IF(OR(RIGHT($H117,3)="RGT",RIGHT($H117,3)="INC"),IF($G117=AC$87,SUM($S167:AC167)+$O117,IF(AC$87&gt;$G117,AC167,0)),0)</f>
        <v>0</v>
      </c>
      <c r="AD117" s="182">
        <f>IF(OR(RIGHT($H117,3)="RGT",RIGHT($H117,3)="INC"),IF($G117=AD$87,SUM($S167:AD167)+$O117,IF(AD$87&gt;$G117,AD167,0)),0)</f>
        <v>0</v>
      </c>
      <c r="AE117" s="181">
        <f>IF(OR(RIGHT($H117,3)="RGT",RIGHT($H117,3)="INC"),IF($G117=AE$87,SUM($S167:AE167)+$O117,IF(AE$87&gt;$G117,AE167,0)),0)</f>
        <v>0</v>
      </c>
      <c r="AF117" s="181">
        <f>IF(OR(RIGHT($H117,3)="RGT",RIGHT($H117,3)="INC"),IF($G117=AF$87,SUM($S167:AF167)+$O117,IF(AF$87&gt;$G117,AF167,0)),0)</f>
        <v>0</v>
      </c>
      <c r="AG117" s="181">
        <f>IF(OR(RIGHT($H117,3)="RGT",RIGHT($H117,3)="INC"),IF($G117=AG$87,SUM($S167:AG167)+$O117,IF(AG$87&gt;$G117,AG167,0)),0)</f>
        <v>0</v>
      </c>
      <c r="AH117" s="181">
        <f>IF(OR(RIGHT($H117,3)="RGT",RIGHT($H117,3)="INC"),IF($G117=AH$87,SUM($S167:AH167)+$O117,IF(AH$87&gt;$G117,AH167,0)),0)</f>
        <v>0</v>
      </c>
      <c r="AI117" s="181">
        <f>IF(OR(RIGHT($H117,3)="RGT",RIGHT($H117,3)="INC"),IF($G117=AI$87,SUM($S167:AI167)+$O117,IF(AI$87&gt;$G117,AI167,0)),0)</f>
        <v>0</v>
      </c>
      <c r="AJ117" s="181">
        <f>IF(OR(RIGHT($H117,3)="RGT",RIGHT($H117,3)="INC"),IF($G117=AJ$87,SUM($S167:AJ167)+$O117,IF(AJ$87&gt;$G117,AJ167,0)),0)</f>
        <v>0</v>
      </c>
      <c r="AK117" s="181">
        <f>IF(OR(RIGHT($H117,3)="RGT",RIGHT($H117,3)="INC"),IF($G117=AK$87,SUM($S167:AK167)+$O117,IF(AK$87&gt;$G117,AK167,0)),0)</f>
        <v>0</v>
      </c>
      <c r="AL117" s="181">
        <f>IF(OR(RIGHT($H117,3)="RGT",RIGHT($H117,3)="INC"),IF($G117=AL$87,SUM($S167:AL167)+$O117,IF(AL$87&gt;$G117,AL167,0)),0)</f>
        <v>0</v>
      </c>
      <c r="AM117" s="181">
        <f>IF(OR(RIGHT($H117,3)="RGT",RIGHT($H117,3)="INC"),IF($G117=AM$87,SUM($S167:AM167)+$O117,IF(AM$87&gt;$G117,AM167,0)),0)</f>
        <v>0</v>
      </c>
      <c r="AN117" s="181">
        <f>IF(OR(RIGHT($H117,3)="RGT",RIGHT($H117,3)="INC"),IF($G117=AN$87,SUM($S167:AN167)+$O117,IF(AN$87&gt;$G117,AN167,0)),0)</f>
        <v>0</v>
      </c>
      <c r="AO117" s="181">
        <f>IF(OR(RIGHT($H117,3)="RGT",RIGHT($H117,3)="INC"),IF($G117=AO$87,SUM($S167:AO167)+$O117,IF(AO$87&gt;$G117,AO167,0)),0)</f>
        <v>0</v>
      </c>
      <c r="AP117" s="182">
        <f>IF(OR(RIGHT($H117,3)="RGT",RIGHT($H117,3)="INC"),IF($G117=AP$87,SUM($S167:AP167)+$O117,IF(AP$87&gt;$G117,AP167,0)),0)</f>
        <v>0</v>
      </c>
    </row>
    <row r="118" spans="1:42" s="183" customFormat="1" x14ac:dyDescent="0.25">
      <c r="A118" s="178" t="str">
        <f t="shared" si="49"/>
        <v>Tehachapi Segments 4-11</v>
      </c>
      <c r="B118" s="179" t="s">
        <v>33</v>
      </c>
      <c r="C118" s="56" t="s">
        <v>213</v>
      </c>
      <c r="D118" s="66" t="s">
        <v>214</v>
      </c>
      <c r="E118" s="58" t="s">
        <v>272</v>
      </c>
      <c r="F118" s="155" t="s">
        <v>70</v>
      </c>
      <c r="G118" s="59">
        <v>41091</v>
      </c>
      <c r="H118" s="60" t="s">
        <v>288</v>
      </c>
      <c r="I118" s="61">
        <v>0</v>
      </c>
      <c r="J118" s="62">
        <v>1</v>
      </c>
      <c r="K118" s="237">
        <v>900817489</v>
      </c>
      <c r="L118" s="236">
        <v>0</v>
      </c>
      <c r="M118" s="71">
        <f t="shared" si="50"/>
        <v>-0.86336999999999997</v>
      </c>
      <c r="N118" s="71">
        <f t="shared" si="51"/>
        <v>0</v>
      </c>
      <c r="O118" s="64">
        <f t="shared" si="52"/>
        <v>0</v>
      </c>
      <c r="P118" s="64">
        <f t="shared" si="53"/>
        <v>-0.86336999999999997</v>
      </c>
      <c r="Q118" s="65">
        <f t="shared" si="54"/>
        <v>0</v>
      </c>
      <c r="R118" s="59"/>
      <c r="S118" s="180">
        <f>IF(OR(RIGHT($H118,3)="RGT",RIGHT($H118,3)="INC"),IF($G118=S$87,SUM($S168:S168)+$O118,IF(S$87&gt;$G118,S168,0)),0)</f>
        <v>-0.86988999999999994</v>
      </c>
      <c r="T118" s="181">
        <f>IF(OR(RIGHT($H118,3)="RGT",RIGHT($H118,3)="INC"),IF($G118=T$87,SUM($S168:T168)+$O118,IF(T$87&gt;$G118,T168,0)),0)</f>
        <v>6.5199999999999998E-3</v>
      </c>
      <c r="U118" s="181">
        <f>IF(OR(RIGHT($H118,3)="RGT",RIGHT($H118,3)="INC"),IF($G118=U$87,SUM($S168:U168)+$O118,IF(U$87&gt;$G118,U168,0)),0)</f>
        <v>0</v>
      </c>
      <c r="V118" s="181">
        <f>IF(OR(RIGHT($H118,3)="RGT",RIGHT($H118,3)="INC"),IF($G118=V$87,SUM($S168:V168)+$O118,IF(V$87&gt;$G118,V168,0)),0)</f>
        <v>0</v>
      </c>
      <c r="W118" s="181">
        <f>IF(OR(RIGHT($H118,3)="RGT",RIGHT($H118,3)="INC"),IF($G118=W$87,SUM($S168:W168)+$O118,IF(W$87&gt;$G118,W168,0)),0)</f>
        <v>0</v>
      </c>
      <c r="X118" s="181">
        <f>IF(OR(RIGHT($H118,3)="RGT",RIGHT($H118,3)="INC"),IF($G118=X$87,SUM($S168:X168)+$O118,IF(X$87&gt;$G118,X168,0)),0)</f>
        <v>0</v>
      </c>
      <c r="Y118" s="181">
        <f>IF(OR(RIGHT($H118,3)="RGT",RIGHT($H118,3)="INC"),IF($G118=Y$87,SUM($S168:Y168)+$O118,IF(Y$87&gt;$G118,Y168,0)),0)</f>
        <v>0</v>
      </c>
      <c r="Z118" s="181">
        <f>IF(OR(RIGHT($H118,3)="RGT",RIGHT($H118,3)="INC"),IF($G118=Z$87,SUM($S168:Z168)+$O118,IF(Z$87&gt;$G118,Z168,0)),0)</f>
        <v>0</v>
      </c>
      <c r="AA118" s="181">
        <f>IF(OR(RIGHT($H118,3)="RGT",RIGHT($H118,3)="INC"),IF($G118=AA$87,SUM($S168:AA168)+$O118,IF(AA$87&gt;$G118,AA168,0)),0)</f>
        <v>0</v>
      </c>
      <c r="AB118" s="181">
        <f>IF(OR(RIGHT($H118,3)="RGT",RIGHT($H118,3)="INC"),IF($G118=AB$87,SUM($S168:AB168)+$O118,IF(AB$87&gt;$G118,AB168,0)),0)</f>
        <v>0</v>
      </c>
      <c r="AC118" s="181">
        <f>IF(OR(RIGHT($H118,3)="RGT",RIGHT($H118,3)="INC"),IF($G118=AC$87,SUM($S168:AC168)+$O118,IF(AC$87&gt;$G118,AC168,0)),0)</f>
        <v>0</v>
      </c>
      <c r="AD118" s="182">
        <f>IF(OR(RIGHT($H118,3)="RGT",RIGHT($H118,3)="INC"),IF($G118=AD$87,SUM($S168:AD168)+$O118,IF(AD$87&gt;$G118,AD168,0)),0)</f>
        <v>0</v>
      </c>
      <c r="AE118" s="181">
        <f>IF(OR(RIGHT($H118,3)="RGT",RIGHT($H118,3)="INC"),IF($G118=AE$87,SUM($S168:AE168)+$O118,IF(AE$87&gt;$G118,AE168,0)),0)</f>
        <v>0</v>
      </c>
      <c r="AF118" s="181">
        <f>IF(OR(RIGHT($H118,3)="RGT",RIGHT($H118,3)="INC"),IF($G118=AF$87,SUM($S168:AF168)+$O118,IF(AF$87&gt;$G118,AF168,0)),0)</f>
        <v>0</v>
      </c>
      <c r="AG118" s="181">
        <f>IF(OR(RIGHT($H118,3)="RGT",RIGHT($H118,3)="INC"),IF($G118=AG$87,SUM($S168:AG168)+$O118,IF(AG$87&gt;$G118,AG168,0)),0)</f>
        <v>0</v>
      </c>
      <c r="AH118" s="181">
        <f>IF(OR(RIGHT($H118,3)="RGT",RIGHT($H118,3)="INC"),IF($G118=AH$87,SUM($S168:AH168)+$O118,IF(AH$87&gt;$G118,AH168,0)),0)</f>
        <v>0</v>
      </c>
      <c r="AI118" s="181">
        <f>IF(OR(RIGHT($H118,3)="RGT",RIGHT($H118,3)="INC"),IF($G118=AI$87,SUM($S168:AI168)+$O118,IF(AI$87&gt;$G118,AI168,0)),0)</f>
        <v>0</v>
      </c>
      <c r="AJ118" s="181">
        <f>IF(OR(RIGHT($H118,3)="RGT",RIGHT($H118,3)="INC"),IF($G118=AJ$87,SUM($S168:AJ168)+$O118,IF(AJ$87&gt;$G118,AJ168,0)),0)</f>
        <v>0</v>
      </c>
      <c r="AK118" s="181">
        <f>IF(OR(RIGHT($H118,3)="RGT",RIGHT($H118,3)="INC"),IF($G118=AK$87,SUM($S168:AK168)+$O118,IF(AK$87&gt;$G118,AK168,0)),0)</f>
        <v>0</v>
      </c>
      <c r="AL118" s="181">
        <f>IF(OR(RIGHT($H118,3)="RGT",RIGHT($H118,3)="INC"),IF($G118=AL$87,SUM($S168:AL168)+$O118,IF(AL$87&gt;$G118,AL168,0)),0)</f>
        <v>0</v>
      </c>
      <c r="AM118" s="181">
        <f>IF(OR(RIGHT($H118,3)="RGT",RIGHT($H118,3)="INC"),IF($G118=AM$87,SUM($S168:AM168)+$O118,IF(AM$87&gt;$G118,AM168,0)),0)</f>
        <v>0</v>
      </c>
      <c r="AN118" s="181">
        <f>IF(OR(RIGHT($H118,3)="RGT",RIGHT($H118,3)="INC"),IF($G118=AN$87,SUM($S168:AN168)+$O118,IF(AN$87&gt;$G118,AN168,0)),0)</f>
        <v>0</v>
      </c>
      <c r="AO118" s="181">
        <f>IF(OR(RIGHT($H118,3)="RGT",RIGHT($H118,3)="INC"),IF($G118=AO$87,SUM($S168:AO168)+$O118,IF(AO$87&gt;$G118,AO168,0)),0)</f>
        <v>0</v>
      </c>
      <c r="AP118" s="182">
        <f>IF(OR(RIGHT($H118,3)="RGT",RIGHT($H118,3)="INC"),IF($G118=AP$87,SUM($S168:AP168)+$O118,IF(AP$87&gt;$G118,AP168,0)),0)</f>
        <v>0</v>
      </c>
    </row>
    <row r="119" spans="1:42" s="183" customFormat="1" x14ac:dyDescent="0.25">
      <c r="A119" s="178" t="str">
        <f t="shared" si="49"/>
        <v>Tehachapi Segments 4-11</v>
      </c>
      <c r="B119" s="179" t="s">
        <v>33</v>
      </c>
      <c r="C119" s="56" t="s">
        <v>215</v>
      </c>
      <c r="D119" s="66" t="s">
        <v>216</v>
      </c>
      <c r="E119" s="58" t="s">
        <v>272</v>
      </c>
      <c r="F119" s="155" t="s">
        <v>70</v>
      </c>
      <c r="G119" s="278">
        <v>42005</v>
      </c>
      <c r="H119" s="60" t="s">
        <v>288</v>
      </c>
      <c r="I119" s="61">
        <v>0</v>
      </c>
      <c r="J119" s="62">
        <v>1</v>
      </c>
      <c r="K119" s="237">
        <v>900516432</v>
      </c>
      <c r="L119" s="285">
        <f>10889.30493</f>
        <v>10889.30493</v>
      </c>
      <c r="M119" s="71">
        <f t="shared" si="50"/>
        <v>2127.2875599999998</v>
      </c>
      <c r="N119" s="71">
        <f t="shared" si="51"/>
        <v>479.29499999999985</v>
      </c>
      <c r="O119" s="64">
        <f t="shared" si="52"/>
        <v>10889.30493</v>
      </c>
      <c r="P119" s="64">
        <f t="shared" si="53"/>
        <v>2127.2875599999998</v>
      </c>
      <c r="Q119" s="65">
        <f t="shared" si="54"/>
        <v>479.29499999999985</v>
      </c>
      <c r="R119" s="59"/>
      <c r="S119" s="180">
        <f>IF(OR(RIGHT($H119,3)="RGT",RIGHT($H119,3)="INC"),IF($G119=S$87,SUM($S169:S169)+$O119,IF(S$87&gt;$G119,S169,0)),0)</f>
        <v>10926.28176</v>
      </c>
      <c r="T119" s="181">
        <f>IF(OR(RIGHT($H119,3)="RGT",RIGHT($H119,3)="INC"),IF($G119=T$87,SUM($S169:T169)+$O119,IF(T$87&gt;$G119,T169,0)),0)</f>
        <v>44.369150000000005</v>
      </c>
      <c r="U119" s="181">
        <f>IF(OR(RIGHT($H119,3)="RGT",RIGHT($H119,3)="INC"),IF($G119=U$87,SUM($S169:U169)+$O119,IF(U$87&gt;$G119,U169,0)),0)</f>
        <v>218.04703000000001</v>
      </c>
      <c r="V119" s="181">
        <f>IF(OR(RIGHT($H119,3)="RGT",RIGHT($H119,3)="INC"),IF($G119=V$87,SUM($S169:V169)+$O119,IF(V$87&gt;$G119,V169,0)),0)</f>
        <v>167.5</v>
      </c>
      <c r="W119" s="181">
        <f>IF(OR(RIGHT($H119,3)="RGT",RIGHT($H119,3)="INC"),IF($G119=W$87,SUM($S169:W169)+$O119,IF(W$87&gt;$G119,W169,0)),0)</f>
        <v>68.5</v>
      </c>
      <c r="X119" s="181">
        <f>IF(OR(RIGHT($H119,3)="RGT",RIGHT($H119,3)="INC"),IF($G119=X$87,SUM($S169:X169)+$O119,IF(X$87&gt;$G119,X169,0)),0)</f>
        <v>66.731999999999999</v>
      </c>
      <c r="Y119" s="181">
        <f>IF(OR(RIGHT($H119,3)="RGT",RIGHT($H119,3)="INC"),IF($G119=Y$87,SUM($S169:Y169)+$O119,IF(Y$87&gt;$G119,Y169,0)),0)</f>
        <v>60.5</v>
      </c>
      <c r="Z119" s="181">
        <f>IF(OR(RIGHT($H119,3)="RGT",RIGHT($H119,3)="INC"),IF($G119=Z$87,SUM($S169:Z169)+$O119,IF(Z$87&gt;$G119,Z169,0)),0)</f>
        <v>60.5</v>
      </c>
      <c r="AA119" s="181">
        <f>IF(OR(RIGHT($H119,3)="RGT",RIGHT($H119,3)="INC"),IF($G119=AA$87,SUM($S169:AA169)+$O119,IF(AA$87&gt;$G119,AA169,0)),0)</f>
        <v>60.5</v>
      </c>
      <c r="AB119" s="181">
        <f>IF(OR(RIGHT($H119,3)="RGT",RIGHT($H119,3)="INC"),IF($G119=AB$87,SUM($S169:AB169)+$O119,IF(AB$87&gt;$G119,AB169,0)),0)</f>
        <v>60.5</v>
      </c>
      <c r="AC119" s="181">
        <f>IF(OR(RIGHT($H119,3)="RGT",RIGHT($H119,3)="INC"),IF($G119=AC$87,SUM($S169:AC169)+$O119,IF(AC$87&gt;$G119,AC169,0)),0)</f>
        <v>60.5</v>
      </c>
      <c r="AD119" s="182">
        <f>IF(OR(RIGHT($H119,3)="RGT",RIGHT($H119,3)="INC"),IF($G119=AD$87,SUM($S169:AD169)+$O119,IF(AD$87&gt;$G119,AD169,0)),0)</f>
        <v>1222.66255</v>
      </c>
      <c r="AE119" s="181">
        <f>IF(OR(RIGHT($H119,3)="RGT",RIGHT($H119,3)="INC"),IF($G119=AE$87,SUM($S169:AE169)+$O119,IF(AE$87&gt;$G119,AE169,0)),0)</f>
        <v>39.941249999999997</v>
      </c>
      <c r="AF119" s="181">
        <f>IF(OR(RIGHT($H119,3)="RGT",RIGHT($H119,3)="INC"),IF($G119=AF$87,SUM($S169:AF169)+$O119,IF(AF$87&gt;$G119,AF169,0)),0)</f>
        <v>39.941249999999997</v>
      </c>
      <c r="AG119" s="181">
        <f>IF(OR(RIGHT($H119,3)="RGT",RIGHT($H119,3)="INC"),IF($G119=AG$87,SUM($S169:AG169)+$O119,IF(AG$87&gt;$G119,AG169,0)),0)</f>
        <v>39.941249999999997</v>
      </c>
      <c r="AH119" s="181">
        <f>IF(OR(RIGHT($H119,3)="RGT",RIGHT($H119,3)="INC"),IF($G119=AH$87,SUM($S169:AH169)+$O119,IF(AH$87&gt;$G119,AH169,0)),0)</f>
        <v>39.941249999999997</v>
      </c>
      <c r="AI119" s="181">
        <f>IF(OR(RIGHT($H119,3)="RGT",RIGHT($H119,3)="INC"),IF($G119=AI$87,SUM($S169:AI169)+$O119,IF(AI$87&gt;$G119,AI169,0)),0)</f>
        <v>39.941249999999997</v>
      </c>
      <c r="AJ119" s="181">
        <f>IF(OR(RIGHT($H119,3)="RGT",RIGHT($H119,3)="INC"),IF($G119=AJ$87,SUM($S169:AJ169)+$O119,IF(AJ$87&gt;$G119,AJ169,0)),0)</f>
        <v>39.941249999999997</v>
      </c>
      <c r="AK119" s="181">
        <f>IF(OR(RIGHT($H119,3)="RGT",RIGHT($H119,3)="INC"),IF($G119=AK$87,SUM($S169:AK169)+$O119,IF(AK$87&gt;$G119,AK169,0)),0)</f>
        <v>39.941249999999997</v>
      </c>
      <c r="AL119" s="181">
        <f>IF(OR(RIGHT($H119,3)="RGT",RIGHT($H119,3)="INC"),IF($G119=AL$87,SUM($S169:AL169)+$O119,IF(AL$87&gt;$G119,AL169,0)),0)</f>
        <v>39.941249999999997</v>
      </c>
      <c r="AM119" s="181">
        <f>IF(OR(RIGHT($H119,3)="RGT",RIGHT($H119,3)="INC"),IF($G119=AM$87,SUM($S169:AM169)+$O119,IF(AM$87&gt;$G119,AM169,0)),0)</f>
        <v>39.941249999999997</v>
      </c>
      <c r="AN119" s="181">
        <f>IF(OR(RIGHT($H119,3)="RGT",RIGHT($H119,3)="INC"),IF($G119=AN$87,SUM($S169:AN169)+$O119,IF(AN$87&gt;$G119,AN169,0)),0)</f>
        <v>39.941249999999997</v>
      </c>
      <c r="AO119" s="181">
        <f>IF(OR(RIGHT($H119,3)="RGT",RIGHT($H119,3)="INC"),IF($G119=AO$87,SUM($S169:AO169)+$O119,IF(AO$87&gt;$G119,AO169,0)),0)</f>
        <v>39.941249999999997</v>
      </c>
      <c r="AP119" s="182">
        <f>IF(OR(RIGHT($H119,3)="RGT",RIGHT($H119,3)="INC"),IF($G119=AP$87,SUM($S169:AP169)+$O119,IF(AP$87&gt;$G119,AP169,0)),0)</f>
        <v>39.941249999999997</v>
      </c>
    </row>
    <row r="120" spans="1:42" s="183" customFormat="1" x14ac:dyDescent="0.25">
      <c r="A120" s="178" t="str">
        <f t="shared" si="49"/>
        <v>Tehachapi Segments 4-11</v>
      </c>
      <c r="B120" s="179" t="s">
        <v>33</v>
      </c>
      <c r="C120" s="56" t="s">
        <v>285</v>
      </c>
      <c r="D120" s="66" t="s">
        <v>286</v>
      </c>
      <c r="E120" s="58" t="s">
        <v>272</v>
      </c>
      <c r="F120" s="155" t="s">
        <v>70</v>
      </c>
      <c r="G120" s="59">
        <v>41640</v>
      </c>
      <c r="H120" s="60" t="s">
        <v>288</v>
      </c>
      <c r="I120" s="61">
        <v>0</v>
      </c>
      <c r="J120" s="62">
        <v>1</v>
      </c>
      <c r="K120" s="63"/>
      <c r="L120" s="236">
        <v>0</v>
      </c>
      <c r="M120" s="71">
        <f t="shared" ref="M120" si="55">SUM(S170:AD170)</f>
        <v>0</v>
      </c>
      <c r="N120" s="71">
        <f t="shared" ref="N120" si="56">SUM(AE170:AP170)</f>
        <v>0</v>
      </c>
      <c r="O120" s="64">
        <f t="shared" si="52"/>
        <v>0</v>
      </c>
      <c r="P120" s="64">
        <f t="shared" si="53"/>
        <v>0</v>
      </c>
      <c r="Q120" s="65">
        <f t="shared" si="54"/>
        <v>0</v>
      </c>
      <c r="R120" s="59"/>
      <c r="S120" s="180">
        <f>IF(OR(RIGHT($H120,3)="RGT",RIGHT($H120,3)="INC"),IF($G120=S$87,SUM($S170:S170)+$O120,IF(S$87&gt;$G120,S170,0)),0)</f>
        <v>0</v>
      </c>
      <c r="T120" s="181">
        <f>IF(OR(RIGHT($H120,3)="RGT",RIGHT($H120,3)="INC"),IF($G120=T$87,SUM($S170:T170)+$O120,IF(T$87&gt;$G120,T170,0)),0)</f>
        <v>0</v>
      </c>
      <c r="U120" s="181">
        <f>IF(OR(RIGHT($H120,3)="RGT",RIGHT($H120,3)="INC"),IF($G120=U$87,SUM($S170:U170)+$O120,IF(U$87&gt;$G120,U170,0)),0)</f>
        <v>0</v>
      </c>
      <c r="V120" s="181">
        <f>IF(OR(RIGHT($H120,3)="RGT",RIGHT($H120,3)="INC"),IF($G120=V$87,SUM($S170:V170)+$O120,IF(V$87&gt;$G120,V170,0)),0)</f>
        <v>0</v>
      </c>
      <c r="W120" s="181">
        <f>IF(OR(RIGHT($H120,3)="RGT",RIGHT($H120,3)="INC"),IF($G120=W$87,SUM($S170:W170)+$O120,IF(W$87&gt;$G120,W170,0)),0)</f>
        <v>0</v>
      </c>
      <c r="X120" s="181">
        <f>IF(OR(RIGHT($H120,3)="RGT",RIGHT($H120,3)="INC"),IF($G120=X$87,SUM($S170:X170)+$O120,IF(X$87&gt;$G120,X170,0)),0)</f>
        <v>0</v>
      </c>
      <c r="Y120" s="181">
        <f>IF(OR(RIGHT($H120,3)="RGT",RIGHT($H120,3)="INC"),IF($G120=Y$87,SUM($S170:Y170)+$O120,IF(Y$87&gt;$G120,Y170,0)),0)</f>
        <v>0</v>
      </c>
      <c r="Z120" s="181">
        <f>IF(OR(RIGHT($H120,3)="RGT",RIGHT($H120,3)="INC"),IF($G120=Z$87,SUM($S170:Z170)+$O120,IF(Z$87&gt;$G120,Z170,0)),0)</f>
        <v>0</v>
      </c>
      <c r="AA120" s="181">
        <f>IF(OR(RIGHT($H120,3)="RGT",RIGHT($H120,3)="INC"),IF($G120=AA$87,SUM($S170:AA170)+$O120,IF(AA$87&gt;$G120,AA170,0)),0)</f>
        <v>0</v>
      </c>
      <c r="AB120" s="181">
        <f>IF(OR(RIGHT($H120,3)="RGT",RIGHT($H120,3)="INC"),IF($G120=AB$87,SUM($S170:AB170)+$O120,IF(AB$87&gt;$G120,AB170,0)),0)</f>
        <v>0</v>
      </c>
      <c r="AC120" s="181">
        <f>IF(OR(RIGHT($H120,3)="RGT",RIGHT($H120,3)="INC"),IF($G120=AC$87,SUM($S170:AC170)+$O120,IF(AC$87&gt;$G120,AC170,0)),0)</f>
        <v>0</v>
      </c>
      <c r="AD120" s="182">
        <f>IF(OR(RIGHT($H120,3)="RGT",RIGHT($H120,3)="INC"),IF($G120=AD$87,SUM($S170:AD170)+$O120,IF(AD$87&gt;$G120,AD170,0)),0)</f>
        <v>0</v>
      </c>
      <c r="AE120" s="181">
        <f>IF(OR(RIGHT($H120,3)="RGT",RIGHT($H120,3)="INC"),IF($G120=AE$87,SUM($S170:AE170)+$O120,IF(AE$87&gt;$G120,AE170,0)),0)</f>
        <v>0</v>
      </c>
      <c r="AF120" s="181">
        <f>IF(OR(RIGHT($H120,3)="RGT",RIGHT($H120,3)="INC"),IF($G120=AF$87,SUM($S170:AF170)+$O120,IF(AF$87&gt;$G120,AF170,0)),0)</f>
        <v>0</v>
      </c>
      <c r="AG120" s="181">
        <f>IF(OR(RIGHT($H120,3)="RGT",RIGHT($H120,3)="INC"),IF($G120=AG$87,SUM($S170:AG170)+$O120,IF(AG$87&gt;$G120,AG170,0)),0)</f>
        <v>0</v>
      </c>
      <c r="AH120" s="181">
        <f>IF(OR(RIGHT($H120,3)="RGT",RIGHT($H120,3)="INC"),IF($G120=AH$87,SUM($S170:AH170)+$O120,IF(AH$87&gt;$G120,AH170,0)),0)</f>
        <v>0</v>
      </c>
      <c r="AI120" s="181">
        <f>IF(OR(RIGHT($H120,3)="RGT",RIGHT($H120,3)="INC"),IF($G120=AI$87,SUM($S170:AI170)+$O120,IF(AI$87&gt;$G120,AI170,0)),0)</f>
        <v>0</v>
      </c>
      <c r="AJ120" s="181">
        <f>IF(OR(RIGHT($H120,3)="RGT",RIGHT($H120,3)="INC"),IF($G120=AJ$87,SUM($S170:AJ170)+$O120,IF(AJ$87&gt;$G120,AJ170,0)),0)</f>
        <v>0</v>
      </c>
      <c r="AK120" s="181">
        <f>IF(OR(RIGHT($H120,3)="RGT",RIGHT($H120,3)="INC"),IF($G120=AK$87,SUM($S170:AK170)+$O120,IF(AK$87&gt;$G120,AK170,0)),0)</f>
        <v>0</v>
      </c>
      <c r="AL120" s="181">
        <f>IF(OR(RIGHT($H120,3)="RGT",RIGHT($H120,3)="INC"),IF($G120=AL$87,SUM($S170:AL170)+$O120,IF(AL$87&gt;$G120,AL170,0)),0)</f>
        <v>0</v>
      </c>
      <c r="AM120" s="181">
        <f>IF(OR(RIGHT($H120,3)="RGT",RIGHT($H120,3)="INC"),IF($G120=AM$87,SUM($S170:AM170)+$O120,IF(AM$87&gt;$G120,AM170,0)),0)</f>
        <v>0</v>
      </c>
      <c r="AN120" s="181">
        <f>IF(OR(RIGHT($H120,3)="RGT",RIGHT($H120,3)="INC"),IF($G120=AN$87,SUM($S170:AN170)+$O120,IF(AN$87&gt;$G120,AN170,0)),0)</f>
        <v>0</v>
      </c>
      <c r="AO120" s="181">
        <f>IF(OR(RIGHT($H120,3)="RGT",RIGHT($H120,3)="INC"),IF($G120=AO$87,SUM($S170:AO170)+$O120,IF(AO$87&gt;$G120,AO170,0)),0)</f>
        <v>0</v>
      </c>
      <c r="AP120" s="182">
        <f>IF(OR(RIGHT($H120,3)="RGT",RIGHT($H120,3)="INC"),IF($G120=AP$87,SUM($S170:AP170)+$O120,IF(AP$87&gt;$G120,AP170,0)),0)</f>
        <v>0</v>
      </c>
    </row>
    <row r="121" spans="1:42" s="183" customFormat="1" x14ac:dyDescent="0.25">
      <c r="A121" s="178" t="str">
        <f t="shared" si="49"/>
        <v>Tehachapi Segments 4-11</v>
      </c>
      <c r="B121" s="179" t="s">
        <v>33</v>
      </c>
      <c r="C121" s="287" t="s">
        <v>479</v>
      </c>
      <c r="D121" s="280" t="s">
        <v>484</v>
      </c>
      <c r="E121" s="288">
        <v>6440</v>
      </c>
      <c r="F121" s="289" t="s">
        <v>70</v>
      </c>
      <c r="G121" s="281">
        <v>42156</v>
      </c>
      <c r="H121" s="290" t="s">
        <v>288</v>
      </c>
      <c r="I121" s="291">
        <v>0</v>
      </c>
      <c r="J121" s="292">
        <v>1</v>
      </c>
      <c r="K121" s="63"/>
      <c r="L121" s="286">
        <v>743.98691999999983</v>
      </c>
      <c r="M121" s="71">
        <f t="shared" ref="M121:M123" si="57">SUM(S171:AD171)</f>
        <v>0</v>
      </c>
      <c r="N121" s="71">
        <f t="shared" ref="N121:N123" si="58">SUM(AE171:AP171)</f>
        <v>0</v>
      </c>
      <c r="O121" s="64">
        <f t="shared" si="52"/>
        <v>743.98691999999983</v>
      </c>
      <c r="P121" s="64">
        <f t="shared" si="53"/>
        <v>0</v>
      </c>
      <c r="Q121" s="65">
        <f t="shared" si="54"/>
        <v>0</v>
      </c>
      <c r="R121" s="59"/>
      <c r="S121" s="180">
        <f>IF(OR(RIGHT($H121,3)="RGT",RIGHT($H121,3)="INC"),IF($G121=S$87,SUM($S171:S171)+$O121,IF(S$87&gt;$G121,S171,0)),0)</f>
        <v>0</v>
      </c>
      <c r="T121" s="181">
        <f>IF(OR(RIGHT($H121,3)="RGT",RIGHT($H121,3)="INC"),IF($G121=T$87,SUM($S171:T171)+$O121,IF(T$87&gt;$G121,T171,0)),0)</f>
        <v>0</v>
      </c>
      <c r="U121" s="181">
        <f>IF(OR(RIGHT($H121,3)="RGT",RIGHT($H121,3)="INC"),IF($G121=U$87,SUM($S171:U171)+$O121,IF(U$87&gt;$G121,U171,0)),0)</f>
        <v>0</v>
      </c>
      <c r="V121" s="181">
        <f>IF(OR(RIGHT($H121,3)="RGT",RIGHT($H121,3)="INC"),IF($G121=V$87,SUM($S171:V171)+$O121,IF(V$87&gt;$G121,V171,0)),0)</f>
        <v>0</v>
      </c>
      <c r="W121" s="181">
        <f>IF(OR(RIGHT($H121,3)="RGT",RIGHT($H121,3)="INC"),IF($G121=W$87,SUM($S171:W171)+$O121,IF(W$87&gt;$G121,W171,0)),0)</f>
        <v>0</v>
      </c>
      <c r="X121" s="181">
        <f>IF(OR(RIGHT($H121,3)="RGT",RIGHT($H121,3)="INC"),IF($G121=X$87,SUM($S171:X171)+$O121,IF(X$87&gt;$G121,X171,0)),0)</f>
        <v>743.98691999999983</v>
      </c>
      <c r="Y121" s="181">
        <f>IF(OR(RIGHT($H121,3)="RGT",RIGHT($H121,3)="INC"),IF($G121=Y$87,SUM($S171:Y171)+$O121,IF(Y$87&gt;$G121,Y171,0)),0)</f>
        <v>0</v>
      </c>
      <c r="Z121" s="181">
        <f>IF(OR(RIGHT($H121,3)="RGT",RIGHT($H121,3)="INC"),IF($G121=Z$87,SUM($S171:Z171)+$O121,IF(Z$87&gt;$G121,Z171,0)),0)</f>
        <v>0</v>
      </c>
      <c r="AA121" s="181">
        <f>IF(OR(RIGHT($H121,3)="RGT",RIGHT($H121,3)="INC"),IF($G121=AA$87,SUM($S171:AA171)+$O121,IF(AA$87&gt;$G121,AA171,0)),0)</f>
        <v>0</v>
      </c>
      <c r="AB121" s="181">
        <f>IF(OR(RIGHT($H121,3)="RGT",RIGHT($H121,3)="INC"),IF($G121=AB$87,SUM($S171:AB171)+$O121,IF(AB$87&gt;$G121,AB171,0)),0)</f>
        <v>0</v>
      </c>
      <c r="AC121" s="181">
        <f>IF(OR(RIGHT($H121,3)="RGT",RIGHT($H121,3)="INC"),IF($G121=AC$87,SUM($S171:AC171)+$O121,IF(AC$87&gt;$G121,AC171,0)),0)</f>
        <v>0</v>
      </c>
      <c r="AD121" s="182">
        <f>IF(OR(RIGHT($H121,3)="RGT",RIGHT($H121,3)="INC"),IF($G121=AD$87,SUM($S171:AD171)+$O121,IF(AD$87&gt;$G121,AD171,0)),0)</f>
        <v>0</v>
      </c>
      <c r="AE121" s="181">
        <f>IF(OR(RIGHT($H121,3)="RGT",RIGHT($H121,3)="INC"),IF($G121=AE$87,SUM($S171:AE171)+$O121,IF(AE$87&gt;$G121,AE171,0)),0)</f>
        <v>0</v>
      </c>
      <c r="AF121" s="181">
        <f>IF(OR(RIGHT($H121,3)="RGT",RIGHT($H121,3)="INC"),IF($G121=AF$87,SUM($S171:AF171)+$O121,IF(AF$87&gt;$G121,AF171,0)),0)</f>
        <v>0</v>
      </c>
      <c r="AG121" s="181">
        <f>IF(OR(RIGHT($H121,3)="RGT",RIGHT($H121,3)="INC"),IF($G121=AG$87,SUM($S171:AG171)+$O121,IF(AG$87&gt;$G121,AG171,0)),0)</f>
        <v>0</v>
      </c>
      <c r="AH121" s="181">
        <f>IF(OR(RIGHT($H121,3)="RGT",RIGHT($H121,3)="INC"),IF($G121=AH$87,SUM($S171:AH171)+$O121,IF(AH$87&gt;$G121,AH171,0)),0)</f>
        <v>0</v>
      </c>
      <c r="AI121" s="181">
        <f>IF(OR(RIGHT($H121,3)="RGT",RIGHT($H121,3)="INC"),IF($G121=AI$87,SUM($S171:AI171)+$O121,IF(AI$87&gt;$G121,AI171,0)),0)</f>
        <v>0</v>
      </c>
      <c r="AJ121" s="181">
        <f>IF(OR(RIGHT($H121,3)="RGT",RIGHT($H121,3)="INC"),IF($G121=AJ$87,SUM($S171:AJ171)+$O121,IF(AJ$87&gt;$G121,AJ171,0)),0)</f>
        <v>0</v>
      </c>
      <c r="AK121" s="181">
        <f>IF(OR(RIGHT($H121,3)="RGT",RIGHT($H121,3)="INC"),IF($G121=AK$87,SUM($S171:AK171)+$O121,IF(AK$87&gt;$G121,AK171,0)),0)</f>
        <v>0</v>
      </c>
      <c r="AL121" s="181">
        <f>IF(OR(RIGHT($H121,3)="RGT",RIGHT($H121,3)="INC"),IF($G121=AL$87,SUM($S171:AL171)+$O121,IF(AL$87&gt;$G121,AL171,0)),0)</f>
        <v>0</v>
      </c>
      <c r="AM121" s="181">
        <f>IF(OR(RIGHT($H121,3)="RGT",RIGHT($H121,3)="INC"),IF($G121=AM$87,SUM($S171:AM171)+$O121,IF(AM$87&gt;$G121,AM171,0)),0)</f>
        <v>0</v>
      </c>
      <c r="AN121" s="181">
        <f>IF(OR(RIGHT($H121,3)="RGT",RIGHT($H121,3)="INC"),IF($G121=AN$87,SUM($S171:AN171)+$O121,IF(AN$87&gt;$G121,AN171,0)),0)</f>
        <v>0</v>
      </c>
      <c r="AO121" s="181">
        <f>IF(OR(RIGHT($H121,3)="RGT",RIGHT($H121,3)="INC"),IF($G121=AO$87,SUM($S171:AO171)+$O121,IF(AO$87&gt;$G121,AO171,0)),0)</f>
        <v>0</v>
      </c>
      <c r="AP121" s="182">
        <f>IF(OR(RIGHT($H121,3)="RGT",RIGHT($H121,3)="INC"),IF($G121=AP$87,SUM($S171:AP171)+$O121,IF(AP$87&gt;$G121,AP171,0)),0)</f>
        <v>0</v>
      </c>
    </row>
    <row r="122" spans="1:42" s="183" customFormat="1" x14ac:dyDescent="0.25">
      <c r="A122" s="178" t="str">
        <f t="shared" si="49"/>
        <v>Tehachapi Segments 4-11</v>
      </c>
      <c r="B122" s="179" t="s">
        <v>33</v>
      </c>
      <c r="C122" s="287" t="s">
        <v>480</v>
      </c>
      <c r="D122" s="280" t="s">
        <v>483</v>
      </c>
      <c r="E122" s="288">
        <v>6440</v>
      </c>
      <c r="F122" s="289" t="s">
        <v>70</v>
      </c>
      <c r="G122" s="281">
        <v>42156</v>
      </c>
      <c r="H122" s="290" t="s">
        <v>288</v>
      </c>
      <c r="I122" s="291">
        <v>0</v>
      </c>
      <c r="J122" s="292">
        <v>1</v>
      </c>
      <c r="K122" s="63"/>
      <c r="L122" s="286">
        <v>798.67836999999827</v>
      </c>
      <c r="M122" s="71">
        <f t="shared" si="57"/>
        <v>0</v>
      </c>
      <c r="N122" s="71">
        <f t="shared" si="58"/>
        <v>0</v>
      </c>
      <c r="O122" s="64">
        <f t="shared" si="52"/>
        <v>798.67836999999827</v>
      </c>
      <c r="P122" s="64">
        <f t="shared" si="53"/>
        <v>0</v>
      </c>
      <c r="Q122" s="65">
        <f t="shared" si="54"/>
        <v>0</v>
      </c>
      <c r="R122" s="59"/>
      <c r="S122" s="180">
        <f>IF(OR(RIGHT($H122,3)="RGT",RIGHT($H122,3)="INC"),IF($G122=S$87,SUM($S172:S172)+$O122,IF(S$87&gt;$G122,S172,0)),0)</f>
        <v>0</v>
      </c>
      <c r="T122" s="181">
        <f>IF(OR(RIGHT($H122,3)="RGT",RIGHT($H122,3)="INC"),IF($G122=T$87,SUM($S172:T172)+$O122,IF(T$87&gt;$G122,T172,0)),0)</f>
        <v>0</v>
      </c>
      <c r="U122" s="181">
        <f>IF(OR(RIGHT($H122,3)="RGT",RIGHT($H122,3)="INC"),IF($G122=U$87,SUM($S172:U172)+$O122,IF(U$87&gt;$G122,U172,0)),0)</f>
        <v>0</v>
      </c>
      <c r="V122" s="181">
        <f>IF(OR(RIGHT($H122,3)="RGT",RIGHT($H122,3)="INC"),IF($G122=V$87,SUM($S172:V172)+$O122,IF(V$87&gt;$G122,V172,0)),0)</f>
        <v>0</v>
      </c>
      <c r="W122" s="181">
        <f>IF(OR(RIGHT($H122,3)="RGT",RIGHT($H122,3)="INC"),IF($G122=W$87,SUM($S172:W172)+$O122,IF(W$87&gt;$G122,W172,0)),0)</f>
        <v>0</v>
      </c>
      <c r="X122" s="181">
        <f>IF(OR(RIGHT($H122,3)="RGT",RIGHT($H122,3)="INC"),IF($G122=X$87,SUM($S172:X172)+$O122,IF(X$87&gt;$G122,X172,0)),0)</f>
        <v>798.67836999999827</v>
      </c>
      <c r="Y122" s="181">
        <f>IF(OR(RIGHT($H122,3)="RGT",RIGHT($H122,3)="INC"),IF($G122=Y$87,SUM($S172:Y172)+$O122,IF(Y$87&gt;$G122,Y172,0)),0)</f>
        <v>0</v>
      </c>
      <c r="Z122" s="181">
        <f>IF(OR(RIGHT($H122,3)="RGT",RIGHT($H122,3)="INC"),IF($G122=Z$87,SUM($S172:Z172)+$O122,IF(Z$87&gt;$G122,Z172,0)),0)</f>
        <v>0</v>
      </c>
      <c r="AA122" s="181">
        <f>IF(OR(RIGHT($H122,3)="RGT",RIGHT($H122,3)="INC"),IF($G122=AA$87,SUM($S172:AA172)+$O122,IF(AA$87&gt;$G122,AA172,0)),0)</f>
        <v>0</v>
      </c>
      <c r="AB122" s="181">
        <f>IF(OR(RIGHT($H122,3)="RGT",RIGHT($H122,3)="INC"),IF($G122=AB$87,SUM($S172:AB172)+$O122,IF(AB$87&gt;$G122,AB172,0)),0)</f>
        <v>0</v>
      </c>
      <c r="AC122" s="181">
        <f>IF(OR(RIGHT($H122,3)="RGT",RIGHT($H122,3)="INC"),IF($G122=AC$87,SUM($S172:AC172)+$O122,IF(AC$87&gt;$G122,AC172,0)),0)</f>
        <v>0</v>
      </c>
      <c r="AD122" s="182">
        <f>IF(OR(RIGHT($H122,3)="RGT",RIGHT($H122,3)="INC"),IF($G122=AD$87,SUM($S172:AD172)+$O122,IF(AD$87&gt;$G122,AD172,0)),0)</f>
        <v>0</v>
      </c>
      <c r="AE122" s="181">
        <f>IF(OR(RIGHT($H122,3)="RGT",RIGHT($H122,3)="INC"),IF($G122=AE$87,SUM($S172:AE172)+$O122,IF(AE$87&gt;$G122,AE172,0)),0)</f>
        <v>0</v>
      </c>
      <c r="AF122" s="181">
        <f>IF(OR(RIGHT($H122,3)="RGT",RIGHT($H122,3)="INC"),IF($G122=AF$87,SUM($S172:AF172)+$O122,IF(AF$87&gt;$G122,AF172,0)),0)</f>
        <v>0</v>
      </c>
      <c r="AG122" s="181">
        <f>IF(OR(RIGHT($H122,3)="RGT",RIGHT($H122,3)="INC"),IF($G122=AG$87,SUM($S172:AG172)+$O122,IF(AG$87&gt;$G122,AG172,0)),0)</f>
        <v>0</v>
      </c>
      <c r="AH122" s="181">
        <f>IF(OR(RIGHT($H122,3)="RGT",RIGHT($H122,3)="INC"),IF($G122=AH$87,SUM($S172:AH172)+$O122,IF(AH$87&gt;$G122,AH172,0)),0)</f>
        <v>0</v>
      </c>
      <c r="AI122" s="181">
        <f>IF(OR(RIGHT($H122,3)="RGT",RIGHT($H122,3)="INC"),IF($G122=AI$87,SUM($S172:AI172)+$O122,IF(AI$87&gt;$G122,AI172,0)),0)</f>
        <v>0</v>
      </c>
      <c r="AJ122" s="181">
        <f>IF(OR(RIGHT($H122,3)="RGT",RIGHT($H122,3)="INC"),IF($G122=AJ$87,SUM($S172:AJ172)+$O122,IF(AJ$87&gt;$G122,AJ172,0)),0)</f>
        <v>0</v>
      </c>
      <c r="AK122" s="181">
        <f>IF(OR(RIGHT($H122,3)="RGT",RIGHT($H122,3)="INC"),IF($G122=AK$87,SUM($S172:AK172)+$O122,IF(AK$87&gt;$G122,AK172,0)),0)</f>
        <v>0</v>
      </c>
      <c r="AL122" s="181">
        <f>IF(OR(RIGHT($H122,3)="RGT",RIGHT($H122,3)="INC"),IF($G122=AL$87,SUM($S172:AL172)+$O122,IF(AL$87&gt;$G122,AL172,0)),0)</f>
        <v>0</v>
      </c>
      <c r="AM122" s="181">
        <f>IF(OR(RIGHT($H122,3)="RGT",RIGHT($H122,3)="INC"),IF($G122=AM$87,SUM($S172:AM172)+$O122,IF(AM$87&gt;$G122,AM172,0)),0)</f>
        <v>0</v>
      </c>
      <c r="AN122" s="181">
        <f>IF(OR(RIGHT($H122,3)="RGT",RIGHT($H122,3)="INC"),IF($G122=AN$87,SUM($S172:AN172)+$O122,IF(AN$87&gt;$G122,AN172,0)),0)</f>
        <v>0</v>
      </c>
      <c r="AO122" s="181">
        <f>IF(OR(RIGHT($H122,3)="RGT",RIGHT($H122,3)="INC"),IF($G122=AO$87,SUM($S172:AO172)+$O122,IF(AO$87&gt;$G122,AO172,0)),0)</f>
        <v>0</v>
      </c>
      <c r="AP122" s="182">
        <f>IF(OR(RIGHT($H122,3)="RGT",RIGHT($H122,3)="INC"),IF($G122=AP$87,SUM($S172:AP172)+$O122,IF(AP$87&gt;$G122,AP172,0)),0)</f>
        <v>0</v>
      </c>
    </row>
    <row r="123" spans="1:42" s="183" customFormat="1" x14ac:dyDescent="0.25">
      <c r="A123" s="178" t="str">
        <f t="shared" si="49"/>
        <v>Tehachapi Segments 4-11</v>
      </c>
      <c r="B123" s="179" t="s">
        <v>33</v>
      </c>
      <c r="C123" s="287" t="s">
        <v>482</v>
      </c>
      <c r="D123" s="280" t="s">
        <v>481</v>
      </c>
      <c r="E123" s="288">
        <v>6440</v>
      </c>
      <c r="F123" s="289" t="s">
        <v>70</v>
      </c>
      <c r="G123" s="281">
        <v>42156</v>
      </c>
      <c r="H123" s="290" t="s">
        <v>288</v>
      </c>
      <c r="I123" s="291">
        <v>0</v>
      </c>
      <c r="J123" s="292">
        <v>1</v>
      </c>
      <c r="K123" s="63"/>
      <c r="L123" s="286">
        <v>974.90323999999805</v>
      </c>
      <c r="M123" s="71">
        <f t="shared" si="57"/>
        <v>0</v>
      </c>
      <c r="N123" s="71">
        <f t="shared" si="58"/>
        <v>0</v>
      </c>
      <c r="O123" s="64">
        <f t="shared" si="52"/>
        <v>974.90323999999805</v>
      </c>
      <c r="P123" s="64">
        <f t="shared" si="53"/>
        <v>0</v>
      </c>
      <c r="Q123" s="65">
        <f t="shared" si="54"/>
        <v>0</v>
      </c>
      <c r="R123" s="59"/>
      <c r="S123" s="180">
        <f>IF(OR(RIGHT($H123,3)="RGT",RIGHT($H123,3)="INC"),IF($G123=S$87,SUM($S173:S173)+$O123,IF(S$87&gt;$G123,S173,0)),0)</f>
        <v>0</v>
      </c>
      <c r="T123" s="181">
        <f>IF(OR(RIGHT($H123,3)="RGT",RIGHT($H123,3)="INC"),IF($G123=T$87,SUM($S173:T173)+$O123,IF(T$87&gt;$G123,T173,0)),0)</f>
        <v>0</v>
      </c>
      <c r="U123" s="181">
        <f>IF(OR(RIGHT($H123,3)="RGT",RIGHT($H123,3)="INC"),IF($G123=U$87,SUM($S173:U173)+$O123,IF(U$87&gt;$G123,U173,0)),0)</f>
        <v>0</v>
      </c>
      <c r="V123" s="181">
        <f>IF(OR(RIGHT($H123,3)="RGT",RIGHT($H123,3)="INC"),IF($G123=V$87,SUM($S173:V173)+$O123,IF(V$87&gt;$G123,V173,0)),0)</f>
        <v>0</v>
      </c>
      <c r="W123" s="181">
        <f>IF(OR(RIGHT($H123,3)="RGT",RIGHT($H123,3)="INC"),IF($G123=W$87,SUM($S173:W173)+$O123,IF(W$87&gt;$G123,W173,0)),0)</f>
        <v>0</v>
      </c>
      <c r="X123" s="181">
        <f>IF(OR(RIGHT($H123,3)="RGT",RIGHT($H123,3)="INC"),IF($G123=X$87,SUM($S173:X173)+$O123,IF(X$87&gt;$G123,X173,0)),0)</f>
        <v>974.90323999999805</v>
      </c>
      <c r="Y123" s="181">
        <f>IF(OR(RIGHT($H123,3)="RGT",RIGHT($H123,3)="INC"),IF($G123=Y$87,SUM($S173:Y173)+$O123,IF(Y$87&gt;$G123,Y173,0)),0)</f>
        <v>0</v>
      </c>
      <c r="Z123" s="181">
        <f>IF(OR(RIGHT($H123,3)="RGT",RIGHT($H123,3)="INC"),IF($G123=Z$87,SUM($S173:Z173)+$O123,IF(Z$87&gt;$G123,Z173,0)),0)</f>
        <v>0</v>
      </c>
      <c r="AA123" s="181">
        <f>IF(OR(RIGHT($H123,3)="RGT",RIGHT($H123,3)="INC"),IF($G123=AA$87,SUM($S173:AA173)+$O123,IF(AA$87&gt;$G123,AA173,0)),0)</f>
        <v>0</v>
      </c>
      <c r="AB123" s="181">
        <f>IF(OR(RIGHT($H123,3)="RGT",RIGHT($H123,3)="INC"),IF($G123=AB$87,SUM($S173:AB173)+$O123,IF(AB$87&gt;$G123,AB173,0)),0)</f>
        <v>0</v>
      </c>
      <c r="AC123" s="181">
        <f>IF(OR(RIGHT($H123,3)="RGT",RIGHT($H123,3)="INC"),IF($G123=AC$87,SUM($S173:AC173)+$O123,IF(AC$87&gt;$G123,AC173,0)),0)</f>
        <v>0</v>
      </c>
      <c r="AD123" s="182">
        <f>IF(OR(RIGHT($H123,3)="RGT",RIGHT($H123,3)="INC"),IF($G123=AD$87,SUM($S173:AD173)+$O123,IF(AD$87&gt;$G123,AD173,0)),0)</f>
        <v>0</v>
      </c>
      <c r="AE123" s="181">
        <f>IF(OR(RIGHT($H123,3)="RGT",RIGHT($H123,3)="INC"),IF($G123=AE$87,SUM($S173:AE173)+$O123,IF(AE$87&gt;$G123,AE173,0)),0)</f>
        <v>0</v>
      </c>
      <c r="AF123" s="181">
        <f>IF(OR(RIGHT($H123,3)="RGT",RIGHT($H123,3)="INC"),IF($G123=AF$87,SUM($S173:AF173)+$O123,IF(AF$87&gt;$G123,AF173,0)),0)</f>
        <v>0</v>
      </c>
      <c r="AG123" s="181">
        <f>IF(OR(RIGHT($H123,3)="RGT",RIGHT($H123,3)="INC"),IF($G123=AG$87,SUM($S173:AG173)+$O123,IF(AG$87&gt;$G123,AG173,0)),0)</f>
        <v>0</v>
      </c>
      <c r="AH123" s="181">
        <f>IF(OR(RIGHT($H123,3)="RGT",RIGHT($H123,3)="INC"),IF($G123=AH$87,SUM($S173:AH173)+$O123,IF(AH$87&gt;$G123,AH173,0)),0)</f>
        <v>0</v>
      </c>
      <c r="AI123" s="181">
        <f>IF(OR(RIGHT($H123,3)="RGT",RIGHT($H123,3)="INC"),IF($G123=AI$87,SUM($S173:AI173)+$O123,IF(AI$87&gt;$G123,AI173,0)),0)</f>
        <v>0</v>
      </c>
      <c r="AJ123" s="181">
        <f>IF(OR(RIGHT($H123,3)="RGT",RIGHT($H123,3)="INC"),IF($G123=AJ$87,SUM($S173:AJ173)+$O123,IF(AJ$87&gt;$G123,AJ173,0)),0)</f>
        <v>0</v>
      </c>
      <c r="AK123" s="181">
        <f>IF(OR(RIGHT($H123,3)="RGT",RIGHT($H123,3)="INC"),IF($G123=AK$87,SUM($S173:AK173)+$O123,IF(AK$87&gt;$G123,AK173,0)),0)</f>
        <v>0</v>
      </c>
      <c r="AL123" s="181">
        <f>IF(OR(RIGHT($H123,3)="RGT",RIGHT($H123,3)="INC"),IF($G123=AL$87,SUM($S173:AL173)+$O123,IF(AL$87&gt;$G123,AL173,0)),0)</f>
        <v>0</v>
      </c>
      <c r="AM123" s="181">
        <f>IF(OR(RIGHT($H123,3)="RGT",RIGHT($H123,3)="INC"),IF($G123=AM$87,SUM($S173:AM173)+$O123,IF(AM$87&gt;$G123,AM173,0)),0)</f>
        <v>0</v>
      </c>
      <c r="AN123" s="181">
        <f>IF(OR(RIGHT($H123,3)="RGT",RIGHT($H123,3)="INC"),IF($G123=AN$87,SUM($S173:AN173)+$O123,IF(AN$87&gt;$G123,AN173,0)),0)</f>
        <v>0</v>
      </c>
      <c r="AO123" s="181">
        <f>IF(OR(RIGHT($H123,3)="RGT",RIGHT($H123,3)="INC"),IF($G123=AO$87,SUM($S173:AO173)+$O123,IF(AO$87&gt;$G123,AO173,0)),0)</f>
        <v>0</v>
      </c>
      <c r="AP123" s="182">
        <f>IF(OR(RIGHT($H123,3)="RGT",RIGHT($H123,3)="INC"),IF($G123=AP$87,SUM($S173:AP173)+$O123,IF(AP$87&gt;$G123,AP173,0)),0)</f>
        <v>0</v>
      </c>
    </row>
    <row r="124" spans="1:42" s="183" customFormat="1" x14ac:dyDescent="0.25">
      <c r="A124" s="178" t="str">
        <f t="shared" si="49"/>
        <v>Tehachapi Segments 4-11</v>
      </c>
      <c r="B124" s="179" t="s">
        <v>33</v>
      </c>
      <c r="C124" s="56" t="s">
        <v>217</v>
      </c>
      <c r="D124" s="66" t="s">
        <v>218</v>
      </c>
      <c r="E124" s="58" t="s">
        <v>273</v>
      </c>
      <c r="F124" s="155" t="s">
        <v>70</v>
      </c>
      <c r="G124" s="59">
        <v>41000</v>
      </c>
      <c r="H124" s="60" t="s">
        <v>264</v>
      </c>
      <c r="I124" s="61">
        <v>0</v>
      </c>
      <c r="J124" s="62">
        <v>1</v>
      </c>
      <c r="K124" s="183">
        <v>800217239</v>
      </c>
      <c r="L124" s="285">
        <f>1533.53703*0</f>
        <v>0</v>
      </c>
      <c r="M124" s="71">
        <f>SUM(S174:AD174)</f>
        <v>2082.58862</v>
      </c>
      <c r="N124" s="71">
        <f>SUM(AE174:AP174)</f>
        <v>0</v>
      </c>
      <c r="O124" s="64">
        <f t="shared" si="52"/>
        <v>0</v>
      </c>
      <c r="P124" s="64">
        <f t="shared" si="53"/>
        <v>2082.58862</v>
      </c>
      <c r="Q124" s="65">
        <f t="shared" si="54"/>
        <v>0</v>
      </c>
      <c r="R124" s="59"/>
      <c r="S124" s="180">
        <f>IF(OR(RIGHT($H124,3)="RGT",RIGHT($H124,3)="INC"),IF($G124=S$87,SUM($S174:S174)+$O124,IF(S$87&gt;$G124,S174,0)),0)</f>
        <v>-27.2881</v>
      </c>
      <c r="T124" s="181">
        <f>IF(OR(RIGHT($H124,3)="RGT",RIGHT($H124,3)="INC"),IF($G124=T$87,SUM($S174:T174)+$O124,IF(T$87&gt;$G124,T174,0)),0)</f>
        <v>4.57911</v>
      </c>
      <c r="U124" s="181">
        <f>IF(OR(RIGHT($H124,3)="RGT",RIGHT($H124,3)="INC"),IF($G124=U$87,SUM($S174:U174)+$O124,IF(U$87&gt;$G124,U174,0)),0)</f>
        <v>5.2976099999999997</v>
      </c>
      <c r="V124" s="181">
        <f>IF(OR(RIGHT($H124,3)="RGT",RIGHT($H124,3)="INC"),IF($G124=V$87,SUM($S174:V174)+$O124,IF(V$87&gt;$G124,V174,0)),0)</f>
        <v>0</v>
      </c>
      <c r="W124" s="181">
        <f>IF(OR(RIGHT($H124,3)="RGT",RIGHT($H124,3)="INC"),IF($G124=W$87,SUM($S174:W174)+$O124,IF(W$87&gt;$G124,W174,0)),0)</f>
        <v>0</v>
      </c>
      <c r="X124" s="181">
        <f>IF(OR(RIGHT($H124,3)="RGT",RIGHT($H124,3)="INC"),IF($G124=X$87,SUM($S174:X174)+$O124,IF(X$87&gt;$G124,X174,0)),0)</f>
        <v>0</v>
      </c>
      <c r="Y124" s="181">
        <f>IF(OR(RIGHT($H124,3)="RGT",RIGHT($H124,3)="INC"),IF($G124=Y$87,SUM($S174:Y174)+$O124,IF(Y$87&gt;$G124,Y174,0)),0)</f>
        <v>0</v>
      </c>
      <c r="Z124" s="181">
        <f>IF(OR(RIGHT($H124,3)="RGT",RIGHT($H124,3)="INC"),IF($G124=Z$87,SUM($S174:Z174)+$O124,IF(Z$87&gt;$G124,Z174,0)),0)</f>
        <v>0</v>
      </c>
      <c r="AA124" s="181">
        <f>IF(OR(RIGHT($H124,3)="RGT",RIGHT($H124,3)="INC"),IF($G124=AA$87,SUM($S174:AA174)+$O124,IF(AA$87&gt;$G124,AA174,0)),0)</f>
        <v>2100</v>
      </c>
      <c r="AB124" s="181">
        <f>IF(OR(RIGHT($H124,3)="RGT",RIGHT($H124,3)="INC"),IF($G124=AB$87,SUM($S174:AB174)+$O124,IF(AB$87&gt;$G124,AB174,0)),0)</f>
        <v>0</v>
      </c>
      <c r="AC124" s="181">
        <f>IF(OR(RIGHT($H124,3)="RGT",RIGHT($H124,3)="INC"),IF($G124=AC$87,SUM($S174:AC174)+$O124,IF(AC$87&gt;$G124,AC174,0)),0)</f>
        <v>0</v>
      </c>
      <c r="AD124" s="182">
        <f>IF(OR(RIGHT($H124,3)="RGT",RIGHT($H124,3)="INC"),IF($G124=AD$87,SUM($S174:AD174)+$O124,IF(AD$87&gt;$G124,AD174,0)),0)</f>
        <v>0</v>
      </c>
      <c r="AE124" s="181">
        <f>IF(OR(RIGHT($H124,3)="RGT",RIGHT($H124,3)="INC"),IF($G124=AE$87,SUM($S174:AE174)+$O124,IF(AE$87&gt;$G124,AE174,0)),0)</f>
        <v>0</v>
      </c>
      <c r="AF124" s="181">
        <f>IF(OR(RIGHT($H124,3)="RGT",RIGHT($H124,3)="INC"),IF($G124=AF$87,SUM($S174:AF174)+$O124,IF(AF$87&gt;$G124,AF174,0)),0)</f>
        <v>0</v>
      </c>
      <c r="AG124" s="181">
        <f>IF(OR(RIGHT($H124,3)="RGT",RIGHT($H124,3)="INC"),IF($G124=AG$87,SUM($S174:AG174)+$O124,IF(AG$87&gt;$G124,AG174,0)),0)</f>
        <v>0</v>
      </c>
      <c r="AH124" s="181">
        <f>IF(OR(RIGHT($H124,3)="RGT",RIGHT($H124,3)="INC"),IF($G124=AH$87,SUM($S174:AH174)+$O124,IF(AH$87&gt;$G124,AH174,0)),0)</f>
        <v>0</v>
      </c>
      <c r="AI124" s="181">
        <f>IF(OR(RIGHT($H124,3)="RGT",RIGHT($H124,3)="INC"),IF($G124=AI$87,SUM($S174:AI174)+$O124,IF(AI$87&gt;$G124,AI174,0)),0)</f>
        <v>0</v>
      </c>
      <c r="AJ124" s="181">
        <f>IF(OR(RIGHT($H124,3)="RGT",RIGHT($H124,3)="INC"),IF($G124=AJ$87,SUM($S174:AJ174)+$O124,IF(AJ$87&gt;$G124,AJ174,0)),0)</f>
        <v>0</v>
      </c>
      <c r="AK124" s="181">
        <f>IF(OR(RIGHT($H124,3)="RGT",RIGHT($H124,3)="INC"),IF($G124=AK$87,SUM($S174:AK174)+$O124,IF(AK$87&gt;$G124,AK174,0)),0)</f>
        <v>0</v>
      </c>
      <c r="AL124" s="181">
        <f>IF(OR(RIGHT($H124,3)="RGT",RIGHT($H124,3)="INC"),IF($G124=AL$87,SUM($S174:AL174)+$O124,IF(AL$87&gt;$G124,AL174,0)),0)</f>
        <v>0</v>
      </c>
      <c r="AM124" s="181">
        <f>IF(OR(RIGHT($H124,3)="RGT",RIGHT($H124,3)="INC"),IF($G124=AM$87,SUM($S174:AM174)+$O124,IF(AM$87&gt;$G124,AM174,0)),0)</f>
        <v>0</v>
      </c>
      <c r="AN124" s="181">
        <f>IF(OR(RIGHT($H124,3)="RGT",RIGHT($H124,3)="INC"),IF($G124=AN$87,SUM($S174:AN174)+$O124,IF(AN$87&gt;$G124,AN174,0)),0)</f>
        <v>0</v>
      </c>
      <c r="AO124" s="181">
        <f>IF(OR(RIGHT($H124,3)="RGT",RIGHT($H124,3)="INC"),IF($G124=AO$87,SUM($S174:AO174)+$O124,IF(AO$87&gt;$G124,AO174,0)),0)</f>
        <v>0</v>
      </c>
      <c r="AP124" s="182">
        <f>IF(OR(RIGHT($H124,3)="RGT",RIGHT($H124,3)="INC"),IF($G124=AP$87,SUM($S174:AP174)+$O124,IF(AP$87&gt;$G124,AP174,0)),0)</f>
        <v>0</v>
      </c>
    </row>
    <row r="125" spans="1:42" s="183" customFormat="1" x14ac:dyDescent="0.25">
      <c r="A125" s="178" t="str">
        <f t="shared" si="49"/>
        <v>Tehachapi Segments 4-11</v>
      </c>
      <c r="B125" s="179" t="s">
        <v>33</v>
      </c>
      <c r="C125" s="56" t="s">
        <v>219</v>
      </c>
      <c r="D125" s="66" t="s">
        <v>220</v>
      </c>
      <c r="E125" s="58" t="s">
        <v>274</v>
      </c>
      <c r="F125" s="155" t="s">
        <v>70</v>
      </c>
      <c r="G125" s="59">
        <v>42125</v>
      </c>
      <c r="H125" s="60" t="s">
        <v>264</v>
      </c>
      <c r="I125" s="61">
        <v>0</v>
      </c>
      <c r="J125" s="62">
        <v>1</v>
      </c>
      <c r="K125" s="237">
        <v>800217339</v>
      </c>
      <c r="L125" s="236">
        <v>191726.56419</v>
      </c>
      <c r="M125" s="71">
        <f>SUM(S175:AD175)</f>
        <v>61031.426053000017</v>
      </c>
      <c r="N125" s="71">
        <f>SUM(AE175:AP175)</f>
        <v>11837.111000000003</v>
      </c>
      <c r="O125" s="64">
        <f t="shared" si="52"/>
        <v>191726.56419</v>
      </c>
      <c r="P125" s="64">
        <f t="shared" si="53"/>
        <v>61031.426053000017</v>
      </c>
      <c r="Q125" s="65">
        <f t="shared" si="54"/>
        <v>11837.111000000003</v>
      </c>
      <c r="R125" s="59"/>
      <c r="S125" s="180">
        <f>IF(OR(RIGHT($H125,3)="RGT",RIGHT($H125,3)="INC"),IF($G125=S$87,SUM($S175:S175)+$O125,IF(S$87&gt;$G125,S175,0)),0)</f>
        <v>0</v>
      </c>
      <c r="T125" s="181">
        <f>IF(OR(RIGHT($H125,3)="RGT",RIGHT($H125,3)="INC"),IF($G125=T$87,SUM($S175:T175)+$O125,IF(T$87&gt;$G125,T175,0)),0)</f>
        <v>0</v>
      </c>
      <c r="U125" s="181">
        <f>IF(OR(RIGHT($H125,3)="RGT",RIGHT($H125,3)="INC"),IF($G125=U$87,SUM($S175:U175)+$O125,IF(U$87&gt;$G125,U175,0)),0)</f>
        <v>0</v>
      </c>
      <c r="V125" s="181">
        <f>IF(OR(RIGHT($H125,3)="RGT",RIGHT($H125,3)="INC"),IF($G125=V$87,SUM($S175:V175)+$O125,IF(V$87&gt;$G125,V175,0)),0)</f>
        <v>0</v>
      </c>
      <c r="W125" s="181">
        <f>IF(OR(RIGHT($H125,3)="RGT",RIGHT($H125,3)="INC"),IF($G125=W$87,SUM($S175:W175)+$O125,IF(W$87&gt;$G125,W175,0)),0)</f>
        <v>226899.77351999999</v>
      </c>
      <c r="X125" s="181">
        <f>IF(OR(RIGHT($H125,3)="RGT",RIGHT($H125,3)="INC"),IF($G125=X$87,SUM($S175:X175)+$O125,IF(X$87&gt;$G125,X175,0)),0)</f>
        <v>2447.75</v>
      </c>
      <c r="Y125" s="181">
        <f>IF(OR(RIGHT($H125,3)="RGT",RIGHT($H125,3)="INC"),IF($G125=Y$87,SUM($S175:Y175)+$O125,IF(Y$87&gt;$G125,Y175,0)),0)</f>
        <v>2074.098</v>
      </c>
      <c r="Z125" s="181">
        <f>IF(OR(RIGHT($H125,3)="RGT",RIGHT($H125,3)="INC"),IF($G125=Z$87,SUM($S175:Z175)+$O125,IF(Z$87&gt;$G125,Z175,0)),0)</f>
        <v>1579.75</v>
      </c>
      <c r="AA125" s="181">
        <f>IF(OR(RIGHT($H125,3)="RGT",RIGHT($H125,3)="INC"),IF($G125=AA$87,SUM($S175:AA175)+$O125,IF(AA$87&gt;$G125,AA175,0)),0)</f>
        <v>1579.75</v>
      </c>
      <c r="AB125" s="181">
        <f>IF(OR(RIGHT($H125,3)="RGT",RIGHT($H125,3)="INC"),IF($G125=AB$87,SUM($S175:AB175)+$O125,IF(AB$87&gt;$G125,AB175,0)),0)</f>
        <v>1579.75</v>
      </c>
      <c r="AC125" s="181">
        <f>IF(OR(RIGHT($H125,3)="RGT",RIGHT($H125,3)="INC"),IF($G125=AC$87,SUM($S175:AC175)+$O125,IF(AC$87&gt;$G125,AC175,0)),0)</f>
        <v>1579.75</v>
      </c>
      <c r="AD125" s="182">
        <f>IF(OR(RIGHT($H125,3)="RGT",RIGHT($H125,3)="INC"),IF($G125=AD$87,SUM($S175:AD175)+$O125,IF(AD$87&gt;$G125,AD175,0)),0)</f>
        <v>15017.36872300002</v>
      </c>
      <c r="AE125" s="181">
        <f>IF(OR(RIGHT($H125,3)="RGT",RIGHT($H125,3)="INC"),IF($G125=AE$87,SUM($S175:AE175)+$O125,IF(AE$87&gt;$G125,AE175,0)),0)</f>
        <v>986.42591666666692</v>
      </c>
      <c r="AF125" s="181">
        <f>IF(OR(RIGHT($H125,3)="RGT",RIGHT($H125,3)="INC"),IF($G125=AF$87,SUM($S175:AF175)+$O125,IF(AF$87&gt;$G125,AF175,0)),0)</f>
        <v>986.42591666666692</v>
      </c>
      <c r="AG125" s="181">
        <f>IF(OR(RIGHT($H125,3)="RGT",RIGHT($H125,3)="INC"),IF($G125=AG$87,SUM($S175:AG175)+$O125,IF(AG$87&gt;$G125,AG175,0)),0)</f>
        <v>986.42591666666692</v>
      </c>
      <c r="AH125" s="181">
        <f>IF(OR(RIGHT($H125,3)="RGT",RIGHT($H125,3)="INC"),IF($G125=AH$87,SUM($S175:AH175)+$O125,IF(AH$87&gt;$G125,AH175,0)),0)</f>
        <v>986.42591666666692</v>
      </c>
      <c r="AI125" s="181">
        <f>IF(OR(RIGHT($H125,3)="RGT",RIGHT($H125,3)="INC"),IF($G125=AI$87,SUM($S175:AI175)+$O125,IF(AI$87&gt;$G125,AI175,0)),0)</f>
        <v>986.42591666666692</v>
      </c>
      <c r="AJ125" s="181">
        <f>IF(OR(RIGHT($H125,3)="RGT",RIGHT($H125,3)="INC"),IF($G125=AJ$87,SUM($S175:AJ175)+$O125,IF(AJ$87&gt;$G125,AJ175,0)),0)</f>
        <v>986.42591666666692</v>
      </c>
      <c r="AK125" s="181">
        <f>IF(OR(RIGHT($H125,3)="RGT",RIGHT($H125,3)="INC"),IF($G125=AK$87,SUM($S175:AK175)+$O125,IF(AK$87&gt;$G125,AK175,0)),0)</f>
        <v>986.42591666666692</v>
      </c>
      <c r="AL125" s="181">
        <f>IF(OR(RIGHT($H125,3)="RGT",RIGHT($H125,3)="INC"),IF($G125=AL$87,SUM($S175:AL175)+$O125,IF(AL$87&gt;$G125,AL175,0)),0)</f>
        <v>986.42591666666692</v>
      </c>
      <c r="AM125" s="181">
        <f>IF(OR(RIGHT($H125,3)="RGT",RIGHT($H125,3)="INC"),IF($G125=AM$87,SUM($S175:AM175)+$O125,IF(AM$87&gt;$G125,AM175,0)),0)</f>
        <v>986.42591666666692</v>
      </c>
      <c r="AN125" s="181">
        <f>IF(OR(RIGHT($H125,3)="RGT",RIGHT($H125,3)="INC"),IF($G125=AN$87,SUM($S175:AN175)+$O125,IF(AN$87&gt;$G125,AN175,0)),0)</f>
        <v>986.42591666666692</v>
      </c>
      <c r="AO125" s="181">
        <f>IF(OR(RIGHT($H125,3)="RGT",RIGHT($H125,3)="INC"),IF($G125=AO$87,SUM($S175:AO175)+$O125,IF(AO$87&gt;$G125,AO175,0)),0)</f>
        <v>986.42591666666692</v>
      </c>
      <c r="AP125" s="182">
        <f>IF(OR(RIGHT($H125,3)="RGT",RIGHT($H125,3)="INC"),IF($G125=AP$87,SUM($S175:AP175)+$O125,IF(AP$87&gt;$G125,AP175,0)),0)</f>
        <v>986.42591666666692</v>
      </c>
    </row>
    <row r="126" spans="1:42" s="183" customFormat="1" x14ac:dyDescent="0.25">
      <c r="A126" s="178" t="str">
        <f t="shared" si="49"/>
        <v>Tehachapi Segments 4-11</v>
      </c>
      <c r="B126" s="179" t="s">
        <v>33</v>
      </c>
      <c r="C126" s="56" t="s">
        <v>221</v>
      </c>
      <c r="D126" s="66" t="s">
        <v>222</v>
      </c>
      <c r="E126" s="58" t="s">
        <v>274</v>
      </c>
      <c r="F126" s="155" t="s">
        <v>70</v>
      </c>
      <c r="G126" s="59">
        <v>42125</v>
      </c>
      <c r="H126" s="60" t="s">
        <v>264</v>
      </c>
      <c r="I126" s="61">
        <v>0</v>
      </c>
      <c r="J126" s="62">
        <v>1</v>
      </c>
      <c r="K126" s="237">
        <v>800217366</v>
      </c>
      <c r="L126" s="236">
        <v>18015.816370000004</v>
      </c>
      <c r="M126" s="71">
        <f>SUM(S176:AD176)</f>
        <v>145.92166</v>
      </c>
      <c r="N126" s="71">
        <f>SUM(AE176:AP176)</f>
        <v>0</v>
      </c>
      <c r="O126" s="64">
        <f t="shared" si="52"/>
        <v>18015.816370000004</v>
      </c>
      <c r="P126" s="64">
        <f t="shared" si="53"/>
        <v>145.92166</v>
      </c>
      <c r="Q126" s="65">
        <f t="shared" si="54"/>
        <v>0</v>
      </c>
      <c r="R126" s="59"/>
      <c r="S126" s="180">
        <f>IF(OR(RIGHT($H126,3)="RGT",RIGHT($H126,3)="INC"),IF($G126=S$87,SUM($S176:S176)+$O126,IF(S$87&gt;$G126,S176,0)),0)</f>
        <v>0</v>
      </c>
      <c r="T126" s="181">
        <f>IF(OR(RIGHT($H126,3)="RGT",RIGHT($H126,3)="INC"),IF($G126=T$87,SUM($S176:T176)+$O126,IF(T$87&gt;$G126,T176,0)),0)</f>
        <v>0</v>
      </c>
      <c r="U126" s="181">
        <f>IF(OR(RIGHT($H126,3)="RGT",RIGHT($H126,3)="INC"),IF($G126=U$87,SUM($S176:U176)+$O126,IF(U$87&gt;$G126,U176,0)),0)</f>
        <v>0</v>
      </c>
      <c r="V126" s="181">
        <f>IF(OR(RIGHT($H126,3)="RGT",RIGHT($H126,3)="INC"),IF($G126=V$87,SUM($S176:V176)+$O126,IF(V$87&gt;$G126,V176,0)),0)</f>
        <v>0</v>
      </c>
      <c r="W126" s="181">
        <f>IF(OR(RIGHT($H126,3)="RGT",RIGHT($H126,3)="INC"),IF($G126=W$87,SUM($S176:W176)+$O126,IF(W$87&gt;$G126,W176,0)),0)</f>
        <v>18161.738030000004</v>
      </c>
      <c r="X126" s="181">
        <f>IF(OR(RIGHT($H126,3)="RGT",RIGHT($H126,3)="INC"),IF($G126=X$87,SUM($S176:X176)+$O126,IF(X$87&gt;$G126,X176,0)),0)</f>
        <v>0</v>
      </c>
      <c r="Y126" s="181">
        <f>IF(OR(RIGHT($H126,3)="RGT",RIGHT($H126,3)="INC"),IF($G126=Y$87,SUM($S176:Y176)+$O126,IF(Y$87&gt;$G126,Y176,0)),0)</f>
        <v>0</v>
      </c>
      <c r="Z126" s="181">
        <f>IF(OR(RIGHT($H126,3)="RGT",RIGHT($H126,3)="INC"),IF($G126=Z$87,SUM($S176:Z176)+$O126,IF(Z$87&gt;$G126,Z176,0)),0)</f>
        <v>0</v>
      </c>
      <c r="AA126" s="181">
        <f>IF(OR(RIGHT($H126,3)="RGT",RIGHT($H126,3)="INC"),IF($G126=AA$87,SUM($S176:AA176)+$O126,IF(AA$87&gt;$G126,AA176,0)),0)</f>
        <v>0</v>
      </c>
      <c r="AB126" s="181">
        <f>IF(OR(RIGHT($H126,3)="RGT",RIGHT($H126,3)="INC"),IF($G126=AB$87,SUM($S176:AB176)+$O126,IF(AB$87&gt;$G126,AB176,0)),0)</f>
        <v>0</v>
      </c>
      <c r="AC126" s="181">
        <f>IF(OR(RIGHT($H126,3)="RGT",RIGHT($H126,3)="INC"),IF($G126=AC$87,SUM($S176:AC176)+$O126,IF(AC$87&gt;$G126,AC176,0)),0)</f>
        <v>0</v>
      </c>
      <c r="AD126" s="182">
        <f>IF(OR(RIGHT($H126,3)="RGT",RIGHT($H126,3)="INC"),IF($G126=AD$87,SUM($S176:AD176)+$O126,IF(AD$87&gt;$G126,AD176,0)),0)</f>
        <v>0</v>
      </c>
      <c r="AE126" s="181">
        <f>IF(OR(RIGHT($H126,3)="RGT",RIGHT($H126,3)="INC"),IF($G126=AE$87,SUM($S176:AE176)+$O126,IF(AE$87&gt;$G126,AE176,0)),0)</f>
        <v>0</v>
      </c>
      <c r="AF126" s="181">
        <f>IF(OR(RIGHT($H126,3)="RGT",RIGHT($H126,3)="INC"),IF($G126=AF$87,SUM($S176:AF176)+$O126,IF(AF$87&gt;$G126,AF176,0)),0)</f>
        <v>0</v>
      </c>
      <c r="AG126" s="181">
        <f>IF(OR(RIGHT($H126,3)="RGT",RIGHT($H126,3)="INC"),IF($G126=AG$87,SUM($S176:AG176)+$O126,IF(AG$87&gt;$G126,AG176,0)),0)</f>
        <v>0</v>
      </c>
      <c r="AH126" s="181">
        <f>IF(OR(RIGHT($H126,3)="RGT",RIGHT($H126,3)="INC"),IF($G126=AH$87,SUM($S176:AH176)+$O126,IF(AH$87&gt;$G126,AH176,0)),0)</f>
        <v>0</v>
      </c>
      <c r="AI126" s="181">
        <f>IF(OR(RIGHT($H126,3)="RGT",RIGHT($H126,3)="INC"),IF($G126=AI$87,SUM($S176:AI176)+$O126,IF(AI$87&gt;$G126,AI176,0)),0)</f>
        <v>0</v>
      </c>
      <c r="AJ126" s="181">
        <f>IF(OR(RIGHT($H126,3)="RGT",RIGHT($H126,3)="INC"),IF($G126=AJ$87,SUM($S176:AJ176)+$O126,IF(AJ$87&gt;$G126,AJ176,0)),0)</f>
        <v>0</v>
      </c>
      <c r="AK126" s="181">
        <f>IF(OR(RIGHT($H126,3)="RGT",RIGHT($H126,3)="INC"),IF($G126=AK$87,SUM($S176:AK176)+$O126,IF(AK$87&gt;$G126,AK176,0)),0)</f>
        <v>0</v>
      </c>
      <c r="AL126" s="181">
        <f>IF(OR(RIGHT($H126,3)="RGT",RIGHT($H126,3)="INC"),IF($G126=AL$87,SUM($S176:AL176)+$O126,IF(AL$87&gt;$G126,AL176,0)),0)</f>
        <v>0</v>
      </c>
      <c r="AM126" s="181">
        <f>IF(OR(RIGHT($H126,3)="RGT",RIGHT($H126,3)="INC"),IF($G126=AM$87,SUM($S176:AM176)+$O126,IF(AM$87&gt;$G126,AM176,0)),0)</f>
        <v>0</v>
      </c>
      <c r="AN126" s="181">
        <f>IF(OR(RIGHT($H126,3)="RGT",RIGHT($H126,3)="INC"),IF($G126=AN$87,SUM($S176:AN176)+$O126,IF(AN$87&gt;$G126,AN176,0)),0)</f>
        <v>0</v>
      </c>
      <c r="AO126" s="181">
        <f>IF(OR(RIGHT($H126,3)="RGT",RIGHT($H126,3)="INC"),IF($G126=AO$87,SUM($S176:AO176)+$O126,IF(AO$87&gt;$G126,AO176,0)),0)</f>
        <v>0</v>
      </c>
      <c r="AP126" s="182">
        <f>IF(OR(RIGHT($H126,3)="RGT",RIGHT($H126,3)="INC"),IF($G126=AP$87,SUM($S176:AP176)+$O126,IF(AP$87&gt;$G126,AP176,0)),0)</f>
        <v>0</v>
      </c>
    </row>
    <row r="127" spans="1:42" s="183" customFormat="1" x14ac:dyDescent="0.25">
      <c r="A127" s="178" t="str">
        <f t="shared" si="49"/>
        <v>Tehachapi Segments 4-11</v>
      </c>
      <c r="B127" s="179" t="s">
        <v>33</v>
      </c>
      <c r="C127" s="56" t="s">
        <v>223</v>
      </c>
      <c r="D127" s="66" t="s">
        <v>224</v>
      </c>
      <c r="E127" s="58" t="s">
        <v>274</v>
      </c>
      <c r="F127" s="155" t="s">
        <v>70</v>
      </c>
      <c r="G127" s="59">
        <v>42125</v>
      </c>
      <c r="H127" s="60" t="s">
        <v>264</v>
      </c>
      <c r="I127" s="61">
        <v>0</v>
      </c>
      <c r="J127" s="62">
        <v>1</v>
      </c>
      <c r="K127" s="237">
        <v>800208616</v>
      </c>
      <c r="L127" s="236">
        <v>3160.5321899999994</v>
      </c>
      <c r="M127" s="71">
        <f>SUM(S177:AD177)</f>
        <v>-1.2871499999999996</v>
      </c>
      <c r="N127" s="71">
        <f>SUM(AE177:AP177)</f>
        <v>0</v>
      </c>
      <c r="O127" s="64">
        <f t="shared" si="52"/>
        <v>3160.5321899999994</v>
      </c>
      <c r="P127" s="64">
        <f t="shared" si="53"/>
        <v>-1.2871499999999996</v>
      </c>
      <c r="Q127" s="65">
        <f t="shared" si="54"/>
        <v>0</v>
      </c>
      <c r="R127" s="59"/>
      <c r="S127" s="180">
        <f>IF(OR(RIGHT($H127,3)="RGT",RIGHT($H127,3)="INC"),IF($G127=S$87,SUM($S177:S177)+$O127,IF(S$87&gt;$G127,S177,0)),0)</f>
        <v>0</v>
      </c>
      <c r="T127" s="181">
        <f>IF(OR(RIGHT($H127,3)="RGT",RIGHT($H127,3)="INC"),IF($G127=T$87,SUM($S177:T177)+$O127,IF(T$87&gt;$G127,T177,0)),0)</f>
        <v>0</v>
      </c>
      <c r="U127" s="181">
        <f>IF(OR(RIGHT($H127,3)="RGT",RIGHT($H127,3)="INC"),IF($G127=U$87,SUM($S177:U177)+$O127,IF(U$87&gt;$G127,U177,0)),0)</f>
        <v>0</v>
      </c>
      <c r="V127" s="181">
        <f>IF(OR(RIGHT($H127,3)="RGT",RIGHT($H127,3)="INC"),IF($G127=V$87,SUM($S177:V177)+$O127,IF(V$87&gt;$G127,V177,0)),0)</f>
        <v>0</v>
      </c>
      <c r="W127" s="181">
        <f>IF(OR(RIGHT($H127,3)="RGT",RIGHT($H127,3)="INC"),IF($G127=W$87,SUM($S177:W177)+$O127,IF(W$87&gt;$G127,W177,0)),0)</f>
        <v>3159.2450399999993</v>
      </c>
      <c r="X127" s="181">
        <f>IF(OR(RIGHT($H127,3)="RGT",RIGHT($H127,3)="INC"),IF($G127=X$87,SUM($S177:X177)+$O127,IF(X$87&gt;$G127,X177,0)),0)</f>
        <v>0</v>
      </c>
      <c r="Y127" s="181">
        <f>IF(OR(RIGHT($H127,3)="RGT",RIGHT($H127,3)="INC"),IF($G127=Y$87,SUM($S177:Y177)+$O127,IF(Y$87&gt;$G127,Y177,0)),0)</f>
        <v>0</v>
      </c>
      <c r="Z127" s="181">
        <f>IF(OR(RIGHT($H127,3)="RGT",RIGHT($H127,3)="INC"),IF($G127=Z$87,SUM($S177:Z177)+$O127,IF(Z$87&gt;$G127,Z177,0)),0)</f>
        <v>0</v>
      </c>
      <c r="AA127" s="181">
        <f>IF(OR(RIGHT($H127,3)="RGT",RIGHT($H127,3)="INC"),IF($G127=AA$87,SUM($S177:AA177)+$O127,IF(AA$87&gt;$G127,AA177,0)),0)</f>
        <v>0</v>
      </c>
      <c r="AB127" s="181">
        <f>IF(OR(RIGHT($H127,3)="RGT",RIGHT($H127,3)="INC"),IF($G127=AB$87,SUM($S177:AB177)+$O127,IF(AB$87&gt;$G127,AB177,0)),0)</f>
        <v>0</v>
      </c>
      <c r="AC127" s="181">
        <f>IF(OR(RIGHT($H127,3)="RGT",RIGHT($H127,3)="INC"),IF($G127=AC$87,SUM($S177:AC177)+$O127,IF(AC$87&gt;$G127,AC177,0)),0)</f>
        <v>0</v>
      </c>
      <c r="AD127" s="182">
        <f>IF(OR(RIGHT($H127,3)="RGT",RIGHT($H127,3)="INC"),IF($G127=AD$87,SUM($S177:AD177)+$O127,IF(AD$87&gt;$G127,AD177,0)),0)</f>
        <v>0</v>
      </c>
      <c r="AE127" s="181">
        <f>IF(OR(RIGHT($H127,3)="RGT",RIGHT($H127,3)="INC"),IF($G127=AE$87,SUM($S177:AE177)+$O127,IF(AE$87&gt;$G127,AE177,0)),0)</f>
        <v>0</v>
      </c>
      <c r="AF127" s="181">
        <f>IF(OR(RIGHT($H127,3)="RGT",RIGHT($H127,3)="INC"),IF($G127=AF$87,SUM($S177:AF177)+$O127,IF(AF$87&gt;$G127,AF177,0)),0)</f>
        <v>0</v>
      </c>
      <c r="AG127" s="181">
        <f>IF(OR(RIGHT($H127,3)="RGT",RIGHT($H127,3)="INC"),IF($G127=AG$87,SUM($S177:AG177)+$O127,IF(AG$87&gt;$G127,AG177,0)),0)</f>
        <v>0</v>
      </c>
      <c r="AH127" s="181">
        <f>IF(OR(RIGHT($H127,3)="RGT",RIGHT($H127,3)="INC"),IF($G127=AH$87,SUM($S177:AH177)+$O127,IF(AH$87&gt;$G127,AH177,0)),0)</f>
        <v>0</v>
      </c>
      <c r="AI127" s="181">
        <f>IF(OR(RIGHT($H127,3)="RGT",RIGHT($H127,3)="INC"),IF($G127=AI$87,SUM($S177:AI177)+$O127,IF(AI$87&gt;$G127,AI177,0)),0)</f>
        <v>0</v>
      </c>
      <c r="AJ127" s="181">
        <f>IF(OR(RIGHT($H127,3)="RGT",RIGHT($H127,3)="INC"),IF($G127=AJ$87,SUM($S177:AJ177)+$O127,IF(AJ$87&gt;$G127,AJ177,0)),0)</f>
        <v>0</v>
      </c>
      <c r="AK127" s="181">
        <f>IF(OR(RIGHT($H127,3)="RGT",RIGHT($H127,3)="INC"),IF($G127=AK$87,SUM($S177:AK177)+$O127,IF(AK$87&gt;$G127,AK177,0)),0)</f>
        <v>0</v>
      </c>
      <c r="AL127" s="181">
        <f>IF(OR(RIGHT($H127,3)="RGT",RIGHT($H127,3)="INC"),IF($G127=AL$87,SUM($S177:AL177)+$O127,IF(AL$87&gt;$G127,AL177,0)),0)</f>
        <v>0</v>
      </c>
      <c r="AM127" s="181">
        <f>IF(OR(RIGHT($H127,3)="RGT",RIGHT($H127,3)="INC"),IF($G127=AM$87,SUM($S177:AM177)+$O127,IF(AM$87&gt;$G127,AM177,0)),0)</f>
        <v>0</v>
      </c>
      <c r="AN127" s="181">
        <f>IF(OR(RIGHT($H127,3)="RGT",RIGHT($H127,3)="INC"),IF($G127=AN$87,SUM($S177:AN177)+$O127,IF(AN$87&gt;$G127,AN177,0)),0)</f>
        <v>0</v>
      </c>
      <c r="AO127" s="181">
        <f>IF(OR(RIGHT($H127,3)="RGT",RIGHT($H127,3)="INC"),IF($G127=AO$87,SUM($S177:AO177)+$O127,IF(AO$87&gt;$G127,AO177,0)),0)</f>
        <v>0</v>
      </c>
      <c r="AP127" s="182">
        <f>IF(OR(RIGHT($H127,3)="RGT",RIGHT($H127,3)="INC"),IF($G127=AP$87,SUM($S177:AP177)+$O127,IF(AP$87&gt;$G127,AP177,0)),0)</f>
        <v>0</v>
      </c>
    </row>
    <row r="128" spans="1:42" s="183" customFormat="1" x14ac:dyDescent="0.25">
      <c r="A128" s="178" t="str">
        <f t="shared" si="49"/>
        <v>Tehachapi Segments 4-11</v>
      </c>
      <c r="B128" s="179" t="s">
        <v>33</v>
      </c>
      <c r="C128" s="56" t="s">
        <v>225</v>
      </c>
      <c r="D128" s="66" t="s">
        <v>226</v>
      </c>
      <c r="E128" s="58" t="s">
        <v>274</v>
      </c>
      <c r="F128" s="155" t="s">
        <v>70</v>
      </c>
      <c r="G128" s="59">
        <v>42125</v>
      </c>
      <c r="H128" s="60" t="s">
        <v>264</v>
      </c>
      <c r="I128" s="61">
        <v>0</v>
      </c>
      <c r="J128" s="62">
        <v>1</v>
      </c>
      <c r="K128" s="237"/>
      <c r="L128" s="236">
        <v>0</v>
      </c>
      <c r="M128" s="71">
        <f>SUM(S178:AD178)</f>
        <v>0</v>
      </c>
      <c r="N128" s="71">
        <f>SUM(AE178:AP178)</f>
        <v>0</v>
      </c>
      <c r="O128" s="64">
        <f t="shared" si="52"/>
        <v>0</v>
      </c>
      <c r="P128" s="64">
        <f t="shared" si="53"/>
        <v>0</v>
      </c>
      <c r="Q128" s="65">
        <f t="shared" si="54"/>
        <v>0</v>
      </c>
      <c r="R128" s="59"/>
      <c r="S128" s="180">
        <f>IF(OR(RIGHT($H128,3)="RGT",RIGHT($H128,3)="INC"),IF($G128=S$87,SUM($S178:S178)+$O128,IF(S$87&gt;$G128,S178,0)),0)</f>
        <v>0</v>
      </c>
      <c r="T128" s="181">
        <f>IF(OR(RIGHT($H128,3)="RGT",RIGHT($H128,3)="INC"),IF($G128=T$87,SUM($S178:T178)+$O128,IF(T$87&gt;$G128,T178,0)),0)</f>
        <v>0</v>
      </c>
      <c r="U128" s="181">
        <f>IF(OR(RIGHT($H128,3)="RGT",RIGHT($H128,3)="INC"),IF($G128=U$87,SUM($S178:U178)+$O128,IF(U$87&gt;$G128,U178,0)),0)</f>
        <v>0</v>
      </c>
      <c r="V128" s="181">
        <f>IF(OR(RIGHT($H128,3)="RGT",RIGHT($H128,3)="INC"),IF($G128=V$87,SUM($S178:V178)+$O128,IF(V$87&gt;$G128,V178,0)),0)</f>
        <v>0</v>
      </c>
      <c r="W128" s="181">
        <f>IF(OR(RIGHT($H128,3)="RGT",RIGHT($H128,3)="INC"),IF($G128=W$87,SUM($S178:W178)+$O128,IF(W$87&gt;$G128,W178,0)),0)</f>
        <v>0</v>
      </c>
      <c r="X128" s="181">
        <f>IF(OR(RIGHT($H128,3)="RGT",RIGHT($H128,3)="INC"),IF($G128=X$87,SUM($S178:X178)+$O128,IF(X$87&gt;$G128,X178,0)),0)</f>
        <v>0</v>
      </c>
      <c r="Y128" s="181">
        <f>IF(OR(RIGHT($H128,3)="RGT",RIGHT($H128,3)="INC"),IF($G128=Y$87,SUM($S178:Y178)+$O128,IF(Y$87&gt;$G128,Y178,0)),0)</f>
        <v>0</v>
      </c>
      <c r="Z128" s="181">
        <f>IF(OR(RIGHT($H128,3)="RGT",RIGHT($H128,3)="INC"),IF($G128=Z$87,SUM($S178:Z178)+$O128,IF(Z$87&gt;$G128,Z178,0)),0)</f>
        <v>0</v>
      </c>
      <c r="AA128" s="181">
        <f>IF(OR(RIGHT($H128,3)="RGT",RIGHT($H128,3)="INC"),IF($G128=AA$87,SUM($S178:AA178)+$O128,IF(AA$87&gt;$G128,AA178,0)),0)</f>
        <v>0</v>
      </c>
      <c r="AB128" s="181">
        <f>IF(OR(RIGHT($H128,3)="RGT",RIGHT($H128,3)="INC"),IF($G128=AB$87,SUM($S178:AB178)+$O128,IF(AB$87&gt;$G128,AB178,0)),0)</f>
        <v>0</v>
      </c>
      <c r="AC128" s="181">
        <f>IF(OR(RIGHT($H128,3)="RGT",RIGHT($H128,3)="INC"),IF($G128=AC$87,SUM($S178:AC178)+$O128,IF(AC$87&gt;$G128,AC178,0)),0)</f>
        <v>0</v>
      </c>
      <c r="AD128" s="182">
        <f>IF(OR(RIGHT($H128,3)="RGT",RIGHT($H128,3)="INC"),IF($G128=AD$87,SUM($S178:AD178)+$O128,IF(AD$87&gt;$G128,AD178,0)),0)</f>
        <v>0</v>
      </c>
      <c r="AE128" s="181">
        <f>IF(OR(RIGHT($H128,3)="RGT",RIGHT($H128,3)="INC"),IF($G128=AE$87,SUM($S178:AE178)+$O128,IF(AE$87&gt;$G128,AE178,0)),0)</f>
        <v>0</v>
      </c>
      <c r="AF128" s="181">
        <f>IF(OR(RIGHT($H128,3)="RGT",RIGHT($H128,3)="INC"),IF($G128=AF$87,SUM($S178:AF178)+$O128,IF(AF$87&gt;$G128,AF178,0)),0)</f>
        <v>0</v>
      </c>
      <c r="AG128" s="181">
        <f>IF(OR(RIGHT($H128,3)="RGT",RIGHT($H128,3)="INC"),IF($G128=AG$87,SUM($S178:AG178)+$O128,IF(AG$87&gt;$G128,AG178,0)),0)</f>
        <v>0</v>
      </c>
      <c r="AH128" s="181">
        <f>IF(OR(RIGHT($H128,3)="RGT",RIGHT($H128,3)="INC"),IF($G128=AH$87,SUM($S178:AH178)+$O128,IF(AH$87&gt;$G128,AH178,0)),0)</f>
        <v>0</v>
      </c>
      <c r="AI128" s="181">
        <f>IF(OR(RIGHT($H128,3)="RGT",RIGHT($H128,3)="INC"),IF($G128=AI$87,SUM($S178:AI178)+$O128,IF(AI$87&gt;$G128,AI178,0)),0)</f>
        <v>0</v>
      </c>
      <c r="AJ128" s="181">
        <f>IF(OR(RIGHT($H128,3)="RGT",RIGHT($H128,3)="INC"),IF($G128=AJ$87,SUM($S178:AJ178)+$O128,IF(AJ$87&gt;$G128,AJ178,0)),0)</f>
        <v>0</v>
      </c>
      <c r="AK128" s="181">
        <f>IF(OR(RIGHT($H128,3)="RGT",RIGHT($H128,3)="INC"),IF($G128=AK$87,SUM($S178:AK178)+$O128,IF(AK$87&gt;$G128,AK178,0)),0)</f>
        <v>0</v>
      </c>
      <c r="AL128" s="181">
        <f>IF(OR(RIGHT($H128,3)="RGT",RIGHT($H128,3)="INC"),IF($G128=AL$87,SUM($S178:AL178)+$O128,IF(AL$87&gt;$G128,AL178,0)),0)</f>
        <v>0</v>
      </c>
      <c r="AM128" s="181">
        <f>IF(OR(RIGHT($H128,3)="RGT",RIGHT($H128,3)="INC"),IF($G128=AM$87,SUM($S178:AM178)+$O128,IF(AM$87&gt;$G128,AM178,0)),0)</f>
        <v>0</v>
      </c>
      <c r="AN128" s="181">
        <f>IF(OR(RIGHT($H128,3)="RGT",RIGHT($H128,3)="INC"),IF($G128=AN$87,SUM($S178:AN178)+$O128,IF(AN$87&gt;$G128,AN178,0)),0)</f>
        <v>0</v>
      </c>
      <c r="AO128" s="181">
        <f>IF(OR(RIGHT($H128,3)="RGT",RIGHT($H128,3)="INC"),IF($G128=AO$87,SUM($S178:AO178)+$O128,IF(AO$87&gt;$G128,AO178,0)),0)</f>
        <v>0</v>
      </c>
      <c r="AP128" s="182">
        <f>IF(OR(RIGHT($H128,3)="RGT",RIGHT($H128,3)="INC"),IF($G128=AP$87,SUM($S178:AP178)+$O128,IF(AP$87&gt;$G128,AP178,0)),0)</f>
        <v>0</v>
      </c>
    </row>
    <row r="129" spans="1:43" ht="15.75" thickBot="1" x14ac:dyDescent="0.3">
      <c r="B129" s="170" t="s">
        <v>292</v>
      </c>
      <c r="C129" s="226" t="s">
        <v>26</v>
      </c>
      <c r="D129" s="227"/>
      <c r="E129" s="227"/>
      <c r="F129" s="227"/>
      <c r="G129" s="227"/>
      <c r="H129" s="227"/>
      <c r="I129" s="227"/>
      <c r="J129" s="228"/>
      <c r="K129" s="63"/>
      <c r="L129" s="125">
        <f>SUM(L88:L128)</f>
        <v>679657.09700000007</v>
      </c>
      <c r="M129" s="126">
        <f t="shared" ref="M129:Q129" si="59">SUM(M88:M128)</f>
        <v>314341.67835943005</v>
      </c>
      <c r="N129" s="126">
        <f t="shared" si="59"/>
        <v>113370.28904999996</v>
      </c>
      <c r="O129" s="126">
        <f t="shared" si="59"/>
        <v>679657.09700000007</v>
      </c>
      <c r="P129" s="126">
        <f t="shared" si="59"/>
        <v>314341.67835943005</v>
      </c>
      <c r="Q129" s="127">
        <f t="shared" si="59"/>
        <v>113370.28904999996</v>
      </c>
      <c r="R129" s="58"/>
      <c r="S129" s="208">
        <f t="shared" ref="S129:AP129" si="60">SUM(S88:S128)</f>
        <v>23224.348170000001</v>
      </c>
      <c r="T129" s="209">
        <f t="shared" si="60"/>
        <v>-6548.1808499999988</v>
      </c>
      <c r="U129" s="209">
        <f t="shared" si="60"/>
        <v>1082.2876800000004</v>
      </c>
      <c r="V129" s="209">
        <f t="shared" si="60"/>
        <v>2543.3737563999994</v>
      </c>
      <c r="W129" s="209">
        <f t="shared" si="60"/>
        <v>639419.75590239989</v>
      </c>
      <c r="X129" s="209">
        <f t="shared" si="60"/>
        <v>46071.004704800012</v>
      </c>
      <c r="Y129" s="209">
        <f t="shared" si="60"/>
        <v>4428.5019768000002</v>
      </c>
      <c r="Z129" s="209">
        <f t="shared" si="60"/>
        <v>3874.5777891999996</v>
      </c>
      <c r="AA129" s="209">
        <f t="shared" si="60"/>
        <v>5996.2999999999993</v>
      </c>
      <c r="AB129" s="209">
        <f t="shared" si="60"/>
        <v>3658.3</v>
      </c>
      <c r="AC129" s="209">
        <f t="shared" si="60"/>
        <v>3657.3</v>
      </c>
      <c r="AD129" s="210">
        <f t="shared" si="60"/>
        <v>30283.534329830036</v>
      </c>
      <c r="AE129" s="209">
        <f t="shared" si="60"/>
        <v>1137.4840833333335</v>
      </c>
      <c r="AF129" s="209">
        <f t="shared" si="60"/>
        <v>1137.4840833333335</v>
      </c>
      <c r="AG129" s="209">
        <f t="shared" si="60"/>
        <v>1137.4840833333335</v>
      </c>
      <c r="AH129" s="209">
        <f t="shared" si="60"/>
        <v>1137.4840833333335</v>
      </c>
      <c r="AI129" s="209">
        <f t="shared" si="60"/>
        <v>1137.4840833333335</v>
      </c>
      <c r="AJ129" s="209">
        <f t="shared" si="60"/>
        <v>1137.4840833333335</v>
      </c>
      <c r="AK129" s="209">
        <f t="shared" si="60"/>
        <v>1137.4840833333335</v>
      </c>
      <c r="AL129" s="209">
        <f t="shared" si="60"/>
        <v>1137.4840833333335</v>
      </c>
      <c r="AM129" s="209">
        <f t="shared" si="60"/>
        <v>1137.4840833333335</v>
      </c>
      <c r="AN129" s="209">
        <f t="shared" si="60"/>
        <v>331770.75002333341</v>
      </c>
      <c r="AO129" s="209">
        <f t="shared" si="60"/>
        <v>3829.4270883333338</v>
      </c>
      <c r="AP129" s="210">
        <f t="shared" si="60"/>
        <v>3840.4270883333338</v>
      </c>
      <c r="AQ129" s="183"/>
    </row>
    <row r="130" spans="1:43" s="107" customFormat="1" ht="15.75" thickTop="1" x14ac:dyDescent="0.25">
      <c r="A130" s="187"/>
      <c r="B130" s="188"/>
      <c r="C130" s="189"/>
      <c r="D130" s="190"/>
      <c r="E130" s="191"/>
      <c r="F130" s="192"/>
      <c r="G130" s="192"/>
      <c r="I130" s="192"/>
      <c r="J130" s="192"/>
      <c r="K130" s="63"/>
      <c r="R130" s="58"/>
      <c r="S130" s="192"/>
      <c r="T130" s="192"/>
      <c r="U130" s="192"/>
      <c r="V130" s="192"/>
      <c r="W130" s="192"/>
      <c r="X130" s="192"/>
      <c r="Y130" s="192"/>
      <c r="Z130" s="192"/>
      <c r="AA130" s="192"/>
      <c r="AB130" s="192"/>
      <c r="AC130" s="192"/>
      <c r="AD130" s="192"/>
      <c r="AE130" s="192"/>
      <c r="AF130" s="192"/>
      <c r="AG130" s="192"/>
      <c r="AH130" s="192"/>
      <c r="AI130" s="192"/>
      <c r="AJ130" s="192"/>
      <c r="AK130" s="192"/>
      <c r="AL130" s="192"/>
      <c r="AM130" s="192"/>
      <c r="AN130" s="192"/>
      <c r="AO130" s="192"/>
      <c r="AP130" s="192"/>
      <c r="AQ130" s="183"/>
    </row>
    <row r="131" spans="1:43" ht="15.75" thickBot="1" x14ac:dyDescent="0.3">
      <c r="C131" s="226" t="str">
        <f>"Total Incremental Plant Balance - "&amp;C82</f>
        <v>Total Incremental Plant Balance - Tehachapi Segments 4-11</v>
      </c>
      <c r="D131" s="227"/>
      <c r="E131" s="227"/>
      <c r="F131" s="227"/>
      <c r="G131" s="227"/>
      <c r="H131" s="227"/>
      <c r="I131" s="227"/>
      <c r="J131" s="228"/>
      <c r="K131" s="63"/>
      <c r="L131" s="125"/>
      <c r="M131" s="126"/>
      <c r="N131" s="126"/>
      <c r="O131" s="126"/>
      <c r="P131" s="126"/>
      <c r="Q131" s="127"/>
      <c r="R131" s="58"/>
      <c r="S131" s="184">
        <f>S129</f>
        <v>23224.348170000001</v>
      </c>
      <c r="T131" s="185">
        <f t="shared" ref="T131:AL131" si="61">T129+S131</f>
        <v>16676.16732</v>
      </c>
      <c r="U131" s="185">
        <f t="shared" si="61"/>
        <v>17758.455000000002</v>
      </c>
      <c r="V131" s="185">
        <f t="shared" si="61"/>
        <v>20301.828756400002</v>
      </c>
      <c r="W131" s="185">
        <f t="shared" si="61"/>
        <v>659721.58465879993</v>
      </c>
      <c r="X131" s="185">
        <f t="shared" si="61"/>
        <v>705792.58936359989</v>
      </c>
      <c r="Y131" s="185">
        <f t="shared" si="61"/>
        <v>710221.09134039993</v>
      </c>
      <c r="Z131" s="185">
        <f t="shared" si="61"/>
        <v>714095.66912959993</v>
      </c>
      <c r="AA131" s="185">
        <f t="shared" si="61"/>
        <v>720091.96912959998</v>
      </c>
      <c r="AB131" s="185">
        <f t="shared" si="61"/>
        <v>723750.26912960003</v>
      </c>
      <c r="AC131" s="185">
        <f t="shared" si="61"/>
        <v>727407.56912960007</v>
      </c>
      <c r="AD131" s="186">
        <f t="shared" si="61"/>
        <v>757691.10345943016</v>
      </c>
      <c r="AE131" s="185">
        <f>AE129+AD131</f>
        <v>758828.58754276345</v>
      </c>
      <c r="AF131" s="185">
        <f t="shared" si="61"/>
        <v>759966.07162609673</v>
      </c>
      <c r="AG131" s="185">
        <f t="shared" si="61"/>
        <v>761103.55570943002</v>
      </c>
      <c r="AH131" s="185">
        <f t="shared" si="61"/>
        <v>762241.0397927633</v>
      </c>
      <c r="AI131" s="185">
        <f t="shared" si="61"/>
        <v>763378.52387609659</v>
      </c>
      <c r="AJ131" s="185">
        <f t="shared" si="61"/>
        <v>764516.00795942987</v>
      </c>
      <c r="AK131" s="185">
        <f t="shared" si="61"/>
        <v>765653.49204276316</v>
      </c>
      <c r="AL131" s="185">
        <f t="shared" si="61"/>
        <v>766790.97612609644</v>
      </c>
      <c r="AM131" s="185">
        <f>AM129+AL131</f>
        <v>767928.46020942973</v>
      </c>
      <c r="AN131" s="185">
        <f>AN129+AM131</f>
        <v>1099699.2102327631</v>
      </c>
      <c r="AO131" s="185">
        <f>AO129+AN131</f>
        <v>1103528.6373210964</v>
      </c>
      <c r="AP131" s="186">
        <f>AP129+AO131</f>
        <v>1107369.0644094297</v>
      </c>
      <c r="AQ131" s="183"/>
    </row>
    <row r="132" spans="1:43" ht="15.75" thickTop="1" x14ac:dyDescent="0.25">
      <c r="C132" s="67"/>
      <c r="D132" s="68"/>
      <c r="E132" s="67"/>
      <c r="F132" s="273"/>
      <c r="G132" s="273"/>
      <c r="H132" s="273"/>
      <c r="I132" s="273"/>
      <c r="J132" s="273"/>
      <c r="K132" s="63"/>
      <c r="L132" s="129"/>
      <c r="M132" s="129"/>
      <c r="N132" s="129"/>
      <c r="O132" s="129"/>
      <c r="P132" s="129"/>
      <c r="Q132" s="129"/>
      <c r="R132" s="58"/>
      <c r="S132" s="193"/>
      <c r="T132" s="193"/>
      <c r="U132" s="193"/>
      <c r="V132" s="193"/>
      <c r="W132" s="193"/>
      <c r="X132" s="193"/>
      <c r="Y132" s="193"/>
      <c r="Z132" s="193"/>
      <c r="AA132" s="193"/>
      <c r="AB132" s="193"/>
      <c r="AC132" s="193"/>
      <c r="AD132" s="193"/>
      <c r="AE132" s="193"/>
      <c r="AF132" s="193"/>
      <c r="AG132" s="193"/>
      <c r="AH132" s="193"/>
      <c r="AI132" s="193"/>
      <c r="AJ132" s="193"/>
      <c r="AK132" s="193"/>
      <c r="AL132" s="193"/>
      <c r="AM132" s="193"/>
      <c r="AN132" s="193"/>
      <c r="AO132" s="193"/>
      <c r="AP132" s="193"/>
      <c r="AQ132" s="183"/>
    </row>
    <row r="133" spans="1:43" s="107" customFormat="1" x14ac:dyDescent="0.25">
      <c r="A133" s="187"/>
      <c r="B133" s="188"/>
      <c r="C133" s="189"/>
      <c r="D133" s="190"/>
      <c r="E133" s="191"/>
      <c r="F133" s="192"/>
      <c r="G133" s="192"/>
      <c r="I133" s="192"/>
      <c r="J133" s="192"/>
      <c r="K133" s="63"/>
      <c r="R133" s="58"/>
      <c r="S133" s="192"/>
      <c r="T133" s="192"/>
      <c r="U133" s="192"/>
      <c r="V133" s="192"/>
      <c r="W133" s="192"/>
      <c r="X133" s="192"/>
      <c r="Y133" s="192"/>
      <c r="Z133" s="192"/>
      <c r="AA133" s="192"/>
      <c r="AB133" s="192"/>
      <c r="AC133" s="192"/>
      <c r="AD133" s="192"/>
      <c r="AE133" s="192"/>
      <c r="AF133" s="192"/>
      <c r="AG133" s="192"/>
      <c r="AH133" s="192"/>
      <c r="AI133" s="192"/>
      <c r="AJ133" s="192"/>
      <c r="AK133" s="192"/>
      <c r="AL133" s="192"/>
      <c r="AM133" s="192"/>
      <c r="AN133" s="192"/>
      <c r="AO133" s="192"/>
      <c r="AP133" s="192"/>
      <c r="AQ133" s="183"/>
    </row>
    <row r="134" spans="1:43" s="107" customFormat="1" x14ac:dyDescent="0.25">
      <c r="A134" s="187"/>
      <c r="B134" s="188"/>
      <c r="C134" s="176" t="s">
        <v>34</v>
      </c>
      <c r="D134" s="172"/>
      <c r="E134" s="173"/>
      <c r="F134" s="106"/>
      <c r="G134" s="106"/>
      <c r="H134" s="105"/>
      <c r="I134" s="106"/>
      <c r="J134" s="106"/>
      <c r="K134" s="63"/>
      <c r="L134" s="121"/>
      <c r="M134" s="121"/>
      <c r="N134" s="121"/>
      <c r="O134" s="121"/>
      <c r="P134" s="121"/>
      <c r="Q134" s="121"/>
      <c r="R134" s="58"/>
      <c r="S134" s="106"/>
      <c r="T134" s="106"/>
      <c r="U134" s="106"/>
      <c r="V134" s="106"/>
      <c r="W134" s="106"/>
      <c r="X134" s="106"/>
      <c r="Y134" s="106"/>
      <c r="Z134" s="106"/>
      <c r="AA134" s="106"/>
      <c r="AB134" s="106"/>
      <c r="AC134" s="106"/>
      <c r="AD134" s="106"/>
      <c r="AE134" s="106"/>
      <c r="AF134" s="106"/>
      <c r="AG134" s="106"/>
      <c r="AH134" s="106"/>
      <c r="AI134" s="106"/>
      <c r="AJ134" s="106"/>
      <c r="AK134" s="106"/>
      <c r="AL134" s="106"/>
      <c r="AM134" s="106"/>
      <c r="AN134" s="106"/>
      <c r="AO134" s="106"/>
      <c r="AP134" s="106"/>
      <c r="AQ134" s="183"/>
    </row>
    <row r="135" spans="1:43" s="107" customFormat="1" x14ac:dyDescent="0.25">
      <c r="A135" s="187"/>
      <c r="B135" s="188"/>
      <c r="C135" s="173" t="s">
        <v>35</v>
      </c>
      <c r="D135" s="172"/>
      <c r="E135" s="173"/>
      <c r="F135" s="106"/>
      <c r="G135" s="106"/>
      <c r="H135" s="105"/>
      <c r="I135" s="106"/>
      <c r="J135" s="106"/>
      <c r="K135" s="63"/>
      <c r="L135" s="105"/>
      <c r="M135" s="105"/>
      <c r="N135" s="105"/>
      <c r="O135" s="105"/>
      <c r="P135" s="105"/>
      <c r="Q135" s="105"/>
      <c r="R135" s="58"/>
      <c r="S135" s="106"/>
      <c r="T135" s="106"/>
      <c r="U135" s="106"/>
      <c r="V135" s="106"/>
      <c r="W135" s="106"/>
      <c r="X135" s="106"/>
      <c r="Y135" s="106"/>
      <c r="Z135" s="106"/>
      <c r="AA135" s="106"/>
      <c r="AB135" s="106"/>
      <c r="AC135" s="106"/>
      <c r="AD135" s="106"/>
      <c r="AE135" s="106"/>
      <c r="AF135" s="106"/>
      <c r="AG135" s="106"/>
      <c r="AH135" s="106"/>
      <c r="AI135" s="106"/>
      <c r="AJ135" s="106"/>
      <c r="AK135" s="106"/>
      <c r="AL135" s="106"/>
      <c r="AM135" s="106"/>
      <c r="AN135" s="106"/>
      <c r="AO135" s="106"/>
      <c r="AP135" s="106"/>
      <c r="AQ135" s="183"/>
    </row>
    <row r="136" spans="1:43" s="107" customFormat="1" ht="15.75" thickBot="1" x14ac:dyDescent="0.3">
      <c r="A136" s="187"/>
      <c r="B136" s="188"/>
      <c r="C136" s="173"/>
      <c r="D136" s="172"/>
      <c r="E136" s="173"/>
      <c r="F136" s="106"/>
      <c r="G136" s="106"/>
      <c r="H136" s="105"/>
      <c r="I136" s="106"/>
      <c r="J136" s="106"/>
      <c r="K136" s="63"/>
      <c r="L136" s="105"/>
      <c r="M136" s="105"/>
      <c r="N136" s="105"/>
      <c r="O136" s="105"/>
      <c r="P136" s="105"/>
      <c r="Q136" s="105"/>
      <c r="R136" s="58"/>
      <c r="S136" s="106"/>
      <c r="T136" s="106"/>
      <c r="U136" s="106"/>
      <c r="V136" s="106"/>
      <c r="W136" s="106"/>
      <c r="X136" s="106"/>
      <c r="Y136" s="106"/>
      <c r="Z136" s="106"/>
      <c r="AA136" s="106"/>
      <c r="AB136" s="106"/>
      <c r="AC136" s="106"/>
      <c r="AD136" s="106"/>
      <c r="AE136" s="106"/>
      <c r="AF136" s="106"/>
      <c r="AG136" s="106"/>
      <c r="AH136" s="106"/>
      <c r="AI136" s="106"/>
      <c r="AJ136" s="106"/>
      <c r="AK136" s="106"/>
      <c r="AL136" s="106"/>
      <c r="AM136" s="106"/>
      <c r="AN136" s="106"/>
      <c r="AO136" s="106"/>
      <c r="AP136" s="106"/>
      <c r="AQ136" s="183"/>
    </row>
    <row r="137" spans="1:43" s="117" customFormat="1" ht="30.75" thickBot="1" x14ac:dyDescent="0.3">
      <c r="A137" s="169"/>
      <c r="B137" s="170"/>
      <c r="C137" s="51" t="s">
        <v>15</v>
      </c>
      <c r="D137" s="52" t="s">
        <v>16</v>
      </c>
      <c r="E137" s="53" t="s">
        <v>17</v>
      </c>
      <c r="F137" s="54" t="s">
        <v>18</v>
      </c>
      <c r="G137" s="45" t="s">
        <v>19</v>
      </c>
      <c r="H137" s="45" t="s">
        <v>20</v>
      </c>
      <c r="I137" s="45" t="s">
        <v>21</v>
      </c>
      <c r="J137" s="46" t="s">
        <v>22</v>
      </c>
      <c r="K137" s="63"/>
      <c r="L137" s="44" t="str">
        <f t="shared" ref="L137:Q137" si="62">L$11</f>
        <v>2014 CWIP</v>
      </c>
      <c r="M137" s="45" t="str">
        <f t="shared" si="62"/>
        <v>2015 Total Expenditures</v>
      </c>
      <c r="N137" s="45" t="str">
        <f t="shared" si="62"/>
        <v>2016 Total Expenditures</v>
      </c>
      <c r="O137" s="45" t="str">
        <f t="shared" si="62"/>
        <v>2014 ISO CWIP Less Collectible</v>
      </c>
      <c r="P137" s="45" t="str">
        <f t="shared" si="62"/>
        <v>2015 ISO Expenditures Less Collectible</v>
      </c>
      <c r="Q137" s="46" t="str">
        <f t="shared" si="62"/>
        <v>2016 ISO Expenditures Less Collectible</v>
      </c>
      <c r="R137" s="58"/>
      <c r="S137" s="204">
        <f>$D$3</f>
        <v>42005</v>
      </c>
      <c r="T137" s="84">
        <f t="shared" ref="T137:AL137" si="63">DATE(YEAR(S137),MONTH(S137)+1,DAY(S137))</f>
        <v>42036</v>
      </c>
      <c r="U137" s="84">
        <f t="shared" si="63"/>
        <v>42064</v>
      </c>
      <c r="V137" s="84">
        <f t="shared" si="63"/>
        <v>42095</v>
      </c>
      <c r="W137" s="84">
        <f t="shared" si="63"/>
        <v>42125</v>
      </c>
      <c r="X137" s="84">
        <f t="shared" si="63"/>
        <v>42156</v>
      </c>
      <c r="Y137" s="84">
        <f t="shared" si="63"/>
        <v>42186</v>
      </c>
      <c r="Z137" s="84">
        <f t="shared" si="63"/>
        <v>42217</v>
      </c>
      <c r="AA137" s="84">
        <f t="shared" si="63"/>
        <v>42248</v>
      </c>
      <c r="AB137" s="84">
        <f t="shared" si="63"/>
        <v>42278</v>
      </c>
      <c r="AC137" s="84">
        <f t="shared" si="63"/>
        <v>42309</v>
      </c>
      <c r="AD137" s="205">
        <f t="shared" si="63"/>
        <v>42339</v>
      </c>
      <c r="AE137" s="84">
        <f>DATE(YEAR(AD137),MONTH(AD137)+1,DAY(AD137))</f>
        <v>42370</v>
      </c>
      <c r="AF137" s="84">
        <f t="shared" si="63"/>
        <v>42401</v>
      </c>
      <c r="AG137" s="84">
        <f t="shared" si="63"/>
        <v>42430</v>
      </c>
      <c r="AH137" s="84">
        <f t="shared" si="63"/>
        <v>42461</v>
      </c>
      <c r="AI137" s="84">
        <f t="shared" si="63"/>
        <v>42491</v>
      </c>
      <c r="AJ137" s="84">
        <f t="shared" si="63"/>
        <v>42522</v>
      </c>
      <c r="AK137" s="84">
        <f t="shared" si="63"/>
        <v>42552</v>
      </c>
      <c r="AL137" s="84">
        <f t="shared" si="63"/>
        <v>42583</v>
      </c>
      <c r="AM137" s="84">
        <f>DATE(YEAR(AL137),MONTH(AL137)+1,DAY(AL137))</f>
        <v>42614</v>
      </c>
      <c r="AN137" s="84">
        <f>DATE(YEAR(AM137),MONTH(AM137)+1,DAY(AM137))</f>
        <v>42644</v>
      </c>
      <c r="AO137" s="84">
        <f>DATE(YEAR(AN137),MONTH(AN137)+1,DAY(AN137))</f>
        <v>42675</v>
      </c>
      <c r="AP137" s="205">
        <f>DATE(YEAR(AO137),MONTH(AO137)+1,DAY(AO137))</f>
        <v>42705</v>
      </c>
      <c r="AQ137" s="183"/>
    </row>
    <row r="138" spans="1:43" s="183" customFormat="1" x14ac:dyDescent="0.25">
      <c r="A138" s="178" t="str">
        <f t="shared" ref="A138:A178" si="64">+$C$82</f>
        <v>Tehachapi Segments 4-11</v>
      </c>
      <c r="B138" s="179" t="s">
        <v>36</v>
      </c>
      <c r="C138" s="56" t="str">
        <f t="shared" ref="C138:J147" si="65">C88</f>
        <v>CET-ET-TP-RN-643500</v>
      </c>
      <c r="D138" s="57" t="str">
        <f t="shared" si="65"/>
        <v xml:space="preserve">I: TRTP 4-1: Antelope-Whirlwind 500kV T/L: Construct new 14-mile single-circuit 500kV T/L. </v>
      </c>
      <c r="E138" s="58" t="str">
        <f t="shared" si="65"/>
        <v>6435</v>
      </c>
      <c r="F138" s="60" t="str">
        <f t="shared" si="65"/>
        <v>High</v>
      </c>
      <c r="G138" s="59">
        <f t="shared" si="65"/>
        <v>41000</v>
      </c>
      <c r="H138" s="60" t="str">
        <f t="shared" si="65"/>
        <v>TR-LINEINC</v>
      </c>
      <c r="I138" s="61">
        <f t="shared" si="65"/>
        <v>0</v>
      </c>
      <c r="J138" s="62">
        <f t="shared" si="65"/>
        <v>1</v>
      </c>
      <c r="K138" s="63"/>
      <c r="L138" s="234">
        <f t="shared" ref="L138:N157" si="66">L88</f>
        <v>0</v>
      </c>
      <c r="M138" s="64">
        <f t="shared" si="66"/>
        <v>96.091170000000005</v>
      </c>
      <c r="N138" s="64">
        <f t="shared" si="66"/>
        <v>0</v>
      </c>
      <c r="O138" s="64">
        <f t="shared" ref="O138:O178" si="67">$L138*$J138*(1-$I138)</f>
        <v>0</v>
      </c>
      <c r="P138" s="64">
        <f t="shared" ref="P138:P178" si="68">$M138*$J138*(1-$I138)</f>
        <v>96.091170000000005</v>
      </c>
      <c r="Q138" s="65">
        <f t="shared" ref="Q138:Q178" si="69">$N138*$J138*(1-$I138)</f>
        <v>0</v>
      </c>
      <c r="R138" s="59"/>
      <c r="S138" s="206">
        <v>-25.337400000000002</v>
      </c>
      <c r="T138" s="207">
        <v>-8.7142599999999995</v>
      </c>
      <c r="U138" s="207">
        <v>-9.85717</v>
      </c>
      <c r="V138" s="207">
        <v>0</v>
      </c>
      <c r="W138" s="207">
        <v>0</v>
      </c>
      <c r="X138" s="207">
        <v>0</v>
      </c>
      <c r="Y138" s="207">
        <v>0</v>
      </c>
      <c r="Z138" s="207">
        <v>0</v>
      </c>
      <c r="AA138" s="207">
        <v>140</v>
      </c>
      <c r="AB138" s="207">
        <v>0</v>
      </c>
      <c r="AC138" s="207">
        <v>0</v>
      </c>
      <c r="AD138" s="207">
        <v>0</v>
      </c>
      <c r="AE138" s="207">
        <v>0</v>
      </c>
      <c r="AF138" s="207">
        <v>0</v>
      </c>
      <c r="AG138" s="207">
        <v>0</v>
      </c>
      <c r="AH138" s="207">
        <v>0</v>
      </c>
      <c r="AI138" s="207">
        <v>0</v>
      </c>
      <c r="AJ138" s="207">
        <v>0</v>
      </c>
      <c r="AK138" s="207">
        <v>0</v>
      </c>
      <c r="AL138" s="207">
        <v>0</v>
      </c>
      <c r="AM138" s="207">
        <v>0</v>
      </c>
      <c r="AN138" s="207">
        <v>0</v>
      </c>
      <c r="AO138" s="207">
        <v>0</v>
      </c>
      <c r="AP138" s="197">
        <v>0</v>
      </c>
    </row>
    <row r="139" spans="1:43" s="183" customFormat="1" x14ac:dyDescent="0.25">
      <c r="A139" s="178" t="str">
        <f t="shared" si="64"/>
        <v>Tehachapi Segments 4-11</v>
      </c>
      <c r="B139" s="179" t="s">
        <v>36</v>
      </c>
      <c r="C139" s="56" t="str">
        <f t="shared" si="65"/>
        <v>CET-ET-TP-RN-643502</v>
      </c>
      <c r="D139" s="66" t="str">
        <f t="shared" si="65"/>
        <v xml:space="preserve">I: TRTP 4-3: Path 26 Loop: Construct approx. 2-miles of new single-circuit 500kV T/L to loop existing Midway-Vincent No.3 500kV. </v>
      </c>
      <c r="E139" s="58" t="str">
        <f t="shared" si="65"/>
        <v>6435</v>
      </c>
      <c r="F139" s="60" t="str">
        <f t="shared" si="65"/>
        <v>High</v>
      </c>
      <c r="G139" s="59">
        <f t="shared" si="65"/>
        <v>41275</v>
      </c>
      <c r="H139" s="60" t="str">
        <f t="shared" si="65"/>
        <v>TR-LINEINC</v>
      </c>
      <c r="I139" s="61">
        <f t="shared" si="65"/>
        <v>0</v>
      </c>
      <c r="J139" s="62">
        <f t="shared" si="65"/>
        <v>1</v>
      </c>
      <c r="K139" s="63"/>
      <c r="L139" s="234">
        <f t="shared" si="66"/>
        <v>0</v>
      </c>
      <c r="M139" s="64">
        <f t="shared" si="66"/>
        <v>1.0452700000000001</v>
      </c>
      <c r="N139" s="64">
        <f t="shared" si="66"/>
        <v>0</v>
      </c>
      <c r="O139" s="64">
        <f t="shared" si="67"/>
        <v>0</v>
      </c>
      <c r="P139" s="64">
        <f t="shared" si="68"/>
        <v>1.0452700000000001</v>
      </c>
      <c r="Q139" s="65">
        <f t="shared" si="69"/>
        <v>0</v>
      </c>
      <c r="R139" s="59"/>
      <c r="S139" s="180">
        <v>0.32224000000000003</v>
      </c>
      <c r="T139" s="181">
        <v>0.30823</v>
      </c>
      <c r="U139" s="181">
        <v>0.4148</v>
      </c>
      <c r="V139" s="181">
        <v>0</v>
      </c>
      <c r="W139" s="181">
        <v>0</v>
      </c>
      <c r="X139" s="181">
        <v>0</v>
      </c>
      <c r="Y139" s="181">
        <v>0</v>
      </c>
      <c r="Z139" s="181">
        <v>0</v>
      </c>
      <c r="AA139" s="181">
        <v>0</v>
      </c>
      <c r="AB139" s="181">
        <v>0</v>
      </c>
      <c r="AC139" s="181">
        <v>0</v>
      </c>
      <c r="AD139" s="181">
        <v>0</v>
      </c>
      <c r="AE139" s="181">
        <v>0</v>
      </c>
      <c r="AF139" s="181">
        <v>0</v>
      </c>
      <c r="AG139" s="181">
        <v>0</v>
      </c>
      <c r="AH139" s="181">
        <v>0</v>
      </c>
      <c r="AI139" s="181">
        <v>0</v>
      </c>
      <c r="AJ139" s="181">
        <v>0</v>
      </c>
      <c r="AK139" s="181">
        <v>0</v>
      </c>
      <c r="AL139" s="181">
        <v>0</v>
      </c>
      <c r="AM139" s="181">
        <v>0</v>
      </c>
      <c r="AN139" s="181">
        <v>0</v>
      </c>
      <c r="AO139" s="181">
        <v>0</v>
      </c>
      <c r="AP139" s="182">
        <v>0</v>
      </c>
    </row>
    <row r="140" spans="1:43" s="183" customFormat="1" x14ac:dyDescent="0.25">
      <c r="A140" s="178" t="str">
        <f t="shared" si="64"/>
        <v>Tehachapi Segments 4-11</v>
      </c>
      <c r="B140" s="179" t="s">
        <v>36</v>
      </c>
      <c r="C140" s="56" t="str">
        <f t="shared" si="65"/>
        <v>CET-ET-TP-RN-547202</v>
      </c>
      <c r="D140" s="66" t="str">
        <f t="shared" si="65"/>
        <v>I: TRTP 5-3: Antelope-Vincent #2 500kV: Construct new 18-miles single-circuit T/L on existing right of way.</v>
      </c>
      <c r="E140" s="58" t="str">
        <f t="shared" si="65"/>
        <v>5472</v>
      </c>
      <c r="F140" s="60" t="str">
        <f t="shared" si="65"/>
        <v>High</v>
      </c>
      <c r="G140" s="59">
        <f t="shared" si="65"/>
        <v>41275</v>
      </c>
      <c r="H140" s="60" t="str">
        <f t="shared" si="65"/>
        <v>TR-LINEINC</v>
      </c>
      <c r="I140" s="61">
        <f t="shared" si="65"/>
        <v>0</v>
      </c>
      <c r="J140" s="62">
        <f t="shared" si="65"/>
        <v>1</v>
      </c>
      <c r="K140" s="63"/>
      <c r="L140" s="234">
        <f t="shared" si="66"/>
        <v>0</v>
      </c>
      <c r="M140" s="64">
        <f t="shared" si="66"/>
        <v>14.039340000000001</v>
      </c>
      <c r="N140" s="64">
        <f t="shared" si="66"/>
        <v>0</v>
      </c>
      <c r="O140" s="64">
        <f t="shared" si="67"/>
        <v>0</v>
      </c>
      <c r="P140" s="64">
        <f t="shared" si="68"/>
        <v>14.039340000000001</v>
      </c>
      <c r="Q140" s="65">
        <f t="shared" si="69"/>
        <v>0</v>
      </c>
      <c r="R140" s="59"/>
      <c r="S140" s="180">
        <v>-10.54219</v>
      </c>
      <c r="T140" s="181">
        <v>13.72475</v>
      </c>
      <c r="U140" s="181">
        <v>10.856780000000001</v>
      </c>
      <c r="V140" s="181">
        <v>0</v>
      </c>
      <c r="W140" s="181">
        <v>0</v>
      </c>
      <c r="X140" s="181">
        <v>0</v>
      </c>
      <c r="Y140" s="181">
        <v>0</v>
      </c>
      <c r="Z140" s="181">
        <v>0</v>
      </c>
      <c r="AA140" s="181">
        <v>0</v>
      </c>
      <c r="AB140" s="181">
        <v>0</v>
      </c>
      <c r="AC140" s="181">
        <v>0</v>
      </c>
      <c r="AD140" s="181">
        <v>0</v>
      </c>
      <c r="AE140" s="181">
        <v>0</v>
      </c>
      <c r="AF140" s="181">
        <v>0</v>
      </c>
      <c r="AG140" s="181">
        <v>0</v>
      </c>
      <c r="AH140" s="181">
        <v>0</v>
      </c>
      <c r="AI140" s="181">
        <v>0</v>
      </c>
      <c r="AJ140" s="181">
        <v>0</v>
      </c>
      <c r="AK140" s="181">
        <v>0</v>
      </c>
      <c r="AL140" s="181">
        <v>0</v>
      </c>
      <c r="AM140" s="181">
        <v>0</v>
      </c>
      <c r="AN140" s="181">
        <v>0</v>
      </c>
      <c r="AO140" s="181">
        <v>0</v>
      </c>
      <c r="AP140" s="182">
        <v>0</v>
      </c>
    </row>
    <row r="141" spans="1:43" s="183" customFormat="1" x14ac:dyDescent="0.25">
      <c r="A141" s="178" t="str">
        <f t="shared" si="64"/>
        <v>Tehachapi Segments 4-11</v>
      </c>
      <c r="B141" s="179" t="s">
        <v>36</v>
      </c>
      <c r="C141" s="56" t="str">
        <f t="shared" si="65"/>
        <v>CET-ET-TP-RN-547206</v>
      </c>
      <c r="D141" s="66" t="str">
        <f t="shared" si="65"/>
        <v>TRTP 4-11: Licensing</v>
      </c>
      <c r="E141" s="58" t="str">
        <f t="shared" si="65"/>
        <v>5472</v>
      </c>
      <c r="F141" s="60" t="str">
        <f t="shared" si="65"/>
        <v>High</v>
      </c>
      <c r="G141" s="59">
        <f t="shared" si="65"/>
        <v>42036</v>
      </c>
      <c r="H141" s="60" t="str">
        <f t="shared" si="65"/>
        <v>TR-LINEINC</v>
      </c>
      <c r="I141" s="61">
        <f t="shared" si="65"/>
        <v>0</v>
      </c>
      <c r="J141" s="62">
        <f t="shared" si="65"/>
        <v>1</v>
      </c>
      <c r="K141" s="63"/>
      <c r="L141" s="284">
        <f t="shared" si="66"/>
        <v>0</v>
      </c>
      <c r="M141" s="64">
        <f t="shared" si="66"/>
        <v>0</v>
      </c>
      <c r="N141" s="64">
        <f t="shared" si="66"/>
        <v>0</v>
      </c>
      <c r="O141" s="64">
        <f t="shared" si="67"/>
        <v>0</v>
      </c>
      <c r="P141" s="64">
        <f t="shared" si="68"/>
        <v>0</v>
      </c>
      <c r="Q141" s="65">
        <f t="shared" si="69"/>
        <v>0</v>
      </c>
      <c r="R141" s="59"/>
      <c r="S141" s="180">
        <v>0</v>
      </c>
      <c r="T141" s="181">
        <v>0</v>
      </c>
      <c r="U141" s="181">
        <v>0</v>
      </c>
      <c r="V141" s="181">
        <v>0</v>
      </c>
      <c r="W141" s="181">
        <v>0</v>
      </c>
      <c r="X141" s="181">
        <v>0</v>
      </c>
      <c r="Y141" s="181">
        <v>0</v>
      </c>
      <c r="Z141" s="181">
        <v>0</v>
      </c>
      <c r="AA141" s="181">
        <v>0</v>
      </c>
      <c r="AB141" s="181">
        <v>0</v>
      </c>
      <c r="AC141" s="181">
        <v>0</v>
      </c>
      <c r="AD141" s="181">
        <v>0</v>
      </c>
      <c r="AE141" s="181">
        <v>0</v>
      </c>
      <c r="AF141" s="181">
        <v>0</v>
      </c>
      <c r="AG141" s="181">
        <v>0</v>
      </c>
      <c r="AH141" s="181">
        <v>0</v>
      </c>
      <c r="AI141" s="181">
        <v>0</v>
      </c>
      <c r="AJ141" s="181">
        <v>0</v>
      </c>
      <c r="AK141" s="181">
        <v>0</v>
      </c>
      <c r="AL141" s="181">
        <v>0</v>
      </c>
      <c r="AM141" s="181">
        <v>0</v>
      </c>
      <c r="AN141" s="181">
        <v>0</v>
      </c>
      <c r="AO141" s="181">
        <v>0</v>
      </c>
      <c r="AP141" s="182">
        <v>0</v>
      </c>
    </row>
    <row r="142" spans="1:43" s="183" customFormat="1" x14ac:dyDescent="0.25">
      <c r="A142" s="178" t="str">
        <f t="shared" si="64"/>
        <v>Tehachapi Segments 4-11</v>
      </c>
      <c r="B142" s="179" t="s">
        <v>36</v>
      </c>
      <c r="C142" s="56" t="str">
        <f t="shared" si="65"/>
        <v>CET-ET-TP-RN-524301</v>
      </c>
      <c r="D142" s="66" t="str">
        <f t="shared" si="65"/>
        <v xml:space="preserve">I: TRTP 6-2: New Vincent-Duarte 500kV: Construct new 27 miles single-circuit 500kV T/L on existing ROW vacated by Antelope-Mesa line. </v>
      </c>
      <c r="E142" s="58" t="str">
        <f t="shared" si="65"/>
        <v>5243</v>
      </c>
      <c r="F142" s="60" t="str">
        <f t="shared" si="65"/>
        <v>High</v>
      </c>
      <c r="G142" s="59">
        <f t="shared" si="65"/>
        <v>41944</v>
      </c>
      <c r="H142" s="60" t="str">
        <f t="shared" si="65"/>
        <v>TR-LINEINC</v>
      </c>
      <c r="I142" s="61">
        <f t="shared" si="65"/>
        <v>0</v>
      </c>
      <c r="J142" s="62">
        <f t="shared" si="65"/>
        <v>1</v>
      </c>
      <c r="K142" s="63"/>
      <c r="L142" s="234">
        <f t="shared" si="66"/>
        <v>0</v>
      </c>
      <c r="M142" s="64">
        <f t="shared" si="66"/>
        <v>11445.652996550007</v>
      </c>
      <c r="N142" s="64">
        <f t="shared" si="66"/>
        <v>493.40300000000002</v>
      </c>
      <c r="O142" s="64">
        <f t="shared" si="67"/>
        <v>0</v>
      </c>
      <c r="P142" s="64">
        <f t="shared" si="68"/>
        <v>11445.652996550007</v>
      </c>
      <c r="Q142" s="65">
        <f t="shared" si="69"/>
        <v>493.40300000000002</v>
      </c>
      <c r="R142" s="59"/>
      <c r="S142" s="180">
        <v>9478.2819799999997</v>
      </c>
      <c r="T142" s="181">
        <v>-7502.9836799999994</v>
      </c>
      <c r="U142" s="181">
        <v>734.10675000000003</v>
      </c>
      <c r="V142" s="181">
        <v>1543.4743550000005</v>
      </c>
      <c r="W142" s="181">
        <v>851.25</v>
      </c>
      <c r="X142" s="181">
        <v>851.25</v>
      </c>
      <c r="Y142" s="181">
        <v>829.55</v>
      </c>
      <c r="Z142" s="181">
        <v>818.7</v>
      </c>
      <c r="AA142" s="181">
        <v>807.85</v>
      </c>
      <c r="AB142" s="181">
        <v>721.05</v>
      </c>
      <c r="AC142" s="181">
        <v>721.05</v>
      </c>
      <c r="AD142" s="181">
        <v>1592.0735915500088</v>
      </c>
      <c r="AE142" s="181">
        <v>41.116916666666668</v>
      </c>
      <c r="AF142" s="181">
        <v>41.116916666666668</v>
      </c>
      <c r="AG142" s="181">
        <v>41.116916666666668</v>
      </c>
      <c r="AH142" s="181">
        <v>41.116916666666668</v>
      </c>
      <c r="AI142" s="181">
        <v>41.116916666666668</v>
      </c>
      <c r="AJ142" s="181">
        <v>41.116916666666668</v>
      </c>
      <c r="AK142" s="181">
        <v>41.116916666666668</v>
      </c>
      <c r="AL142" s="181">
        <v>41.116916666666668</v>
      </c>
      <c r="AM142" s="181">
        <v>41.116916666666668</v>
      </c>
      <c r="AN142" s="181">
        <v>41.116916666666668</v>
      </c>
      <c r="AO142" s="181">
        <v>41.116916666666668</v>
      </c>
      <c r="AP142" s="182">
        <v>41.116916666666668</v>
      </c>
    </row>
    <row r="143" spans="1:43" s="183" customFormat="1" x14ac:dyDescent="0.25">
      <c r="A143" s="178" t="str">
        <f t="shared" si="64"/>
        <v>Tehachapi Segments 4-11</v>
      </c>
      <c r="B143" s="179" t="s">
        <v>36</v>
      </c>
      <c r="C143" s="56" t="str">
        <f t="shared" si="65"/>
        <v>CET-ET-TP-RN-524300</v>
      </c>
      <c r="D143" s="66" t="str">
        <f t="shared" si="65"/>
        <v xml:space="preserve">I: TRTP 6-4: New Vincent-ANF 500kV: Construct 5 miles single-circuit 500kV T/L between Vincent SS and ANF boundary (M0-T1). </v>
      </c>
      <c r="E143" s="58" t="str">
        <f t="shared" si="65"/>
        <v>5243</v>
      </c>
      <c r="F143" s="60" t="str">
        <f t="shared" si="65"/>
        <v>High</v>
      </c>
      <c r="G143" s="59">
        <f t="shared" si="65"/>
        <v>41944</v>
      </c>
      <c r="H143" s="60" t="str">
        <f t="shared" si="65"/>
        <v>TR-LINEINC</v>
      </c>
      <c r="I143" s="61">
        <f t="shared" si="65"/>
        <v>0</v>
      </c>
      <c r="J143" s="62">
        <f t="shared" si="65"/>
        <v>1</v>
      </c>
      <c r="K143" s="63"/>
      <c r="L143" s="234">
        <f t="shared" si="66"/>
        <v>0</v>
      </c>
      <c r="M143" s="64">
        <f t="shared" si="66"/>
        <v>-141.42842999999411</v>
      </c>
      <c r="N143" s="64">
        <f t="shared" si="66"/>
        <v>0</v>
      </c>
      <c r="O143" s="64">
        <f t="shared" si="67"/>
        <v>0</v>
      </c>
      <c r="P143" s="64">
        <f t="shared" si="68"/>
        <v>-141.42842999999411</v>
      </c>
      <c r="Q143" s="65">
        <f t="shared" si="69"/>
        <v>0</v>
      </c>
      <c r="R143" s="59"/>
      <c r="S143" s="180">
        <v>-12.24844</v>
      </c>
      <c r="T143" s="181">
        <v>11.682</v>
      </c>
      <c r="U143" s="181">
        <v>-22.415990000000001</v>
      </c>
      <c r="V143" s="181">
        <v>0</v>
      </c>
      <c r="W143" s="181">
        <v>0</v>
      </c>
      <c r="X143" s="181">
        <v>0</v>
      </c>
      <c r="Y143" s="181">
        <v>0</v>
      </c>
      <c r="Z143" s="181">
        <v>0</v>
      </c>
      <c r="AA143" s="181">
        <v>0</v>
      </c>
      <c r="AB143" s="181">
        <v>0</v>
      </c>
      <c r="AC143" s="181">
        <v>0</v>
      </c>
      <c r="AD143" s="181">
        <v>-118.44599999999411</v>
      </c>
      <c r="AE143" s="181">
        <v>0</v>
      </c>
      <c r="AF143" s="181">
        <v>0</v>
      </c>
      <c r="AG143" s="181">
        <v>0</v>
      </c>
      <c r="AH143" s="181">
        <v>0</v>
      </c>
      <c r="AI143" s="181">
        <v>0</v>
      </c>
      <c r="AJ143" s="181">
        <v>0</v>
      </c>
      <c r="AK143" s="181">
        <v>0</v>
      </c>
      <c r="AL143" s="181">
        <v>0</v>
      </c>
      <c r="AM143" s="181">
        <v>0</v>
      </c>
      <c r="AN143" s="181">
        <v>0</v>
      </c>
      <c r="AO143" s="181">
        <v>0</v>
      </c>
      <c r="AP143" s="182">
        <v>0</v>
      </c>
    </row>
    <row r="144" spans="1:43" s="183" customFormat="1" x14ac:dyDescent="0.25">
      <c r="A144" s="178" t="str">
        <f t="shared" si="64"/>
        <v>Tehachapi Segments 4-11</v>
      </c>
      <c r="B144" s="179" t="s">
        <v>36</v>
      </c>
      <c r="C144" s="56" t="str">
        <f t="shared" si="65"/>
        <v>CET-RP-TP-RN-524300</v>
      </c>
      <c r="D144" s="66" t="str">
        <f t="shared" si="65"/>
        <v xml:space="preserve">I: TRTP 6-6: Land Acquisition. </v>
      </c>
      <c r="E144" s="58" t="str">
        <f t="shared" si="65"/>
        <v>5243</v>
      </c>
      <c r="F144" s="60" t="str">
        <f t="shared" si="65"/>
        <v>High</v>
      </c>
      <c r="G144" s="59">
        <f t="shared" si="65"/>
        <v>41699</v>
      </c>
      <c r="H144" s="60" t="str">
        <f t="shared" si="65"/>
        <v>TR-LINEINC</v>
      </c>
      <c r="I144" s="61">
        <f t="shared" si="65"/>
        <v>0</v>
      </c>
      <c r="J144" s="62">
        <f t="shared" si="65"/>
        <v>1</v>
      </c>
      <c r="K144" s="63"/>
      <c r="L144" s="234">
        <f t="shared" si="66"/>
        <v>0</v>
      </c>
      <c r="M144" s="64">
        <f t="shared" si="66"/>
        <v>0</v>
      </c>
      <c r="N144" s="64">
        <f t="shared" si="66"/>
        <v>0</v>
      </c>
      <c r="O144" s="64">
        <f t="shared" si="67"/>
        <v>0</v>
      </c>
      <c r="P144" s="64">
        <f t="shared" si="68"/>
        <v>0</v>
      </c>
      <c r="Q144" s="65">
        <f t="shared" si="69"/>
        <v>0</v>
      </c>
      <c r="R144" s="59"/>
      <c r="S144" s="180">
        <v>0</v>
      </c>
      <c r="T144" s="181">
        <v>0</v>
      </c>
      <c r="U144" s="181">
        <v>0</v>
      </c>
      <c r="V144" s="181">
        <v>0</v>
      </c>
      <c r="W144" s="181">
        <v>0</v>
      </c>
      <c r="X144" s="181">
        <v>0</v>
      </c>
      <c r="Y144" s="181">
        <v>0</v>
      </c>
      <c r="Z144" s="181">
        <v>0</v>
      </c>
      <c r="AA144" s="181">
        <v>0</v>
      </c>
      <c r="AB144" s="181">
        <v>0</v>
      </c>
      <c r="AC144" s="181">
        <v>0</v>
      </c>
      <c r="AD144" s="181">
        <v>0</v>
      </c>
      <c r="AE144" s="181">
        <v>0</v>
      </c>
      <c r="AF144" s="181">
        <v>0</v>
      </c>
      <c r="AG144" s="181">
        <v>0</v>
      </c>
      <c r="AH144" s="181">
        <v>0</v>
      </c>
      <c r="AI144" s="181">
        <v>0</v>
      </c>
      <c r="AJ144" s="181">
        <v>0</v>
      </c>
      <c r="AK144" s="181">
        <v>0</v>
      </c>
      <c r="AL144" s="181">
        <v>0</v>
      </c>
      <c r="AM144" s="181">
        <v>0</v>
      </c>
      <c r="AN144" s="181">
        <v>0</v>
      </c>
      <c r="AO144" s="181">
        <v>0</v>
      </c>
      <c r="AP144" s="182">
        <v>0</v>
      </c>
    </row>
    <row r="145" spans="1:42" s="183" customFormat="1" x14ac:dyDescent="0.25">
      <c r="A145" s="178" t="str">
        <f t="shared" si="64"/>
        <v>Tehachapi Segments 4-11</v>
      </c>
      <c r="B145" s="179" t="s">
        <v>36</v>
      </c>
      <c r="C145" s="56" t="str">
        <f t="shared" si="65"/>
        <v>CET-ET-TP-RN-643803</v>
      </c>
      <c r="D145" s="66" t="str">
        <f t="shared" si="65"/>
        <v xml:space="preserve">I: TRTP 7-2: Vincent-Rio Hondo #2: Construct 0.61 mile DC 500kV T/L cutover to connect new 27-miles 500kV T/L to existing Vincent-Rio Hondo #2.  </v>
      </c>
      <c r="E145" s="58" t="str">
        <f t="shared" si="65"/>
        <v>6438</v>
      </c>
      <c r="F145" s="60" t="str">
        <f t="shared" si="65"/>
        <v>High</v>
      </c>
      <c r="G145" s="278">
        <f t="shared" si="65"/>
        <v>42156</v>
      </c>
      <c r="H145" s="60" t="str">
        <f t="shared" si="65"/>
        <v>TR-LINEINC</v>
      </c>
      <c r="I145" s="61">
        <f t="shared" si="65"/>
        <v>0</v>
      </c>
      <c r="J145" s="62">
        <f t="shared" si="65"/>
        <v>1</v>
      </c>
      <c r="K145" s="63"/>
      <c r="L145" s="284">
        <f t="shared" si="66"/>
        <v>15918.777420000008</v>
      </c>
      <c r="M145" s="64">
        <f t="shared" si="66"/>
        <v>105.04763000000001</v>
      </c>
      <c r="N145" s="64">
        <f t="shared" si="66"/>
        <v>0</v>
      </c>
      <c r="O145" s="64">
        <f t="shared" si="67"/>
        <v>15918.777420000008</v>
      </c>
      <c r="P145" s="64">
        <f t="shared" si="68"/>
        <v>105.04763000000001</v>
      </c>
      <c r="Q145" s="65">
        <f t="shared" si="69"/>
        <v>0</v>
      </c>
      <c r="R145" s="59"/>
      <c r="S145" s="180">
        <v>53.357379999999999</v>
      </c>
      <c r="T145" s="181">
        <v>40.879480000000001</v>
      </c>
      <c r="U145" s="181">
        <v>10.81077</v>
      </c>
      <c r="V145" s="181">
        <v>0</v>
      </c>
      <c r="W145" s="181">
        <v>0</v>
      </c>
      <c r="X145" s="181">
        <v>0</v>
      </c>
      <c r="Y145" s="181">
        <v>0</v>
      </c>
      <c r="Z145" s="181">
        <v>0</v>
      </c>
      <c r="AA145" s="181">
        <v>0</v>
      </c>
      <c r="AB145" s="181">
        <v>0</v>
      </c>
      <c r="AC145" s="181">
        <v>0</v>
      </c>
      <c r="AD145" s="181">
        <v>0</v>
      </c>
      <c r="AE145" s="181">
        <v>0</v>
      </c>
      <c r="AF145" s="181">
        <v>0</v>
      </c>
      <c r="AG145" s="181">
        <v>0</v>
      </c>
      <c r="AH145" s="181">
        <v>0</v>
      </c>
      <c r="AI145" s="181">
        <v>0</v>
      </c>
      <c r="AJ145" s="181">
        <v>0</v>
      </c>
      <c r="AK145" s="181">
        <v>0</v>
      </c>
      <c r="AL145" s="181">
        <v>0</v>
      </c>
      <c r="AM145" s="181">
        <v>0</v>
      </c>
      <c r="AN145" s="181">
        <v>0</v>
      </c>
      <c r="AO145" s="181">
        <v>0</v>
      </c>
      <c r="AP145" s="182">
        <v>0</v>
      </c>
    </row>
    <row r="146" spans="1:42" s="183" customFormat="1" x14ac:dyDescent="0.25">
      <c r="A146" s="178" t="str">
        <f t="shared" si="64"/>
        <v>Tehachapi Segments 4-11</v>
      </c>
      <c r="B146" s="179" t="s">
        <v>36</v>
      </c>
      <c r="C146" s="56" t="str">
        <f t="shared" si="65"/>
        <v>CET-ET-TP-RN-643801</v>
      </c>
      <c r="D146" s="66" t="str">
        <f t="shared" si="65"/>
        <v xml:space="preserve">I: TRTP 7-3: Antelope-Mesa 230kV T/L: Construct new 16-mile double-circuit 500kV T/L (2B-2156 ACSR)between the City of Duarte and near the Mesa SS.  </v>
      </c>
      <c r="E146" s="58" t="str">
        <f t="shared" si="65"/>
        <v>6438</v>
      </c>
      <c r="F146" s="60" t="str">
        <f t="shared" si="65"/>
        <v>High</v>
      </c>
      <c r="G146" s="59">
        <f t="shared" si="65"/>
        <v>42005</v>
      </c>
      <c r="H146" s="60" t="str">
        <f t="shared" si="65"/>
        <v>TR-LINEINC</v>
      </c>
      <c r="I146" s="61">
        <f t="shared" si="65"/>
        <v>0</v>
      </c>
      <c r="J146" s="62">
        <f t="shared" si="65"/>
        <v>1</v>
      </c>
      <c r="K146" s="63"/>
      <c r="L146" s="234">
        <f t="shared" si="66"/>
        <v>0</v>
      </c>
      <c r="M146" s="64">
        <f t="shared" si="66"/>
        <v>4959.5593667000103</v>
      </c>
      <c r="N146" s="64">
        <f t="shared" si="66"/>
        <v>0</v>
      </c>
      <c r="O146" s="64">
        <f t="shared" si="67"/>
        <v>0</v>
      </c>
      <c r="P146" s="64">
        <f t="shared" si="68"/>
        <v>4959.5593667000103</v>
      </c>
      <c r="Q146" s="65">
        <f t="shared" si="69"/>
        <v>0</v>
      </c>
      <c r="R146" s="59"/>
      <c r="S146" s="180">
        <v>1591.44208</v>
      </c>
      <c r="T146" s="181">
        <v>868.22318999999993</v>
      </c>
      <c r="U146" s="181">
        <v>335.23940000000005</v>
      </c>
      <c r="V146" s="181">
        <v>698.19940139999903</v>
      </c>
      <c r="W146" s="181">
        <v>-256.25833469998901</v>
      </c>
      <c r="X146" s="181">
        <v>225</v>
      </c>
      <c r="Y146" s="181">
        <v>225</v>
      </c>
      <c r="Z146" s="181">
        <v>225</v>
      </c>
      <c r="AA146" s="181">
        <v>225</v>
      </c>
      <c r="AB146" s="181">
        <v>225</v>
      </c>
      <c r="AC146" s="181">
        <v>225</v>
      </c>
      <c r="AD146" s="181">
        <v>372.71363000000002</v>
      </c>
      <c r="AE146" s="181">
        <v>0</v>
      </c>
      <c r="AF146" s="181">
        <v>0</v>
      </c>
      <c r="AG146" s="181">
        <v>0</v>
      </c>
      <c r="AH146" s="181">
        <v>0</v>
      </c>
      <c r="AI146" s="181">
        <v>0</v>
      </c>
      <c r="AJ146" s="181">
        <v>0</v>
      </c>
      <c r="AK146" s="181">
        <v>0</v>
      </c>
      <c r="AL146" s="181">
        <v>0</v>
      </c>
      <c r="AM146" s="181">
        <v>0</v>
      </c>
      <c r="AN146" s="181">
        <v>0</v>
      </c>
      <c r="AO146" s="181">
        <v>0</v>
      </c>
      <c r="AP146" s="182">
        <v>0</v>
      </c>
    </row>
    <row r="147" spans="1:42" s="183" customFormat="1" x14ac:dyDescent="0.25">
      <c r="A147" s="178" t="str">
        <f t="shared" si="64"/>
        <v>Tehachapi Segments 4-11</v>
      </c>
      <c r="B147" s="179" t="s">
        <v>36</v>
      </c>
      <c r="C147" s="56" t="str">
        <f t="shared" si="65"/>
        <v>CET-RP-TP-RN-643800</v>
      </c>
      <c r="D147" s="66" t="str">
        <f t="shared" si="65"/>
        <v xml:space="preserve">I: TRTP 7-7: Land Acquisition. </v>
      </c>
      <c r="E147" s="58" t="str">
        <f t="shared" si="65"/>
        <v>6438</v>
      </c>
      <c r="F147" s="60" t="str">
        <f t="shared" si="65"/>
        <v>High</v>
      </c>
      <c r="G147" s="59">
        <f t="shared" si="65"/>
        <v>42005</v>
      </c>
      <c r="H147" s="60" t="str">
        <f t="shared" si="65"/>
        <v>TR-LINEINC</v>
      </c>
      <c r="I147" s="61">
        <f t="shared" si="65"/>
        <v>0</v>
      </c>
      <c r="J147" s="62">
        <f t="shared" si="65"/>
        <v>1</v>
      </c>
      <c r="K147" s="63"/>
      <c r="L147" s="234">
        <f t="shared" si="66"/>
        <v>0</v>
      </c>
      <c r="M147" s="64">
        <f t="shared" si="66"/>
        <v>0</v>
      </c>
      <c r="N147" s="64">
        <f t="shared" si="66"/>
        <v>0</v>
      </c>
      <c r="O147" s="64">
        <f t="shared" si="67"/>
        <v>0</v>
      </c>
      <c r="P147" s="64">
        <f t="shared" si="68"/>
        <v>0</v>
      </c>
      <c r="Q147" s="65">
        <f t="shared" si="69"/>
        <v>0</v>
      </c>
      <c r="R147" s="59"/>
      <c r="S147" s="180">
        <v>0</v>
      </c>
      <c r="T147" s="181">
        <v>0</v>
      </c>
      <c r="U147" s="181">
        <v>0</v>
      </c>
      <c r="V147" s="181">
        <v>0</v>
      </c>
      <c r="W147" s="181">
        <v>0</v>
      </c>
      <c r="X147" s="181">
        <v>0</v>
      </c>
      <c r="Y147" s="181">
        <v>0</v>
      </c>
      <c r="Z147" s="181">
        <v>0</v>
      </c>
      <c r="AA147" s="181">
        <v>0</v>
      </c>
      <c r="AB147" s="181">
        <v>0</v>
      </c>
      <c r="AC147" s="181">
        <v>0</v>
      </c>
      <c r="AD147" s="181">
        <v>0</v>
      </c>
      <c r="AE147" s="181">
        <v>0</v>
      </c>
      <c r="AF147" s="181">
        <v>0</v>
      </c>
      <c r="AG147" s="181">
        <v>0</v>
      </c>
      <c r="AH147" s="181">
        <v>0</v>
      </c>
      <c r="AI147" s="181">
        <v>0</v>
      </c>
      <c r="AJ147" s="181">
        <v>0</v>
      </c>
      <c r="AK147" s="181">
        <v>0</v>
      </c>
      <c r="AL147" s="181">
        <v>0</v>
      </c>
      <c r="AM147" s="181">
        <v>0</v>
      </c>
      <c r="AN147" s="181">
        <v>0</v>
      </c>
      <c r="AO147" s="181">
        <v>0</v>
      </c>
      <c r="AP147" s="182">
        <v>0</v>
      </c>
    </row>
    <row r="148" spans="1:42" s="183" customFormat="1" x14ac:dyDescent="0.25">
      <c r="A148" s="178" t="str">
        <f t="shared" si="64"/>
        <v>Tehachapi Segments 4-11</v>
      </c>
      <c r="B148" s="179" t="s">
        <v>36</v>
      </c>
      <c r="C148" s="56" t="str">
        <f t="shared" ref="C148:J157" si="70">C98</f>
        <v>CET-ET-TP-RN-643905</v>
      </c>
      <c r="D148" s="66" t="str">
        <f t="shared" si="70"/>
        <v xml:space="preserve">I: TRTP 8-2: MA1-T4 to MA1-T2: Construct 1.33 miles double-circuit 220kV T/L at Rose Hills from MA1-T4 to MA1-T2. </v>
      </c>
      <c r="E148" s="58" t="str">
        <f t="shared" si="70"/>
        <v>6439</v>
      </c>
      <c r="F148" s="60" t="str">
        <f t="shared" si="70"/>
        <v>High</v>
      </c>
      <c r="G148" s="278">
        <f t="shared" si="70"/>
        <v>42156</v>
      </c>
      <c r="H148" s="60" t="str">
        <f t="shared" si="70"/>
        <v>TR-LINEINC</v>
      </c>
      <c r="I148" s="61">
        <f t="shared" si="70"/>
        <v>0</v>
      </c>
      <c r="J148" s="62">
        <f t="shared" si="70"/>
        <v>1</v>
      </c>
      <c r="K148" s="63"/>
      <c r="L148" s="234">
        <f t="shared" si="66"/>
        <v>18647.983760000003</v>
      </c>
      <c r="M148" s="64">
        <f t="shared" si="66"/>
        <v>0</v>
      </c>
      <c r="N148" s="64">
        <f t="shared" si="66"/>
        <v>0</v>
      </c>
      <c r="O148" s="64">
        <f t="shared" si="67"/>
        <v>18647.983760000003</v>
      </c>
      <c r="P148" s="64">
        <f t="shared" si="68"/>
        <v>0</v>
      </c>
      <c r="Q148" s="65">
        <f t="shared" si="69"/>
        <v>0</v>
      </c>
      <c r="R148" s="59"/>
      <c r="S148" s="180">
        <v>0</v>
      </c>
      <c r="T148" s="181">
        <v>0</v>
      </c>
      <c r="U148" s="181">
        <v>0</v>
      </c>
      <c r="V148" s="181">
        <v>0</v>
      </c>
      <c r="W148" s="181">
        <v>0</v>
      </c>
      <c r="X148" s="181">
        <v>0</v>
      </c>
      <c r="Y148" s="181">
        <v>0</v>
      </c>
      <c r="Z148" s="181">
        <v>0</v>
      </c>
      <c r="AA148" s="181">
        <v>0</v>
      </c>
      <c r="AB148" s="181">
        <v>0</v>
      </c>
      <c r="AC148" s="181">
        <v>0</v>
      </c>
      <c r="AD148" s="181">
        <v>0</v>
      </c>
      <c r="AE148" s="181">
        <v>0</v>
      </c>
      <c r="AF148" s="181">
        <v>0</v>
      </c>
      <c r="AG148" s="181">
        <v>0</v>
      </c>
      <c r="AH148" s="181">
        <v>0</v>
      </c>
      <c r="AI148" s="181">
        <v>0</v>
      </c>
      <c r="AJ148" s="181">
        <v>0</v>
      </c>
      <c r="AK148" s="181">
        <v>0</v>
      </c>
      <c r="AL148" s="181">
        <v>0</v>
      </c>
      <c r="AM148" s="181">
        <v>0</v>
      </c>
      <c r="AN148" s="181">
        <v>0</v>
      </c>
      <c r="AO148" s="181">
        <v>0</v>
      </c>
      <c r="AP148" s="182">
        <v>0</v>
      </c>
    </row>
    <row r="149" spans="1:42" s="183" customFormat="1" x14ac:dyDescent="0.25">
      <c r="A149" s="178" t="str">
        <f t="shared" si="64"/>
        <v>Tehachapi Segments 4-11</v>
      </c>
      <c r="B149" s="179" t="s">
        <v>36</v>
      </c>
      <c r="C149" s="56" t="str">
        <f t="shared" si="70"/>
        <v>CET-ET-TP-RN-643904</v>
      </c>
      <c r="D149" s="66" t="str">
        <f t="shared" si="70"/>
        <v>I: TRTP 8-4: Construct 0.44 miles 220kV T/L at water tank/ Fullerton Rd.</v>
      </c>
      <c r="E149" s="58" t="str">
        <f t="shared" si="70"/>
        <v>6439</v>
      </c>
      <c r="F149" s="60" t="str">
        <f t="shared" si="70"/>
        <v>High</v>
      </c>
      <c r="G149" s="59">
        <f t="shared" si="70"/>
        <v>41030</v>
      </c>
      <c r="H149" s="60" t="str">
        <f t="shared" si="70"/>
        <v>TR-LINEINC</v>
      </c>
      <c r="I149" s="61">
        <f t="shared" si="70"/>
        <v>0</v>
      </c>
      <c r="J149" s="62">
        <f t="shared" si="70"/>
        <v>1</v>
      </c>
      <c r="K149" s="63"/>
      <c r="L149" s="234">
        <f t="shared" si="66"/>
        <v>0</v>
      </c>
      <c r="M149" s="64">
        <f t="shared" si="66"/>
        <v>1285.6353899999999</v>
      </c>
      <c r="N149" s="64">
        <f t="shared" si="66"/>
        <v>0</v>
      </c>
      <c r="O149" s="64">
        <f t="shared" si="67"/>
        <v>0</v>
      </c>
      <c r="P149" s="64">
        <f t="shared" si="68"/>
        <v>1285.6353899999999</v>
      </c>
      <c r="Q149" s="65">
        <f t="shared" si="69"/>
        <v>0</v>
      </c>
      <c r="R149" s="59"/>
      <c r="S149" s="180">
        <v>1280.6666499999999</v>
      </c>
      <c r="T149" s="181">
        <v>4.9687399999999995</v>
      </c>
      <c r="U149" s="181">
        <v>0</v>
      </c>
      <c r="V149" s="181">
        <v>0</v>
      </c>
      <c r="W149" s="181">
        <v>0</v>
      </c>
      <c r="X149" s="181">
        <v>0</v>
      </c>
      <c r="Y149" s="181">
        <v>0</v>
      </c>
      <c r="Z149" s="181">
        <v>0</v>
      </c>
      <c r="AA149" s="181">
        <v>0</v>
      </c>
      <c r="AB149" s="181">
        <v>0</v>
      </c>
      <c r="AC149" s="181">
        <v>0</v>
      </c>
      <c r="AD149" s="181">
        <v>0</v>
      </c>
      <c r="AE149" s="181">
        <v>0</v>
      </c>
      <c r="AF149" s="181">
        <v>0</v>
      </c>
      <c r="AG149" s="181">
        <v>0</v>
      </c>
      <c r="AH149" s="181">
        <v>0</v>
      </c>
      <c r="AI149" s="181">
        <v>0</v>
      </c>
      <c r="AJ149" s="181">
        <v>0</v>
      </c>
      <c r="AK149" s="181">
        <v>0</v>
      </c>
      <c r="AL149" s="181">
        <v>0</v>
      </c>
      <c r="AM149" s="181">
        <v>0</v>
      </c>
      <c r="AN149" s="181">
        <v>0</v>
      </c>
      <c r="AO149" s="181">
        <v>0</v>
      </c>
      <c r="AP149" s="182">
        <v>0</v>
      </c>
    </row>
    <row r="150" spans="1:42" s="183" customFormat="1" x14ac:dyDescent="0.25">
      <c r="A150" s="178" t="str">
        <f t="shared" si="64"/>
        <v>Tehachapi Segments 4-11</v>
      </c>
      <c r="B150" s="179" t="s">
        <v>36</v>
      </c>
      <c r="C150" s="56" t="str">
        <f t="shared" si="70"/>
        <v>CET-ET-TP-RN-643902</v>
      </c>
      <c r="D150" s="66" t="str">
        <f t="shared" si="70"/>
        <v xml:space="preserve">I: TRTP 8-7: Chino-Mira Loma #1 &amp; #2: Construct 7.26 miles Chino-Mira Loma #1 &amp; #2 220kV T/L.  </v>
      </c>
      <c r="E150" s="58" t="str">
        <f t="shared" si="70"/>
        <v>6439</v>
      </c>
      <c r="F150" s="60" t="str">
        <f t="shared" si="70"/>
        <v>High</v>
      </c>
      <c r="G150" s="59">
        <f t="shared" si="70"/>
        <v>40695</v>
      </c>
      <c r="H150" s="60" t="str">
        <f t="shared" si="70"/>
        <v>TR-LINEINC</v>
      </c>
      <c r="I150" s="61">
        <f t="shared" si="70"/>
        <v>0</v>
      </c>
      <c r="J150" s="62">
        <f t="shared" si="70"/>
        <v>1</v>
      </c>
      <c r="K150" s="63"/>
      <c r="L150" s="234">
        <f t="shared" si="66"/>
        <v>0</v>
      </c>
      <c r="M150" s="64">
        <f t="shared" si="66"/>
        <v>0.53439000000000003</v>
      </c>
      <c r="N150" s="64">
        <f t="shared" si="66"/>
        <v>0</v>
      </c>
      <c r="O150" s="64">
        <f t="shared" si="67"/>
        <v>0</v>
      </c>
      <c r="P150" s="64">
        <f t="shared" si="68"/>
        <v>0.53439000000000003</v>
      </c>
      <c r="Q150" s="65">
        <f t="shared" si="69"/>
        <v>0</v>
      </c>
      <c r="R150" s="59"/>
      <c r="S150" s="180">
        <v>0.53439000000000003</v>
      </c>
      <c r="T150" s="181">
        <v>0</v>
      </c>
      <c r="U150" s="181">
        <v>0</v>
      </c>
      <c r="V150" s="181">
        <v>0</v>
      </c>
      <c r="W150" s="181">
        <v>0</v>
      </c>
      <c r="X150" s="181">
        <v>0</v>
      </c>
      <c r="Y150" s="181">
        <v>0</v>
      </c>
      <c r="Z150" s="181">
        <v>0</v>
      </c>
      <c r="AA150" s="181">
        <v>0</v>
      </c>
      <c r="AB150" s="181">
        <v>0</v>
      </c>
      <c r="AC150" s="181">
        <v>0</v>
      </c>
      <c r="AD150" s="181">
        <v>0</v>
      </c>
      <c r="AE150" s="181">
        <v>0</v>
      </c>
      <c r="AF150" s="181">
        <v>0</v>
      </c>
      <c r="AG150" s="181">
        <v>0</v>
      </c>
      <c r="AH150" s="181">
        <v>0</v>
      </c>
      <c r="AI150" s="181">
        <v>0</v>
      </c>
      <c r="AJ150" s="181">
        <v>0</v>
      </c>
      <c r="AK150" s="181">
        <v>0</v>
      </c>
      <c r="AL150" s="181">
        <v>0</v>
      </c>
      <c r="AM150" s="181">
        <v>0</v>
      </c>
      <c r="AN150" s="181">
        <v>0</v>
      </c>
      <c r="AO150" s="181">
        <v>0</v>
      </c>
      <c r="AP150" s="182">
        <v>0</v>
      </c>
    </row>
    <row r="151" spans="1:42" s="183" customFormat="1" x14ac:dyDescent="0.25">
      <c r="A151" s="178" t="str">
        <f t="shared" si="64"/>
        <v>Tehachapi Segments 4-11</v>
      </c>
      <c r="B151" s="179" t="s">
        <v>36</v>
      </c>
      <c r="C151" s="56" t="str">
        <f t="shared" si="70"/>
        <v>CET-ET-TP-RN-643907</v>
      </c>
      <c r="D151" s="66" t="str">
        <f t="shared" si="70"/>
        <v xml:space="preserve">I: TRTP 8-8: Mira Loma-Vincent: Construct new 33 miles 500kV T/L between Mesa and Mira Loma (Section of Mira Loma and Vincent).  </v>
      </c>
      <c r="E151" s="58" t="str">
        <f t="shared" si="70"/>
        <v>6439</v>
      </c>
      <c r="F151" s="60" t="str">
        <f t="shared" si="70"/>
        <v>High</v>
      </c>
      <c r="G151" s="59">
        <f t="shared" si="70"/>
        <v>42125</v>
      </c>
      <c r="H151" s="60" t="str">
        <f t="shared" si="70"/>
        <v>TR-LINEINC</v>
      </c>
      <c r="I151" s="61">
        <f t="shared" si="70"/>
        <v>0</v>
      </c>
      <c r="J151" s="62">
        <f t="shared" si="70"/>
        <v>1</v>
      </c>
      <c r="K151" s="63"/>
      <c r="L151" s="234">
        <f t="shared" si="66"/>
        <v>372601.56187999994</v>
      </c>
      <c r="M151" s="64">
        <f t="shared" si="66"/>
        <v>40256.725522179993</v>
      </c>
      <c r="N151" s="64">
        <f t="shared" si="66"/>
        <v>700</v>
      </c>
      <c r="O151" s="64">
        <f t="shared" si="67"/>
        <v>372601.56187999994</v>
      </c>
      <c r="P151" s="64">
        <f t="shared" si="68"/>
        <v>40256.725522179993</v>
      </c>
      <c r="Q151" s="65">
        <f t="shared" si="69"/>
        <v>700</v>
      </c>
      <c r="R151" s="59"/>
      <c r="S151" s="180">
        <v>9270.4510300000002</v>
      </c>
      <c r="T151" s="181">
        <v>544.03599999999994</v>
      </c>
      <c r="U151" s="181">
        <v>2534.2602499999998</v>
      </c>
      <c r="V151" s="181">
        <v>715.38821380000002</v>
      </c>
      <c r="W151" s="181">
        <v>4791.6102732999898</v>
      </c>
      <c r="X151" s="181">
        <v>5290.2718347999999</v>
      </c>
      <c r="Y151" s="181">
        <v>1161.1539768</v>
      </c>
      <c r="Z151" s="181">
        <v>1112.4277892</v>
      </c>
      <c r="AA151" s="181">
        <v>1005</v>
      </c>
      <c r="AB151" s="181">
        <v>1005</v>
      </c>
      <c r="AC151" s="181">
        <v>1005</v>
      </c>
      <c r="AD151" s="181">
        <v>11822.12615428</v>
      </c>
      <c r="AE151" s="181">
        <v>70</v>
      </c>
      <c r="AF151" s="181">
        <v>70</v>
      </c>
      <c r="AG151" s="181">
        <v>70</v>
      </c>
      <c r="AH151" s="181">
        <v>70</v>
      </c>
      <c r="AI151" s="181">
        <v>70</v>
      </c>
      <c r="AJ151" s="181">
        <v>70</v>
      </c>
      <c r="AK151" s="181">
        <v>70</v>
      </c>
      <c r="AL151" s="181">
        <v>70</v>
      </c>
      <c r="AM151" s="181">
        <v>70</v>
      </c>
      <c r="AN151" s="181">
        <v>70</v>
      </c>
      <c r="AO151" s="181">
        <v>0</v>
      </c>
      <c r="AP151" s="182">
        <v>0</v>
      </c>
    </row>
    <row r="152" spans="1:42" s="183" customFormat="1" x14ac:dyDescent="0.25">
      <c r="A152" s="178" t="str">
        <f t="shared" si="64"/>
        <v>Tehachapi Segments 4-11</v>
      </c>
      <c r="B152" s="179" t="s">
        <v>36</v>
      </c>
      <c r="C152" s="56" t="str">
        <f t="shared" si="70"/>
        <v>CET-ET-TP-RN-643911</v>
      </c>
      <c r="D152" s="66" t="str">
        <f t="shared" si="70"/>
        <v xml:space="preserve">I: TRTP 8: Chino Hills State Park 500kV reroute alternative 4CM.  </v>
      </c>
      <c r="E152" s="58" t="str">
        <f t="shared" si="70"/>
        <v>6439</v>
      </c>
      <c r="F152" s="60" t="str">
        <f t="shared" si="70"/>
        <v>High</v>
      </c>
      <c r="G152" s="59" t="str">
        <f t="shared" si="70"/>
        <v>Cancelled</v>
      </c>
      <c r="H152" s="60" t="str">
        <f t="shared" si="70"/>
        <v>TR-LINEINC</v>
      </c>
      <c r="I152" s="61">
        <f t="shared" si="70"/>
        <v>0</v>
      </c>
      <c r="J152" s="62">
        <f t="shared" si="70"/>
        <v>1</v>
      </c>
      <c r="K152" s="63"/>
      <c r="L152" s="284">
        <f t="shared" si="66"/>
        <v>0</v>
      </c>
      <c r="M152" s="64">
        <f t="shared" si="66"/>
        <v>0</v>
      </c>
      <c r="N152" s="64">
        <f t="shared" si="66"/>
        <v>0</v>
      </c>
      <c r="O152" s="64">
        <f t="shared" si="67"/>
        <v>0</v>
      </c>
      <c r="P152" s="64">
        <f t="shared" si="68"/>
        <v>0</v>
      </c>
      <c r="Q152" s="65">
        <f t="shared" si="69"/>
        <v>0</v>
      </c>
      <c r="R152" s="58"/>
      <c r="S152" s="180">
        <v>0</v>
      </c>
      <c r="T152" s="181">
        <v>0</v>
      </c>
      <c r="U152" s="181">
        <v>0</v>
      </c>
      <c r="V152" s="181">
        <v>0</v>
      </c>
      <c r="W152" s="181">
        <v>0</v>
      </c>
      <c r="X152" s="181">
        <v>0</v>
      </c>
      <c r="Y152" s="181">
        <v>0</v>
      </c>
      <c r="Z152" s="181">
        <v>0</v>
      </c>
      <c r="AA152" s="181">
        <v>0</v>
      </c>
      <c r="AB152" s="181">
        <v>0</v>
      </c>
      <c r="AC152" s="181">
        <v>0</v>
      </c>
      <c r="AD152" s="181">
        <v>0</v>
      </c>
      <c r="AE152" s="181">
        <v>0</v>
      </c>
      <c r="AF152" s="181">
        <v>0</v>
      </c>
      <c r="AG152" s="181">
        <v>0</v>
      </c>
      <c r="AH152" s="181">
        <v>0</v>
      </c>
      <c r="AI152" s="181">
        <v>0</v>
      </c>
      <c r="AJ152" s="181">
        <v>0</v>
      </c>
      <c r="AK152" s="181">
        <v>0</v>
      </c>
      <c r="AL152" s="181">
        <v>0</v>
      </c>
      <c r="AM152" s="181">
        <v>0</v>
      </c>
      <c r="AN152" s="181">
        <v>0</v>
      </c>
      <c r="AO152" s="181">
        <v>0</v>
      </c>
      <c r="AP152" s="182">
        <v>0</v>
      </c>
    </row>
    <row r="153" spans="1:42" s="183" customFormat="1" x14ac:dyDescent="0.25">
      <c r="A153" s="178" t="str">
        <f t="shared" si="64"/>
        <v>Tehachapi Segments 4-11</v>
      </c>
      <c r="B153" s="179" t="s">
        <v>36</v>
      </c>
      <c r="C153" s="56" t="str">
        <f t="shared" si="70"/>
        <v>CET-RP-TP-RN-643900</v>
      </c>
      <c r="D153" s="66" t="str">
        <f t="shared" si="70"/>
        <v>I: TRTP 8-12: Land Acquisition.</v>
      </c>
      <c r="E153" s="58" t="str">
        <f t="shared" si="70"/>
        <v>6439</v>
      </c>
      <c r="F153" s="60" t="str">
        <f t="shared" si="70"/>
        <v>High</v>
      </c>
      <c r="G153" s="59">
        <f t="shared" si="70"/>
        <v>41852</v>
      </c>
      <c r="H153" s="60" t="str">
        <f t="shared" si="70"/>
        <v>TR-LINEINC</v>
      </c>
      <c r="I153" s="61">
        <f t="shared" si="70"/>
        <v>0</v>
      </c>
      <c r="J153" s="62">
        <f t="shared" si="70"/>
        <v>1</v>
      </c>
      <c r="K153" s="63"/>
      <c r="L153" s="234">
        <f t="shared" si="66"/>
        <v>0</v>
      </c>
      <c r="M153" s="64">
        <f t="shared" si="66"/>
        <v>0</v>
      </c>
      <c r="N153" s="64">
        <f t="shared" si="66"/>
        <v>0</v>
      </c>
      <c r="O153" s="64">
        <f t="shared" si="67"/>
        <v>0</v>
      </c>
      <c r="P153" s="64">
        <f t="shared" si="68"/>
        <v>0</v>
      </c>
      <c r="Q153" s="65">
        <f t="shared" si="69"/>
        <v>0</v>
      </c>
      <c r="R153" s="59"/>
      <c r="S153" s="180">
        <v>0</v>
      </c>
      <c r="T153" s="181">
        <v>0</v>
      </c>
      <c r="U153" s="181">
        <v>0</v>
      </c>
      <c r="V153" s="181">
        <v>0</v>
      </c>
      <c r="W153" s="181">
        <v>0</v>
      </c>
      <c r="X153" s="181">
        <v>0</v>
      </c>
      <c r="Y153" s="181">
        <v>0</v>
      </c>
      <c r="Z153" s="181">
        <v>0</v>
      </c>
      <c r="AA153" s="181">
        <v>0</v>
      </c>
      <c r="AB153" s="181">
        <v>0</v>
      </c>
      <c r="AC153" s="181">
        <v>0</v>
      </c>
      <c r="AD153" s="181">
        <v>0</v>
      </c>
      <c r="AE153" s="181">
        <v>0</v>
      </c>
      <c r="AF153" s="181">
        <v>0</v>
      </c>
      <c r="AG153" s="181">
        <v>0</v>
      </c>
      <c r="AH153" s="181">
        <v>0</v>
      </c>
      <c r="AI153" s="181">
        <v>0</v>
      </c>
      <c r="AJ153" s="181">
        <v>0</v>
      </c>
      <c r="AK153" s="181">
        <v>0</v>
      </c>
      <c r="AL153" s="181">
        <v>0</v>
      </c>
      <c r="AM153" s="181">
        <v>0</v>
      </c>
      <c r="AN153" s="181">
        <v>0</v>
      </c>
      <c r="AO153" s="181">
        <v>0</v>
      </c>
      <c r="AP153" s="182">
        <v>0</v>
      </c>
    </row>
    <row r="154" spans="1:42" s="183" customFormat="1" x14ac:dyDescent="0.25">
      <c r="A154" s="178" t="str">
        <f t="shared" si="64"/>
        <v>Tehachapi Segments 4-11</v>
      </c>
      <c r="B154" s="179" t="s">
        <v>36</v>
      </c>
      <c r="C154" s="56" t="str">
        <f t="shared" si="70"/>
        <v>CET-ET-TP-RN-755304</v>
      </c>
      <c r="D154" s="66" t="str">
        <f t="shared" si="70"/>
        <v>Mira Loma-Vincent 500 kV T/L (UG): Civil &amp; Cable Portion</v>
      </c>
      <c r="E154" s="58" t="str">
        <f t="shared" si="70"/>
        <v>7553</v>
      </c>
      <c r="F154" s="60" t="str">
        <f t="shared" si="70"/>
        <v>High</v>
      </c>
      <c r="G154" s="59">
        <f t="shared" si="70"/>
        <v>42644</v>
      </c>
      <c r="H154" s="60" t="str">
        <f t="shared" si="70"/>
        <v>TR-LINEINC</v>
      </c>
      <c r="I154" s="61">
        <f t="shared" si="70"/>
        <v>0</v>
      </c>
      <c r="J154" s="62">
        <f t="shared" si="70"/>
        <v>1</v>
      </c>
      <c r="K154" s="63"/>
      <c r="L154" s="234">
        <f t="shared" si="66"/>
        <v>35890.656670000004</v>
      </c>
      <c r="M154" s="64">
        <f t="shared" si="66"/>
        <v>127680.36551000002</v>
      </c>
      <c r="N154" s="64">
        <f t="shared" si="66"/>
        <v>96850.08004999996</v>
      </c>
      <c r="O154" s="64">
        <f t="shared" si="67"/>
        <v>35890.656670000004</v>
      </c>
      <c r="P154" s="64">
        <f t="shared" si="68"/>
        <v>127680.36551000002</v>
      </c>
      <c r="Q154" s="65">
        <f t="shared" si="69"/>
        <v>96850.08004999996</v>
      </c>
      <c r="R154" s="59"/>
      <c r="S154" s="180">
        <v>4083.5902700000001</v>
      </c>
      <c r="T154" s="181">
        <v>17997.31653</v>
      </c>
      <c r="U154" s="181">
        <v>4431.7770599999994</v>
      </c>
      <c r="V154" s="181">
        <v>6808.4550500000005</v>
      </c>
      <c r="W154" s="181">
        <v>9197.6700999999994</v>
      </c>
      <c r="X154" s="181">
        <v>24327.75</v>
      </c>
      <c r="Y154" s="181">
        <v>13088.996500000001</v>
      </c>
      <c r="Z154" s="181">
        <v>16079</v>
      </c>
      <c r="AA154" s="181">
        <v>14980.609999999999</v>
      </c>
      <c r="AB154" s="181">
        <v>6323.3349999999991</v>
      </c>
      <c r="AC154" s="181">
        <v>7355.9250000000002</v>
      </c>
      <c r="AD154" s="181">
        <v>3005.94</v>
      </c>
      <c r="AE154" s="181">
        <v>11725.330000000002</v>
      </c>
      <c r="AF154" s="181">
        <v>12183.33</v>
      </c>
      <c r="AG154" s="181">
        <v>12682.383005</v>
      </c>
      <c r="AH154" s="181">
        <v>12682.383005</v>
      </c>
      <c r="AI154" s="181">
        <v>8310.353004999999</v>
      </c>
      <c r="AJ154" s="181">
        <v>8310.353004999999</v>
      </c>
      <c r="AK154" s="181">
        <v>8310.353004999999</v>
      </c>
      <c r="AL154" s="181">
        <v>8288.3830049999997</v>
      </c>
      <c r="AM154" s="181">
        <v>6091.3830049999988</v>
      </c>
      <c r="AN154" s="181">
        <v>2751.9430050000001</v>
      </c>
      <c r="AO154" s="181">
        <v>2751.9430050000001</v>
      </c>
      <c r="AP154" s="182">
        <v>2761.9430050000001</v>
      </c>
    </row>
    <row r="155" spans="1:42" s="183" customFormat="1" x14ac:dyDescent="0.25">
      <c r="A155" s="178" t="str">
        <f t="shared" si="64"/>
        <v>Tehachapi Segments 4-11</v>
      </c>
      <c r="B155" s="179" t="s">
        <v>36</v>
      </c>
      <c r="C155" s="56" t="str">
        <f t="shared" si="70"/>
        <v>CET-ET-TP-RN-755300</v>
      </c>
      <c r="D155" s="66" t="str">
        <f t="shared" si="70"/>
        <v>Mira Loma Substation</v>
      </c>
      <c r="E155" s="58" t="str">
        <f t="shared" si="70"/>
        <v>7553</v>
      </c>
      <c r="F155" s="60" t="str">
        <f t="shared" si="70"/>
        <v>High</v>
      </c>
      <c r="G155" s="59">
        <f t="shared" si="70"/>
        <v>42644</v>
      </c>
      <c r="H155" s="60" t="str">
        <f t="shared" si="70"/>
        <v>TR-SUBINC</v>
      </c>
      <c r="I155" s="61">
        <f t="shared" si="70"/>
        <v>0</v>
      </c>
      <c r="J155" s="62">
        <f t="shared" si="70"/>
        <v>1</v>
      </c>
      <c r="K155" s="63"/>
      <c r="L155" s="234">
        <f t="shared" si="66"/>
        <v>739.06348999999977</v>
      </c>
      <c r="M155" s="64">
        <f t="shared" si="66"/>
        <v>24759.866869999998</v>
      </c>
      <c r="N155" s="64">
        <f t="shared" si="66"/>
        <v>1899.4</v>
      </c>
      <c r="O155" s="64">
        <f t="shared" si="67"/>
        <v>739.06348999999977</v>
      </c>
      <c r="P155" s="64">
        <f t="shared" si="68"/>
        <v>24759.866869999998</v>
      </c>
      <c r="Q155" s="65">
        <f t="shared" si="69"/>
        <v>1899.4</v>
      </c>
      <c r="R155" s="59"/>
      <c r="S155" s="180">
        <v>4.9769899999999998</v>
      </c>
      <c r="T155" s="181">
        <v>12.33867</v>
      </c>
      <c r="U155" s="181">
        <v>1376.8537099999999</v>
      </c>
      <c r="V155" s="181">
        <v>444.89250000000004</v>
      </c>
      <c r="W155" s="181">
        <v>93.372500000000016</v>
      </c>
      <c r="X155" s="181">
        <v>1191.8724999999999</v>
      </c>
      <c r="Y155" s="181">
        <v>1191.8724999999999</v>
      </c>
      <c r="Z155" s="181">
        <v>3388.8724999999999</v>
      </c>
      <c r="AA155" s="181">
        <v>3081.2924999999996</v>
      </c>
      <c r="AB155" s="181">
        <v>7335</v>
      </c>
      <c r="AC155" s="181">
        <v>3542.6624999999995</v>
      </c>
      <c r="AD155" s="181">
        <v>3095.86</v>
      </c>
      <c r="AE155" s="181">
        <v>645</v>
      </c>
      <c r="AF155" s="181">
        <v>280</v>
      </c>
      <c r="AG155" s="181">
        <v>280</v>
      </c>
      <c r="AH155" s="181">
        <v>280</v>
      </c>
      <c r="AI155" s="181">
        <v>210</v>
      </c>
      <c r="AJ155" s="181">
        <v>204.4</v>
      </c>
      <c r="AK155" s="181">
        <v>0</v>
      </c>
      <c r="AL155" s="181">
        <v>0</v>
      </c>
      <c r="AM155" s="181">
        <v>0</v>
      </c>
      <c r="AN155" s="181">
        <v>0</v>
      </c>
      <c r="AO155" s="181">
        <v>0</v>
      </c>
      <c r="AP155" s="182">
        <v>0</v>
      </c>
    </row>
    <row r="156" spans="1:42" s="183" customFormat="1" x14ac:dyDescent="0.25">
      <c r="A156" s="178" t="str">
        <f t="shared" si="64"/>
        <v>Tehachapi Segments 4-11</v>
      </c>
      <c r="B156" s="179" t="s">
        <v>36</v>
      </c>
      <c r="C156" s="56" t="str">
        <f t="shared" si="70"/>
        <v>CET-ET-TP-RN-755301</v>
      </c>
      <c r="D156" s="66" t="str">
        <f t="shared" si="70"/>
        <v>Vincent Substation</v>
      </c>
      <c r="E156" s="58" t="str">
        <f t="shared" si="70"/>
        <v>7553</v>
      </c>
      <c r="F156" s="60" t="str">
        <f t="shared" si="70"/>
        <v>High</v>
      </c>
      <c r="G156" s="59">
        <f t="shared" si="70"/>
        <v>42644</v>
      </c>
      <c r="H156" s="60" t="str">
        <f t="shared" si="70"/>
        <v>TR-SUBINC</v>
      </c>
      <c r="I156" s="61">
        <f t="shared" si="70"/>
        <v>0</v>
      </c>
      <c r="J156" s="62">
        <f t="shared" si="70"/>
        <v>1</v>
      </c>
      <c r="K156" s="63"/>
      <c r="L156" s="234">
        <f t="shared" si="66"/>
        <v>372.97103000000016</v>
      </c>
      <c r="M156" s="64">
        <f t="shared" si="66"/>
        <v>0.65324000000000026</v>
      </c>
      <c r="N156" s="64">
        <f t="shared" si="66"/>
        <v>66</v>
      </c>
      <c r="O156" s="64">
        <f t="shared" si="67"/>
        <v>372.97103000000016</v>
      </c>
      <c r="P156" s="64">
        <f t="shared" si="68"/>
        <v>0.65324000000000026</v>
      </c>
      <c r="Q156" s="65">
        <f t="shared" si="69"/>
        <v>66</v>
      </c>
      <c r="R156" s="59"/>
      <c r="S156" s="180">
        <v>-15.08663</v>
      </c>
      <c r="T156" s="181">
        <v>4.7578399999999998</v>
      </c>
      <c r="U156" s="181">
        <v>10.98203</v>
      </c>
      <c r="V156" s="181">
        <v>0</v>
      </c>
      <c r="W156" s="181">
        <v>0</v>
      </c>
      <c r="X156" s="181">
        <v>0</v>
      </c>
      <c r="Y156" s="181">
        <v>0</v>
      </c>
      <c r="Z156" s="181">
        <v>0</v>
      </c>
      <c r="AA156" s="181">
        <v>0</v>
      </c>
      <c r="AB156" s="181">
        <v>0</v>
      </c>
      <c r="AC156" s="181">
        <v>0</v>
      </c>
      <c r="AD156" s="181">
        <v>0</v>
      </c>
      <c r="AE156" s="181">
        <v>0</v>
      </c>
      <c r="AF156" s="181">
        <v>1</v>
      </c>
      <c r="AG156" s="181">
        <v>2</v>
      </c>
      <c r="AH156" s="181">
        <v>3</v>
      </c>
      <c r="AI156" s="181">
        <v>4</v>
      </c>
      <c r="AJ156" s="181">
        <v>5</v>
      </c>
      <c r="AK156" s="181">
        <v>6</v>
      </c>
      <c r="AL156" s="181">
        <v>7</v>
      </c>
      <c r="AM156" s="181">
        <v>8</v>
      </c>
      <c r="AN156" s="181">
        <v>9</v>
      </c>
      <c r="AO156" s="181">
        <v>10</v>
      </c>
      <c r="AP156" s="182">
        <v>11</v>
      </c>
    </row>
    <row r="157" spans="1:42" s="183" customFormat="1" x14ac:dyDescent="0.25">
      <c r="A157" s="178" t="str">
        <f t="shared" si="64"/>
        <v>Tehachapi Segments 4-11</v>
      </c>
      <c r="B157" s="179" t="s">
        <v>36</v>
      </c>
      <c r="C157" s="56" t="str">
        <f t="shared" si="70"/>
        <v>CET-RP-TP-RN-755300</v>
      </c>
      <c r="D157" s="66" t="str">
        <f t="shared" si="70"/>
        <v>ACQ: CHUG - TRTP-Segment 8</v>
      </c>
      <c r="E157" s="58" t="str">
        <f t="shared" si="70"/>
        <v>7553</v>
      </c>
      <c r="F157" s="60" t="str">
        <f t="shared" si="70"/>
        <v>High</v>
      </c>
      <c r="G157" s="59">
        <f t="shared" si="70"/>
        <v>42644</v>
      </c>
      <c r="H157" s="60" t="str">
        <f t="shared" si="70"/>
        <v>TR-LINEINC</v>
      </c>
      <c r="I157" s="61">
        <f t="shared" si="70"/>
        <v>0</v>
      </c>
      <c r="J157" s="62">
        <f t="shared" si="70"/>
        <v>1</v>
      </c>
      <c r="K157" s="63"/>
      <c r="L157" s="234">
        <f t="shared" si="66"/>
        <v>7563.3898400000007</v>
      </c>
      <c r="M157" s="64">
        <f t="shared" si="66"/>
        <v>7630.0720199999996</v>
      </c>
      <c r="N157" s="64">
        <f t="shared" si="66"/>
        <v>0</v>
      </c>
      <c r="O157" s="64">
        <f t="shared" si="67"/>
        <v>7563.3898400000007</v>
      </c>
      <c r="P157" s="64">
        <f t="shared" si="68"/>
        <v>7630.0720199999996</v>
      </c>
      <c r="Q157" s="65">
        <f t="shared" si="69"/>
        <v>0</v>
      </c>
      <c r="R157" s="59"/>
      <c r="S157" s="180">
        <v>387.72656999999998</v>
      </c>
      <c r="T157" s="181">
        <v>124.82633</v>
      </c>
      <c r="U157" s="181">
        <v>303.51911999999999</v>
      </c>
      <c r="V157" s="181">
        <v>867</v>
      </c>
      <c r="W157" s="181">
        <v>867</v>
      </c>
      <c r="X157" s="181">
        <v>867</v>
      </c>
      <c r="Y157" s="181">
        <v>1734</v>
      </c>
      <c r="Z157" s="181">
        <v>1734</v>
      </c>
      <c r="AA157" s="181">
        <v>745</v>
      </c>
      <c r="AB157" s="181">
        <v>0</v>
      </c>
      <c r="AC157" s="181">
        <v>0</v>
      </c>
      <c r="AD157" s="181">
        <v>0</v>
      </c>
      <c r="AE157" s="181">
        <v>0</v>
      </c>
      <c r="AF157" s="181">
        <v>0</v>
      </c>
      <c r="AG157" s="181">
        <v>0</v>
      </c>
      <c r="AH157" s="181">
        <v>0</v>
      </c>
      <c r="AI157" s="181">
        <v>0</v>
      </c>
      <c r="AJ157" s="181">
        <v>0</v>
      </c>
      <c r="AK157" s="181">
        <v>0</v>
      </c>
      <c r="AL157" s="181">
        <v>0</v>
      </c>
      <c r="AM157" s="181">
        <v>0</v>
      </c>
      <c r="AN157" s="181">
        <v>0</v>
      </c>
      <c r="AO157" s="181">
        <v>0</v>
      </c>
      <c r="AP157" s="182">
        <v>0</v>
      </c>
    </row>
    <row r="158" spans="1:42" s="183" customFormat="1" x14ac:dyDescent="0.25">
      <c r="A158" s="178" t="str">
        <f t="shared" si="64"/>
        <v>Tehachapi Segments 4-11</v>
      </c>
      <c r="B158" s="179" t="s">
        <v>36</v>
      </c>
      <c r="C158" s="56" t="str">
        <f t="shared" ref="C158:J167" si="71">C108</f>
        <v>CET-ET-TP-RN-755302</v>
      </c>
      <c r="D158" s="66" t="str">
        <f t="shared" si="71"/>
        <v>East Transition Station</v>
      </c>
      <c r="E158" s="58" t="str">
        <f t="shared" si="71"/>
        <v>7553</v>
      </c>
      <c r="F158" s="60" t="str">
        <f t="shared" si="71"/>
        <v>High</v>
      </c>
      <c r="G158" s="59">
        <f t="shared" si="71"/>
        <v>42644</v>
      </c>
      <c r="H158" s="60" t="str">
        <f t="shared" si="71"/>
        <v>TR-SUBINC</v>
      </c>
      <c r="I158" s="61">
        <f t="shared" si="71"/>
        <v>0</v>
      </c>
      <c r="J158" s="62">
        <f t="shared" si="71"/>
        <v>1</v>
      </c>
      <c r="K158" s="63"/>
      <c r="L158" s="234">
        <f t="shared" ref="L158:N170" si="72">L108</f>
        <v>1154.2956199999999</v>
      </c>
      <c r="M158" s="64">
        <f t="shared" si="72"/>
        <v>7979.6792400000004</v>
      </c>
      <c r="N158" s="64">
        <f t="shared" si="72"/>
        <v>570.00000000000011</v>
      </c>
      <c r="O158" s="64">
        <f t="shared" si="67"/>
        <v>1154.2956199999999</v>
      </c>
      <c r="P158" s="64">
        <f t="shared" si="68"/>
        <v>7979.6792400000004</v>
      </c>
      <c r="Q158" s="65">
        <f t="shared" si="69"/>
        <v>570.00000000000011</v>
      </c>
      <c r="R158" s="59"/>
      <c r="S158" s="180">
        <v>279.22800000000001</v>
      </c>
      <c r="T158" s="181">
        <v>109.25221000000001</v>
      </c>
      <c r="U158" s="181">
        <v>57.859029999999997</v>
      </c>
      <c r="V158" s="181">
        <v>1510.4375</v>
      </c>
      <c r="W158" s="181">
        <v>27.462500000000002</v>
      </c>
      <c r="X158" s="181">
        <v>27.462500000000002</v>
      </c>
      <c r="Y158" s="181">
        <v>27.462500000000002</v>
      </c>
      <c r="Z158" s="181">
        <v>1175.395</v>
      </c>
      <c r="AA158" s="181">
        <v>1208.3500000000001</v>
      </c>
      <c r="AB158" s="181">
        <v>1760.0000000000002</v>
      </c>
      <c r="AC158" s="181">
        <v>1577.07</v>
      </c>
      <c r="AD158" s="181">
        <v>219.70000000000002</v>
      </c>
      <c r="AE158" s="181">
        <v>142.50000000000003</v>
      </c>
      <c r="AF158" s="181">
        <v>142.50000000000003</v>
      </c>
      <c r="AG158" s="181">
        <v>142.50000000000003</v>
      </c>
      <c r="AH158" s="181">
        <v>142.50000000000003</v>
      </c>
      <c r="AI158" s="181">
        <v>0</v>
      </c>
      <c r="AJ158" s="181">
        <v>0</v>
      </c>
      <c r="AK158" s="181">
        <v>0</v>
      </c>
      <c r="AL158" s="181">
        <v>0</v>
      </c>
      <c r="AM158" s="181">
        <v>0</v>
      </c>
      <c r="AN158" s="181">
        <v>0</v>
      </c>
      <c r="AO158" s="181">
        <v>0</v>
      </c>
      <c r="AP158" s="182">
        <v>0</v>
      </c>
    </row>
    <row r="159" spans="1:42" s="183" customFormat="1" x14ac:dyDescent="0.25">
      <c r="A159" s="178" t="str">
        <f t="shared" si="64"/>
        <v>Tehachapi Segments 4-11</v>
      </c>
      <c r="B159" s="179" t="s">
        <v>36</v>
      </c>
      <c r="C159" s="56" t="str">
        <f t="shared" si="71"/>
        <v>CET-ET-TP-RN-755303</v>
      </c>
      <c r="D159" s="66" t="str">
        <f t="shared" si="71"/>
        <v>West Transition Station</v>
      </c>
      <c r="E159" s="58" t="str">
        <f t="shared" si="71"/>
        <v>7553</v>
      </c>
      <c r="F159" s="60" t="str">
        <f t="shared" si="71"/>
        <v>High</v>
      </c>
      <c r="G159" s="59">
        <f t="shared" si="71"/>
        <v>42644</v>
      </c>
      <c r="H159" s="60" t="str">
        <f t="shared" si="71"/>
        <v>TR-SUBINC</v>
      </c>
      <c r="I159" s="61">
        <f t="shared" si="71"/>
        <v>0</v>
      </c>
      <c r="J159" s="62">
        <f t="shared" si="71"/>
        <v>1</v>
      </c>
      <c r="K159" s="63"/>
      <c r="L159" s="234">
        <f t="shared" si="72"/>
        <v>536.18763999999987</v>
      </c>
      <c r="M159" s="64">
        <f t="shared" si="72"/>
        <v>9800.4707300000009</v>
      </c>
      <c r="N159" s="64">
        <f t="shared" si="72"/>
        <v>475.00000000000006</v>
      </c>
      <c r="O159" s="64">
        <f t="shared" si="67"/>
        <v>536.18763999999987</v>
      </c>
      <c r="P159" s="64">
        <f t="shared" si="68"/>
        <v>9800.4707300000009</v>
      </c>
      <c r="Q159" s="65">
        <f t="shared" si="69"/>
        <v>475.00000000000006</v>
      </c>
      <c r="R159" s="59"/>
      <c r="S159" s="180">
        <v>305.28251</v>
      </c>
      <c r="T159" s="181">
        <v>48.848289999999999</v>
      </c>
      <c r="U159" s="181">
        <v>113.34492999999999</v>
      </c>
      <c r="V159" s="181">
        <v>1757.6000000000001</v>
      </c>
      <c r="W159" s="181">
        <v>197.73</v>
      </c>
      <c r="X159" s="181">
        <v>54.925000000000004</v>
      </c>
      <c r="Y159" s="181">
        <v>2260.145</v>
      </c>
      <c r="Z159" s="181">
        <v>2260.145</v>
      </c>
      <c r="AA159" s="181">
        <v>1208.3500000000001</v>
      </c>
      <c r="AB159" s="181">
        <v>659.1</v>
      </c>
      <c r="AC159" s="181">
        <v>260</v>
      </c>
      <c r="AD159" s="181">
        <v>675</v>
      </c>
      <c r="AE159" s="181">
        <v>365.00000000000006</v>
      </c>
      <c r="AF159" s="181">
        <v>110</v>
      </c>
      <c r="AG159" s="181">
        <v>0</v>
      </c>
      <c r="AH159" s="181">
        <v>0</v>
      </c>
      <c r="AI159" s="181">
        <v>0</v>
      </c>
      <c r="AJ159" s="181">
        <v>0</v>
      </c>
      <c r="AK159" s="181">
        <v>0</v>
      </c>
      <c r="AL159" s="181">
        <v>0</v>
      </c>
      <c r="AM159" s="181">
        <v>0</v>
      </c>
      <c r="AN159" s="181">
        <v>0</v>
      </c>
      <c r="AO159" s="181">
        <v>0</v>
      </c>
      <c r="AP159" s="182">
        <v>0</v>
      </c>
    </row>
    <row r="160" spans="1:42" s="183" customFormat="1" x14ac:dyDescent="0.25">
      <c r="A160" s="178" t="str">
        <f t="shared" si="64"/>
        <v>Tehachapi Segments 4-11</v>
      </c>
      <c r="B160" s="179" t="s">
        <v>36</v>
      </c>
      <c r="C160" s="56" t="str">
        <f t="shared" si="71"/>
        <v>CET-ET-TP-RN-755305</v>
      </c>
      <c r="D160" s="66" t="str">
        <f t="shared" si="71"/>
        <v>Chino Hills Related OH Line Work</v>
      </c>
      <c r="E160" s="58" t="str">
        <f t="shared" si="71"/>
        <v>7553</v>
      </c>
      <c r="F160" s="60" t="str">
        <f t="shared" si="71"/>
        <v>High</v>
      </c>
      <c r="G160" s="59">
        <f t="shared" si="71"/>
        <v>42644</v>
      </c>
      <c r="H160" s="60" t="str">
        <f t="shared" si="71"/>
        <v>TR-LINEINC</v>
      </c>
      <c r="I160" s="61">
        <f t="shared" si="71"/>
        <v>0</v>
      </c>
      <c r="J160" s="62">
        <f t="shared" si="71"/>
        <v>1</v>
      </c>
      <c r="K160" s="63"/>
      <c r="L160" s="234">
        <f t="shared" si="72"/>
        <v>0</v>
      </c>
      <c r="M160" s="64">
        <f t="shared" si="72"/>
        <v>12200</v>
      </c>
      <c r="N160" s="64">
        <f t="shared" si="72"/>
        <v>0</v>
      </c>
      <c r="O160" s="64">
        <f t="shared" si="67"/>
        <v>0</v>
      </c>
      <c r="P160" s="64">
        <f t="shared" si="68"/>
        <v>12200</v>
      </c>
      <c r="Q160" s="65">
        <f t="shared" si="69"/>
        <v>0</v>
      </c>
      <c r="R160" s="59"/>
      <c r="S160" s="180">
        <v>0</v>
      </c>
      <c r="T160" s="181">
        <v>0</v>
      </c>
      <c r="U160" s="181">
        <v>0</v>
      </c>
      <c r="V160" s="181">
        <v>1710</v>
      </c>
      <c r="W160" s="181">
        <v>1280</v>
      </c>
      <c r="X160" s="181">
        <v>2900.0000000000005</v>
      </c>
      <c r="Y160" s="181">
        <v>4400</v>
      </c>
      <c r="Z160" s="181">
        <v>1109.9999999999998</v>
      </c>
      <c r="AA160" s="181">
        <v>800</v>
      </c>
      <c r="AB160" s="181">
        <v>0</v>
      </c>
      <c r="AC160" s="181">
        <v>0</v>
      </c>
      <c r="AD160" s="181">
        <v>0</v>
      </c>
      <c r="AE160" s="181">
        <v>0</v>
      </c>
      <c r="AF160" s="181">
        <v>0</v>
      </c>
      <c r="AG160" s="181">
        <v>0</v>
      </c>
      <c r="AH160" s="181">
        <v>0</v>
      </c>
      <c r="AI160" s="181">
        <v>0</v>
      </c>
      <c r="AJ160" s="181">
        <v>0</v>
      </c>
      <c r="AK160" s="181">
        <v>0</v>
      </c>
      <c r="AL160" s="181">
        <v>0</v>
      </c>
      <c r="AM160" s="181">
        <v>0</v>
      </c>
      <c r="AN160" s="181">
        <v>0</v>
      </c>
      <c r="AO160" s="181">
        <v>0</v>
      </c>
      <c r="AP160" s="182">
        <v>0</v>
      </c>
    </row>
    <row r="161" spans="1:42" s="183" customFormat="1" x14ac:dyDescent="0.25">
      <c r="A161" s="178" t="str">
        <f t="shared" si="64"/>
        <v>Tehachapi Segments 4-11</v>
      </c>
      <c r="B161" s="179" t="s">
        <v>36</v>
      </c>
      <c r="C161" s="56" t="str">
        <f t="shared" si="71"/>
        <v>CET-ET-TP-RN-644017</v>
      </c>
      <c r="D161" s="66" t="str">
        <f t="shared" si="71"/>
        <v>TRTP SEGMENT 9: WHIRLWIND - CONSTRUCT NEW SUBSTATION</v>
      </c>
      <c r="E161" s="58" t="str">
        <f t="shared" si="71"/>
        <v>6440</v>
      </c>
      <c r="F161" s="60" t="str">
        <f t="shared" si="71"/>
        <v>High</v>
      </c>
      <c r="G161" s="278">
        <f t="shared" si="71"/>
        <v>41274</v>
      </c>
      <c r="H161" s="60" t="str">
        <f t="shared" si="71"/>
        <v>TR-SUBINC</v>
      </c>
      <c r="I161" s="61">
        <f t="shared" si="71"/>
        <v>0</v>
      </c>
      <c r="J161" s="62">
        <f t="shared" si="71"/>
        <v>1</v>
      </c>
      <c r="K161" s="63"/>
      <c r="L161" s="284">
        <f t="shared" si="72"/>
        <v>0</v>
      </c>
      <c r="M161" s="64">
        <f t="shared" si="72"/>
        <v>165.318871</v>
      </c>
      <c r="N161" s="64">
        <f t="shared" si="72"/>
        <v>0</v>
      </c>
      <c r="O161" s="64">
        <f t="shared" si="67"/>
        <v>0</v>
      </c>
      <c r="P161" s="64">
        <f t="shared" si="68"/>
        <v>165.318871</v>
      </c>
      <c r="Q161" s="65">
        <f t="shared" si="69"/>
        <v>0</v>
      </c>
      <c r="R161" s="59"/>
      <c r="S161" s="180">
        <v>5.6138999999999992</v>
      </c>
      <c r="T161" s="181">
        <v>5.0163400000000005</v>
      </c>
      <c r="U161" s="181">
        <v>-44.907019999999996</v>
      </c>
      <c r="V161" s="181">
        <v>10</v>
      </c>
      <c r="W161" s="181">
        <v>10</v>
      </c>
      <c r="X161" s="181">
        <v>10</v>
      </c>
      <c r="Y161" s="181">
        <v>10</v>
      </c>
      <c r="Z161" s="181">
        <v>10</v>
      </c>
      <c r="AA161" s="181">
        <v>10</v>
      </c>
      <c r="AB161" s="181">
        <v>10</v>
      </c>
      <c r="AC161" s="181">
        <v>10</v>
      </c>
      <c r="AD161" s="181">
        <v>119.595651</v>
      </c>
      <c r="AE161" s="181">
        <v>0</v>
      </c>
      <c r="AF161" s="181">
        <v>0</v>
      </c>
      <c r="AG161" s="181">
        <v>0</v>
      </c>
      <c r="AH161" s="181">
        <v>0</v>
      </c>
      <c r="AI161" s="181">
        <v>0</v>
      </c>
      <c r="AJ161" s="181">
        <v>0</v>
      </c>
      <c r="AK161" s="181">
        <v>0</v>
      </c>
      <c r="AL161" s="181">
        <v>0</v>
      </c>
      <c r="AM161" s="181">
        <v>0</v>
      </c>
      <c r="AN161" s="181">
        <v>0</v>
      </c>
      <c r="AO161" s="181">
        <v>0</v>
      </c>
      <c r="AP161" s="182">
        <v>0</v>
      </c>
    </row>
    <row r="162" spans="1:42" s="183" customFormat="1" x14ac:dyDescent="0.25">
      <c r="A162" s="178" t="str">
        <f t="shared" si="64"/>
        <v>Tehachapi Segments 4-11</v>
      </c>
      <c r="B162" s="179" t="s">
        <v>36</v>
      </c>
      <c r="C162" s="56" t="str">
        <f t="shared" si="71"/>
        <v>CET-ET-TP-RN-644009</v>
      </c>
      <c r="D162" s="66" t="str">
        <f t="shared" si="71"/>
        <v>TRTP SEGMENT 9: ANTELOPE - CONSTRUCT ADDITION TO EXISTING SUBSTATION</v>
      </c>
      <c r="E162" s="58" t="str">
        <f t="shared" si="71"/>
        <v>6440</v>
      </c>
      <c r="F162" s="60" t="str">
        <f t="shared" si="71"/>
        <v>High</v>
      </c>
      <c r="G162" s="278">
        <f t="shared" si="71"/>
        <v>41274</v>
      </c>
      <c r="H162" s="60" t="str">
        <f t="shared" si="71"/>
        <v>TR-SUBINC</v>
      </c>
      <c r="I162" s="61">
        <f t="shared" si="71"/>
        <v>0</v>
      </c>
      <c r="J162" s="62">
        <f t="shared" si="71"/>
        <v>1</v>
      </c>
      <c r="K162" s="63"/>
      <c r="L162" s="284">
        <f t="shared" si="72"/>
        <v>0</v>
      </c>
      <c r="M162" s="64">
        <f t="shared" si="72"/>
        <v>-22.787209999999998</v>
      </c>
      <c r="N162" s="64">
        <f t="shared" si="72"/>
        <v>0</v>
      </c>
      <c r="O162" s="64">
        <f t="shared" si="67"/>
        <v>0</v>
      </c>
      <c r="P162" s="64">
        <f t="shared" si="68"/>
        <v>-22.787209999999998</v>
      </c>
      <c r="Q162" s="65">
        <f t="shared" si="69"/>
        <v>0</v>
      </c>
      <c r="R162" s="59"/>
      <c r="S162" s="180">
        <v>0.68967999999999996</v>
      </c>
      <c r="T162" s="181">
        <v>3.4299999999999997E-2</v>
      </c>
      <c r="U162" s="181">
        <v>-23.511189999999999</v>
      </c>
      <c r="V162" s="181">
        <v>0</v>
      </c>
      <c r="W162" s="181">
        <v>0</v>
      </c>
      <c r="X162" s="181">
        <v>0</v>
      </c>
      <c r="Y162" s="181">
        <v>0</v>
      </c>
      <c r="Z162" s="181">
        <v>0</v>
      </c>
      <c r="AA162" s="181">
        <v>0</v>
      </c>
      <c r="AB162" s="181">
        <v>0</v>
      </c>
      <c r="AC162" s="181">
        <v>0</v>
      </c>
      <c r="AD162" s="181">
        <v>0</v>
      </c>
      <c r="AE162" s="181">
        <v>0</v>
      </c>
      <c r="AF162" s="181">
        <v>0</v>
      </c>
      <c r="AG162" s="181">
        <v>0</v>
      </c>
      <c r="AH162" s="181">
        <v>0</v>
      </c>
      <c r="AI162" s="181">
        <v>0</v>
      </c>
      <c r="AJ162" s="181">
        <v>0</v>
      </c>
      <c r="AK162" s="181">
        <v>0</v>
      </c>
      <c r="AL162" s="181">
        <v>0</v>
      </c>
      <c r="AM162" s="181">
        <v>0</v>
      </c>
      <c r="AN162" s="181">
        <v>0</v>
      </c>
      <c r="AO162" s="181">
        <v>0</v>
      </c>
      <c r="AP162" s="182">
        <v>0</v>
      </c>
    </row>
    <row r="163" spans="1:42" s="183" customFormat="1" x14ac:dyDescent="0.25">
      <c r="A163" s="178" t="str">
        <f t="shared" si="64"/>
        <v>Tehachapi Segments 4-11</v>
      </c>
      <c r="B163" s="179" t="s">
        <v>36</v>
      </c>
      <c r="C163" s="56" t="str">
        <f t="shared" si="71"/>
        <v>CET-ET-TP-RN-644006</v>
      </c>
      <c r="D163" s="66" t="str">
        <f t="shared" si="71"/>
        <v>TRTP SEGMENT 9: VINCENT - EXTEND 500KV SWITCHRACK ADDING FOUR BAY POSITIONS. EXTEND 220KV SWITCHRACK ADDING ONE BAY POSITION.</v>
      </c>
      <c r="E163" s="58" t="str">
        <f t="shared" si="71"/>
        <v>6440</v>
      </c>
      <c r="F163" s="60" t="str">
        <f t="shared" si="71"/>
        <v>High</v>
      </c>
      <c r="G163" s="278">
        <f t="shared" si="71"/>
        <v>41639</v>
      </c>
      <c r="H163" s="60" t="str">
        <f t="shared" si="71"/>
        <v>TR-SUBINC</v>
      </c>
      <c r="I163" s="61">
        <f t="shared" si="71"/>
        <v>0</v>
      </c>
      <c r="J163" s="62">
        <f t="shared" si="71"/>
        <v>1</v>
      </c>
      <c r="K163" s="63"/>
      <c r="L163" s="284">
        <f t="shared" si="72"/>
        <v>0</v>
      </c>
      <c r="M163" s="64">
        <f t="shared" si="72"/>
        <v>-126.34281999999985</v>
      </c>
      <c r="N163" s="64">
        <f t="shared" si="72"/>
        <v>0</v>
      </c>
      <c r="O163" s="64">
        <f t="shared" si="67"/>
        <v>0</v>
      </c>
      <c r="P163" s="64">
        <f t="shared" si="68"/>
        <v>-126.34281999999985</v>
      </c>
      <c r="Q163" s="65">
        <f t="shared" si="69"/>
        <v>0</v>
      </c>
      <c r="R163" s="59"/>
      <c r="S163" s="180">
        <v>-14.828719999999999</v>
      </c>
      <c r="T163" s="181">
        <v>2.7970999999999999</v>
      </c>
      <c r="U163" s="181">
        <v>-129.81119999999999</v>
      </c>
      <c r="V163" s="181">
        <v>0</v>
      </c>
      <c r="W163" s="181">
        <v>0</v>
      </c>
      <c r="X163" s="181">
        <v>0</v>
      </c>
      <c r="Y163" s="181">
        <v>0</v>
      </c>
      <c r="Z163" s="181">
        <v>0</v>
      </c>
      <c r="AA163" s="181">
        <v>0</v>
      </c>
      <c r="AB163" s="181">
        <v>0</v>
      </c>
      <c r="AC163" s="181">
        <v>0</v>
      </c>
      <c r="AD163" s="181">
        <v>15.500000000000146</v>
      </c>
      <c r="AE163" s="181">
        <v>0</v>
      </c>
      <c r="AF163" s="181">
        <v>0</v>
      </c>
      <c r="AG163" s="181">
        <v>0</v>
      </c>
      <c r="AH163" s="181">
        <v>0</v>
      </c>
      <c r="AI163" s="181">
        <v>0</v>
      </c>
      <c r="AJ163" s="181">
        <v>0</v>
      </c>
      <c r="AK163" s="181">
        <v>0</v>
      </c>
      <c r="AL163" s="181">
        <v>0</v>
      </c>
      <c r="AM163" s="181">
        <v>0</v>
      </c>
      <c r="AN163" s="181">
        <v>0</v>
      </c>
      <c r="AO163" s="181">
        <v>0</v>
      </c>
      <c r="AP163" s="182">
        <v>0</v>
      </c>
    </row>
    <row r="164" spans="1:42" s="183" customFormat="1" x14ac:dyDescent="0.25">
      <c r="A164" s="178" t="str">
        <f t="shared" si="64"/>
        <v>Tehachapi Segments 4-11</v>
      </c>
      <c r="B164" s="179" t="s">
        <v>36</v>
      </c>
      <c r="C164" s="56" t="str">
        <f t="shared" si="71"/>
        <v>CET-ET-TP-RN-644010</v>
      </c>
      <c r="D164" s="66" t="str">
        <f t="shared" si="71"/>
        <v>TRTP SEGMENT 9: WINDHUB - CONSTRUCT 500kV SWITCHYARD &amp; AA TRANSFORMER BANK</v>
      </c>
      <c r="E164" s="58" t="str">
        <f t="shared" si="71"/>
        <v>6440</v>
      </c>
      <c r="F164" s="60" t="str">
        <f t="shared" si="71"/>
        <v>High</v>
      </c>
      <c r="G164" s="278">
        <f t="shared" si="71"/>
        <v>42156</v>
      </c>
      <c r="H164" s="60" t="str">
        <f t="shared" si="71"/>
        <v>TR-SUBINC</v>
      </c>
      <c r="I164" s="61">
        <f t="shared" si="71"/>
        <v>0</v>
      </c>
      <c r="J164" s="62">
        <f t="shared" si="71"/>
        <v>1</v>
      </c>
      <c r="K164" s="63"/>
      <c r="L164" s="284">
        <f t="shared" si="72"/>
        <v>-77.57656000000145</v>
      </c>
      <c r="M164" s="64">
        <f t="shared" si="72"/>
        <v>8.9999999999999992E-5</v>
      </c>
      <c r="N164" s="64">
        <f t="shared" si="72"/>
        <v>0</v>
      </c>
      <c r="O164" s="64">
        <f t="shared" si="67"/>
        <v>-77.57656000000145</v>
      </c>
      <c r="P164" s="64">
        <f t="shared" si="68"/>
        <v>8.9999999999999992E-5</v>
      </c>
      <c r="Q164" s="65">
        <f t="shared" si="69"/>
        <v>0</v>
      </c>
      <c r="R164" s="59"/>
      <c r="S164" s="180">
        <v>2.9999999999999997E-5</v>
      </c>
      <c r="T164" s="181">
        <v>2.9999999999999997E-5</v>
      </c>
      <c r="U164" s="181">
        <v>2.9999999999999997E-5</v>
      </c>
      <c r="V164" s="181">
        <v>0</v>
      </c>
      <c r="W164" s="181">
        <v>0</v>
      </c>
      <c r="X164" s="181">
        <v>0</v>
      </c>
      <c r="Y164" s="181">
        <v>0</v>
      </c>
      <c r="Z164" s="181">
        <v>0</v>
      </c>
      <c r="AA164" s="181">
        <v>0</v>
      </c>
      <c r="AB164" s="181">
        <v>0</v>
      </c>
      <c r="AC164" s="181">
        <v>0</v>
      </c>
      <c r="AD164" s="181">
        <v>0</v>
      </c>
      <c r="AE164" s="181">
        <v>0</v>
      </c>
      <c r="AF164" s="181">
        <v>0</v>
      </c>
      <c r="AG164" s="181">
        <v>0</v>
      </c>
      <c r="AH164" s="181">
        <v>0</v>
      </c>
      <c r="AI164" s="181">
        <v>0</v>
      </c>
      <c r="AJ164" s="181">
        <v>0</v>
      </c>
      <c r="AK164" s="181">
        <v>0</v>
      </c>
      <c r="AL164" s="181">
        <v>0</v>
      </c>
      <c r="AM164" s="181">
        <v>0</v>
      </c>
      <c r="AN164" s="181">
        <v>0</v>
      </c>
      <c r="AO164" s="181">
        <v>0</v>
      </c>
      <c r="AP164" s="182">
        <v>0</v>
      </c>
    </row>
    <row r="165" spans="1:42" s="183" customFormat="1" x14ac:dyDescent="0.25">
      <c r="A165" s="178" t="str">
        <f t="shared" si="64"/>
        <v>Tehachapi Segments 4-11</v>
      </c>
      <c r="B165" s="179" t="s">
        <v>36</v>
      </c>
      <c r="C165" s="56" t="str">
        <f t="shared" si="71"/>
        <v>CET-ET-TP-RN-644016</v>
      </c>
      <c r="D165" s="66" t="str">
        <f t="shared" si="71"/>
        <v>TRTP SEGMENT 9: MESA SUB - EQUIP 220KV line protection</v>
      </c>
      <c r="E165" s="58" t="str">
        <f t="shared" si="71"/>
        <v>6440</v>
      </c>
      <c r="F165" s="60" t="str">
        <f t="shared" si="71"/>
        <v>High</v>
      </c>
      <c r="G165" s="59">
        <f t="shared" si="71"/>
        <v>41640</v>
      </c>
      <c r="H165" s="60" t="str">
        <f t="shared" si="71"/>
        <v>TR-SUBINC</v>
      </c>
      <c r="I165" s="61">
        <f t="shared" si="71"/>
        <v>0</v>
      </c>
      <c r="J165" s="62">
        <f t="shared" si="71"/>
        <v>1</v>
      </c>
      <c r="K165" s="63"/>
      <c r="L165" s="284">
        <f t="shared" si="72"/>
        <v>0</v>
      </c>
      <c r="M165" s="64">
        <f t="shared" si="72"/>
        <v>0</v>
      </c>
      <c r="N165" s="64">
        <f t="shared" si="72"/>
        <v>0</v>
      </c>
      <c r="O165" s="64">
        <f t="shared" si="67"/>
        <v>0</v>
      </c>
      <c r="P165" s="64">
        <f t="shared" si="68"/>
        <v>0</v>
      </c>
      <c r="Q165" s="65">
        <f t="shared" si="69"/>
        <v>0</v>
      </c>
      <c r="R165" s="59"/>
      <c r="S165" s="180">
        <v>0</v>
      </c>
      <c r="T165" s="181">
        <v>0</v>
      </c>
      <c r="U165" s="181">
        <v>0</v>
      </c>
      <c r="V165" s="181">
        <v>0</v>
      </c>
      <c r="W165" s="181">
        <v>0</v>
      </c>
      <c r="X165" s="181">
        <v>0</v>
      </c>
      <c r="Y165" s="181">
        <v>0</v>
      </c>
      <c r="Z165" s="181">
        <v>0</v>
      </c>
      <c r="AA165" s="181">
        <v>0</v>
      </c>
      <c r="AB165" s="181">
        <v>0</v>
      </c>
      <c r="AC165" s="181">
        <v>0</v>
      </c>
      <c r="AD165" s="181">
        <v>0</v>
      </c>
      <c r="AE165" s="181">
        <v>0</v>
      </c>
      <c r="AF165" s="181">
        <v>0</v>
      </c>
      <c r="AG165" s="181">
        <v>0</v>
      </c>
      <c r="AH165" s="181">
        <v>0</v>
      </c>
      <c r="AI165" s="181">
        <v>0</v>
      </c>
      <c r="AJ165" s="181">
        <v>0</v>
      </c>
      <c r="AK165" s="181">
        <v>0</v>
      </c>
      <c r="AL165" s="181">
        <v>0</v>
      </c>
      <c r="AM165" s="181">
        <v>0</v>
      </c>
      <c r="AN165" s="181">
        <v>0</v>
      </c>
      <c r="AO165" s="181">
        <v>0</v>
      </c>
      <c r="AP165" s="182">
        <v>0</v>
      </c>
    </row>
    <row r="166" spans="1:42" s="183" customFormat="1" x14ac:dyDescent="0.25">
      <c r="A166" s="178" t="str">
        <f t="shared" si="64"/>
        <v>Tehachapi Segments 4-11</v>
      </c>
      <c r="B166" s="179" t="s">
        <v>36</v>
      </c>
      <c r="C166" s="56" t="str">
        <f t="shared" si="71"/>
        <v>CET-ET-TP-RN-644007</v>
      </c>
      <c r="D166" s="66" t="str">
        <f t="shared" si="71"/>
        <v>TRTP SEGMENT 9: MIRA LOMA SUB - EQUIP 1 500KV line protection</v>
      </c>
      <c r="E166" s="58" t="str">
        <f t="shared" si="71"/>
        <v>6440</v>
      </c>
      <c r="F166" s="60" t="str">
        <f t="shared" si="71"/>
        <v>High</v>
      </c>
      <c r="G166" s="59">
        <f t="shared" si="71"/>
        <v>41821</v>
      </c>
      <c r="H166" s="60" t="str">
        <f t="shared" si="71"/>
        <v>TR-SUBINC</v>
      </c>
      <c r="I166" s="61">
        <f t="shared" si="71"/>
        <v>0</v>
      </c>
      <c r="J166" s="62">
        <f t="shared" si="71"/>
        <v>1</v>
      </c>
      <c r="K166" s="63"/>
      <c r="L166" s="234">
        <f t="shared" si="72"/>
        <v>0</v>
      </c>
      <c r="M166" s="64">
        <f t="shared" si="72"/>
        <v>865</v>
      </c>
      <c r="N166" s="64">
        <f t="shared" si="72"/>
        <v>0</v>
      </c>
      <c r="O166" s="64">
        <f t="shared" si="67"/>
        <v>0</v>
      </c>
      <c r="P166" s="64">
        <f t="shared" si="68"/>
        <v>865</v>
      </c>
      <c r="Q166" s="65">
        <f t="shared" si="69"/>
        <v>0</v>
      </c>
      <c r="R166" s="59"/>
      <c r="S166" s="180">
        <v>30.4773</v>
      </c>
      <c r="T166" s="181">
        <v>7.7539799999999994</v>
      </c>
      <c r="U166" s="181">
        <v>8.6286900000000006</v>
      </c>
      <c r="V166" s="181">
        <v>124.2</v>
      </c>
      <c r="W166" s="181">
        <v>68.2</v>
      </c>
      <c r="X166" s="181">
        <v>68.2</v>
      </c>
      <c r="Y166" s="181">
        <v>68.2</v>
      </c>
      <c r="Z166" s="181">
        <v>68.2</v>
      </c>
      <c r="AA166" s="181">
        <v>68.2</v>
      </c>
      <c r="AB166" s="181">
        <v>57</v>
      </c>
      <c r="AC166" s="181">
        <v>56</v>
      </c>
      <c r="AD166" s="181">
        <v>239.94003000000004</v>
      </c>
      <c r="AE166" s="181">
        <v>0</v>
      </c>
      <c r="AF166" s="181">
        <v>0</v>
      </c>
      <c r="AG166" s="181">
        <v>0</v>
      </c>
      <c r="AH166" s="181">
        <v>0</v>
      </c>
      <c r="AI166" s="181">
        <v>0</v>
      </c>
      <c r="AJ166" s="181">
        <v>0</v>
      </c>
      <c r="AK166" s="181">
        <v>0</v>
      </c>
      <c r="AL166" s="181">
        <v>0</v>
      </c>
      <c r="AM166" s="181">
        <v>0</v>
      </c>
      <c r="AN166" s="181">
        <v>0</v>
      </c>
      <c r="AO166" s="181">
        <v>0</v>
      </c>
      <c r="AP166" s="182">
        <v>0</v>
      </c>
    </row>
    <row r="167" spans="1:42" s="183" customFormat="1" x14ac:dyDescent="0.25">
      <c r="A167" s="178" t="str">
        <f t="shared" si="64"/>
        <v>Tehachapi Segments 4-11</v>
      </c>
      <c r="B167" s="179" t="s">
        <v>36</v>
      </c>
      <c r="C167" s="56" t="str">
        <f t="shared" si="71"/>
        <v>CET-ET-TP-RN-644008</v>
      </c>
      <c r="D167" s="66" t="str">
        <f t="shared" si="71"/>
        <v>TRTP SEGMENT 9: VINCENT - EXTEND 500KV SWITCHRACK ADDING FOUR BAY POSITIONS. EXTEND 220KV SWITCHRACK ADDING ONE BAY POSITION. REMOVE MIDWAY NO. 3 SERIES CAPACITOR.</v>
      </c>
      <c r="E167" s="58" t="str">
        <f t="shared" si="71"/>
        <v>6440</v>
      </c>
      <c r="F167" s="60" t="str">
        <f t="shared" si="71"/>
        <v>High</v>
      </c>
      <c r="G167" s="59">
        <f t="shared" si="71"/>
        <v>41640</v>
      </c>
      <c r="H167" s="60" t="str">
        <f t="shared" si="71"/>
        <v>TR-SUBINC</v>
      </c>
      <c r="I167" s="61">
        <f t="shared" si="71"/>
        <v>0</v>
      </c>
      <c r="J167" s="62">
        <f t="shared" si="71"/>
        <v>1</v>
      </c>
      <c r="K167" s="63"/>
      <c r="L167" s="284">
        <f t="shared" si="72"/>
        <v>0</v>
      </c>
      <c r="M167" s="64">
        <f t="shared" si="72"/>
        <v>1.4057999999999999</v>
      </c>
      <c r="N167" s="64">
        <f t="shared" si="72"/>
        <v>0</v>
      </c>
      <c r="O167" s="64">
        <f t="shared" si="67"/>
        <v>0</v>
      </c>
      <c r="P167" s="64">
        <f t="shared" si="68"/>
        <v>1.4057999999999999</v>
      </c>
      <c r="Q167" s="65">
        <f t="shared" si="69"/>
        <v>0</v>
      </c>
      <c r="R167" s="59"/>
      <c r="S167" s="180">
        <v>1.15293</v>
      </c>
      <c r="T167" s="181">
        <v>5.3679999999999999E-2</v>
      </c>
      <c r="U167" s="181">
        <v>0.19919000000000001</v>
      </c>
      <c r="V167" s="181">
        <v>0</v>
      </c>
      <c r="W167" s="181">
        <v>0</v>
      </c>
      <c r="X167" s="181">
        <v>0</v>
      </c>
      <c r="Y167" s="181">
        <v>0</v>
      </c>
      <c r="Z167" s="181">
        <v>0</v>
      </c>
      <c r="AA167" s="181">
        <v>0</v>
      </c>
      <c r="AB167" s="181">
        <v>0</v>
      </c>
      <c r="AC167" s="181">
        <v>0</v>
      </c>
      <c r="AD167" s="181">
        <v>0</v>
      </c>
      <c r="AE167" s="181">
        <v>0</v>
      </c>
      <c r="AF167" s="181">
        <v>0</v>
      </c>
      <c r="AG167" s="181">
        <v>0</v>
      </c>
      <c r="AH167" s="181">
        <v>0</v>
      </c>
      <c r="AI167" s="181">
        <v>0</v>
      </c>
      <c r="AJ167" s="181">
        <v>0</v>
      </c>
      <c r="AK167" s="181">
        <v>0</v>
      </c>
      <c r="AL167" s="181">
        <v>0</v>
      </c>
      <c r="AM167" s="181">
        <v>0</v>
      </c>
      <c r="AN167" s="181">
        <v>0</v>
      </c>
      <c r="AO167" s="181">
        <v>0</v>
      </c>
      <c r="AP167" s="182">
        <v>0</v>
      </c>
    </row>
    <row r="168" spans="1:42" s="183" customFormat="1" x14ac:dyDescent="0.25">
      <c r="A168" s="178" t="str">
        <f t="shared" si="64"/>
        <v>Tehachapi Segments 4-11</v>
      </c>
      <c r="B168" s="179" t="s">
        <v>36</v>
      </c>
      <c r="C168" s="56" t="str">
        <f t="shared" ref="C168:J170" si="73">C118</f>
        <v>CET-ET-TP-RN-644000</v>
      </c>
      <c r="D168" s="66" t="str">
        <f t="shared" si="73"/>
        <v>TRTP SEGMENT 9: GOULD - ADD CB'S ON TRANSFORMERS TO COMPLY WITH L&amp;B CRITERIA. ADD NEW 220KV LINE POSITION (PART OF SEGMENT 9-1)</v>
      </c>
      <c r="E168" s="58" t="str">
        <f t="shared" si="73"/>
        <v>6440</v>
      </c>
      <c r="F168" s="60" t="str">
        <f t="shared" si="73"/>
        <v>High</v>
      </c>
      <c r="G168" s="59">
        <f t="shared" si="73"/>
        <v>41091</v>
      </c>
      <c r="H168" s="60" t="str">
        <f t="shared" si="73"/>
        <v>TR-SUBINC</v>
      </c>
      <c r="I168" s="61">
        <f t="shared" si="73"/>
        <v>0</v>
      </c>
      <c r="J168" s="62">
        <f t="shared" si="73"/>
        <v>1</v>
      </c>
      <c r="K168" s="63"/>
      <c r="L168" s="234">
        <f t="shared" si="72"/>
        <v>0</v>
      </c>
      <c r="M168" s="64">
        <f t="shared" si="72"/>
        <v>-0.86336999999999997</v>
      </c>
      <c r="N168" s="64">
        <f t="shared" si="72"/>
        <v>0</v>
      </c>
      <c r="O168" s="64">
        <f t="shared" si="67"/>
        <v>0</v>
      </c>
      <c r="P168" s="64">
        <f t="shared" si="68"/>
        <v>-0.86336999999999997</v>
      </c>
      <c r="Q168" s="65">
        <f t="shared" si="69"/>
        <v>0</v>
      </c>
      <c r="R168" s="59"/>
      <c r="S168" s="180">
        <v>-0.86988999999999994</v>
      </c>
      <c r="T168" s="181">
        <v>6.5199999999999998E-3</v>
      </c>
      <c r="U168" s="181">
        <v>0</v>
      </c>
      <c r="V168" s="181">
        <v>0</v>
      </c>
      <c r="W168" s="181">
        <v>0</v>
      </c>
      <c r="X168" s="181">
        <v>0</v>
      </c>
      <c r="Y168" s="181">
        <v>0</v>
      </c>
      <c r="Z168" s="181">
        <v>0</v>
      </c>
      <c r="AA168" s="181">
        <v>0</v>
      </c>
      <c r="AB168" s="181">
        <v>0</v>
      </c>
      <c r="AC168" s="181">
        <v>0</v>
      </c>
      <c r="AD168" s="181">
        <v>0</v>
      </c>
      <c r="AE168" s="181">
        <v>0</v>
      </c>
      <c r="AF168" s="181">
        <v>0</v>
      </c>
      <c r="AG168" s="181">
        <v>0</v>
      </c>
      <c r="AH168" s="181">
        <v>0</v>
      </c>
      <c r="AI168" s="181">
        <v>0</v>
      </c>
      <c r="AJ168" s="181">
        <v>0</v>
      </c>
      <c r="AK168" s="181">
        <v>0</v>
      </c>
      <c r="AL168" s="181">
        <v>0</v>
      </c>
      <c r="AM168" s="181">
        <v>0</v>
      </c>
      <c r="AN168" s="181">
        <v>0</v>
      </c>
      <c r="AO168" s="181">
        <v>0</v>
      </c>
      <c r="AP168" s="182">
        <v>0</v>
      </c>
    </row>
    <row r="169" spans="1:42" s="183" customFormat="1" x14ac:dyDescent="0.25">
      <c r="A169" s="178" t="str">
        <f t="shared" si="64"/>
        <v>Tehachapi Segments 4-11</v>
      </c>
      <c r="B169" s="179" t="s">
        <v>36</v>
      </c>
      <c r="C169" s="56" t="str">
        <f t="shared" si="73"/>
        <v>CET-ET-TP-RN-644030</v>
      </c>
      <c r="D169" s="66" t="str">
        <f t="shared" si="73"/>
        <v>Vincent Substation Administration and Control Building</v>
      </c>
      <c r="E169" s="58" t="str">
        <f t="shared" si="73"/>
        <v>6440</v>
      </c>
      <c r="F169" s="60" t="str">
        <f t="shared" si="73"/>
        <v>High</v>
      </c>
      <c r="G169" s="278">
        <f t="shared" si="73"/>
        <v>42005</v>
      </c>
      <c r="H169" s="60" t="str">
        <f t="shared" si="73"/>
        <v>TR-SUBINC</v>
      </c>
      <c r="I169" s="61">
        <f t="shared" si="73"/>
        <v>0</v>
      </c>
      <c r="J169" s="62">
        <f t="shared" si="73"/>
        <v>1</v>
      </c>
      <c r="K169" s="63"/>
      <c r="L169" s="284">
        <f t="shared" si="72"/>
        <v>10889.30493</v>
      </c>
      <c r="M169" s="64">
        <f t="shared" si="72"/>
        <v>2127.2875599999998</v>
      </c>
      <c r="N169" s="64">
        <f t="shared" si="72"/>
        <v>479.29499999999985</v>
      </c>
      <c r="O169" s="64">
        <f t="shared" si="67"/>
        <v>10889.30493</v>
      </c>
      <c r="P169" s="64">
        <f t="shared" si="68"/>
        <v>2127.2875599999998</v>
      </c>
      <c r="Q169" s="65">
        <f t="shared" si="69"/>
        <v>479.29499999999985</v>
      </c>
      <c r="R169" s="59"/>
      <c r="S169" s="180">
        <v>36.97683</v>
      </c>
      <c r="T169" s="181">
        <v>44.369150000000005</v>
      </c>
      <c r="U169" s="181">
        <v>218.04703000000001</v>
      </c>
      <c r="V169" s="181">
        <v>167.5</v>
      </c>
      <c r="W169" s="181">
        <v>68.5</v>
      </c>
      <c r="X169" s="181">
        <v>66.731999999999999</v>
      </c>
      <c r="Y169" s="181">
        <v>60.5</v>
      </c>
      <c r="Z169" s="181">
        <v>60.5</v>
      </c>
      <c r="AA169" s="181">
        <v>60.5</v>
      </c>
      <c r="AB169" s="181">
        <v>60.5</v>
      </c>
      <c r="AC169" s="181">
        <v>60.5</v>
      </c>
      <c r="AD169" s="181">
        <v>1222.66255</v>
      </c>
      <c r="AE169" s="181">
        <v>39.941249999999997</v>
      </c>
      <c r="AF169" s="181">
        <v>39.941249999999997</v>
      </c>
      <c r="AG169" s="181">
        <v>39.941249999999997</v>
      </c>
      <c r="AH169" s="181">
        <v>39.941249999999997</v>
      </c>
      <c r="AI169" s="181">
        <v>39.941249999999997</v>
      </c>
      <c r="AJ169" s="181">
        <v>39.941249999999997</v>
      </c>
      <c r="AK169" s="181">
        <v>39.941249999999997</v>
      </c>
      <c r="AL169" s="181">
        <v>39.941249999999997</v>
      </c>
      <c r="AM169" s="181">
        <v>39.941249999999997</v>
      </c>
      <c r="AN169" s="181">
        <v>39.941249999999997</v>
      </c>
      <c r="AO169" s="181">
        <v>39.941249999999997</v>
      </c>
      <c r="AP169" s="182">
        <v>39.941249999999997</v>
      </c>
    </row>
    <row r="170" spans="1:42" s="183" customFormat="1" x14ac:dyDescent="0.25">
      <c r="A170" s="178" t="str">
        <f t="shared" si="64"/>
        <v>Tehachapi Segments 4-11</v>
      </c>
      <c r="B170" s="179" t="s">
        <v>36</v>
      </c>
      <c r="C170" s="56" t="str">
        <f t="shared" si="73"/>
        <v>CET-ET-TP-RN-644028</v>
      </c>
      <c r="D170" s="66" t="str">
        <f t="shared" si="73"/>
        <v>TRTP SEGMENT 9: Replace the protective relays at Lugo Substation for the Mira Loma No.3 500kV transmission line.</v>
      </c>
      <c r="E170" s="58" t="str">
        <f t="shared" si="73"/>
        <v>6440</v>
      </c>
      <c r="F170" s="60" t="str">
        <f t="shared" si="73"/>
        <v>High</v>
      </c>
      <c r="G170" s="59">
        <f t="shared" si="73"/>
        <v>41640</v>
      </c>
      <c r="H170" s="60" t="str">
        <f t="shared" si="73"/>
        <v>TR-SUBINC</v>
      </c>
      <c r="I170" s="61">
        <f t="shared" si="73"/>
        <v>0</v>
      </c>
      <c r="J170" s="62">
        <f t="shared" si="73"/>
        <v>1</v>
      </c>
      <c r="K170" s="63"/>
      <c r="L170" s="234">
        <f t="shared" si="72"/>
        <v>0</v>
      </c>
      <c r="M170" s="64">
        <f t="shared" si="72"/>
        <v>0</v>
      </c>
      <c r="N170" s="64">
        <f t="shared" si="72"/>
        <v>0</v>
      </c>
      <c r="O170" s="64">
        <f t="shared" si="67"/>
        <v>0</v>
      </c>
      <c r="P170" s="64">
        <f t="shared" si="68"/>
        <v>0</v>
      </c>
      <c r="Q170" s="65">
        <f t="shared" si="69"/>
        <v>0</v>
      </c>
      <c r="R170" s="59"/>
      <c r="S170" s="180">
        <v>0</v>
      </c>
      <c r="T170" s="181">
        <v>0</v>
      </c>
      <c r="U170" s="181">
        <v>0</v>
      </c>
      <c r="V170" s="181">
        <v>0</v>
      </c>
      <c r="W170" s="181">
        <v>0</v>
      </c>
      <c r="X170" s="181">
        <v>0</v>
      </c>
      <c r="Y170" s="181">
        <v>0</v>
      </c>
      <c r="Z170" s="181">
        <v>0</v>
      </c>
      <c r="AA170" s="181">
        <v>0</v>
      </c>
      <c r="AB170" s="181">
        <v>0</v>
      </c>
      <c r="AC170" s="181">
        <v>0</v>
      </c>
      <c r="AD170" s="181">
        <v>0</v>
      </c>
      <c r="AE170" s="181">
        <v>0</v>
      </c>
      <c r="AF170" s="181">
        <v>0</v>
      </c>
      <c r="AG170" s="181">
        <v>0</v>
      </c>
      <c r="AH170" s="181">
        <v>0</v>
      </c>
      <c r="AI170" s="181">
        <v>0</v>
      </c>
      <c r="AJ170" s="181">
        <v>0</v>
      </c>
      <c r="AK170" s="181">
        <v>0</v>
      </c>
      <c r="AL170" s="181">
        <v>0</v>
      </c>
      <c r="AM170" s="181">
        <v>0</v>
      </c>
      <c r="AN170" s="181">
        <v>0</v>
      </c>
      <c r="AO170" s="181">
        <v>0</v>
      </c>
      <c r="AP170" s="182">
        <v>0</v>
      </c>
    </row>
    <row r="171" spans="1:42" s="183" customFormat="1" x14ac:dyDescent="0.25">
      <c r="A171" s="178" t="str">
        <f t="shared" si="64"/>
        <v>Tehachapi Segments 4-11</v>
      </c>
      <c r="B171" s="179" t="s">
        <v>36</v>
      </c>
      <c r="C171" s="287" t="str">
        <f t="shared" ref="C171:J171" si="74">C121</f>
        <v>CET-ET-TP-RN-644001</v>
      </c>
      <c r="D171" s="280" t="str">
        <f t="shared" si="74"/>
        <v>TRTP SEGMENT 9: Antelope - Construct new 500kV switchyard</v>
      </c>
      <c r="E171" s="288">
        <f t="shared" si="74"/>
        <v>6440</v>
      </c>
      <c r="F171" s="290" t="str">
        <f t="shared" si="74"/>
        <v>High</v>
      </c>
      <c r="G171" s="281">
        <f t="shared" si="74"/>
        <v>42156</v>
      </c>
      <c r="H171" s="290" t="str">
        <f t="shared" si="74"/>
        <v>TR-SUBINC</v>
      </c>
      <c r="I171" s="291">
        <f t="shared" si="74"/>
        <v>0</v>
      </c>
      <c r="J171" s="292">
        <f t="shared" si="74"/>
        <v>1</v>
      </c>
      <c r="K171" s="63"/>
      <c r="L171" s="293">
        <f t="shared" ref="L171:N173" si="75">L121</f>
        <v>743.98691999999983</v>
      </c>
      <c r="M171" s="64">
        <f t="shared" si="75"/>
        <v>0</v>
      </c>
      <c r="N171" s="64">
        <f t="shared" si="75"/>
        <v>0</v>
      </c>
      <c r="O171" s="64">
        <f t="shared" si="67"/>
        <v>743.98691999999983</v>
      </c>
      <c r="P171" s="64">
        <f t="shared" si="68"/>
        <v>0</v>
      </c>
      <c r="Q171" s="65">
        <f t="shared" si="69"/>
        <v>0</v>
      </c>
      <c r="R171" s="59"/>
      <c r="S171" s="180">
        <v>0</v>
      </c>
      <c r="T171" s="181">
        <v>0</v>
      </c>
      <c r="U171" s="181">
        <v>0</v>
      </c>
      <c r="V171" s="181">
        <v>0</v>
      </c>
      <c r="W171" s="181">
        <v>0</v>
      </c>
      <c r="X171" s="181">
        <v>0</v>
      </c>
      <c r="Y171" s="181">
        <v>0</v>
      </c>
      <c r="Z171" s="181">
        <v>0</v>
      </c>
      <c r="AA171" s="181">
        <v>0</v>
      </c>
      <c r="AB171" s="181">
        <v>0</v>
      </c>
      <c r="AC171" s="181">
        <v>0</v>
      </c>
      <c r="AD171" s="181">
        <v>0</v>
      </c>
      <c r="AE171" s="181">
        <v>0</v>
      </c>
      <c r="AF171" s="181">
        <v>0</v>
      </c>
      <c r="AG171" s="181">
        <v>0</v>
      </c>
      <c r="AH171" s="181">
        <v>0</v>
      </c>
      <c r="AI171" s="181">
        <v>0</v>
      </c>
      <c r="AJ171" s="181">
        <v>0</v>
      </c>
      <c r="AK171" s="181">
        <v>0</v>
      </c>
      <c r="AL171" s="181">
        <v>0</v>
      </c>
      <c r="AM171" s="181">
        <v>0</v>
      </c>
      <c r="AN171" s="181">
        <v>0</v>
      </c>
      <c r="AO171" s="181">
        <v>0</v>
      </c>
      <c r="AP171" s="182">
        <v>0</v>
      </c>
    </row>
    <row r="172" spans="1:42" s="183" customFormat="1" x14ac:dyDescent="0.25">
      <c r="A172" s="178" t="str">
        <f t="shared" si="64"/>
        <v>Tehachapi Segments 4-11</v>
      </c>
      <c r="B172" s="179" t="s">
        <v>36</v>
      </c>
      <c r="C172" s="287" t="str">
        <f t="shared" ref="C172:J172" si="76">C122</f>
        <v>CET-ET-TP-RN-644014</v>
      </c>
      <c r="D172" s="280" t="str">
        <f t="shared" si="76"/>
        <v>TRTP SEGMENT 9: Whirlwind - Construct new 500/220</v>
      </c>
      <c r="E172" s="288">
        <f t="shared" si="76"/>
        <v>6440</v>
      </c>
      <c r="F172" s="290" t="str">
        <f t="shared" si="76"/>
        <v>High</v>
      </c>
      <c r="G172" s="281">
        <f t="shared" si="76"/>
        <v>42156</v>
      </c>
      <c r="H172" s="290" t="str">
        <f t="shared" si="76"/>
        <v>TR-SUBINC</v>
      </c>
      <c r="I172" s="291">
        <f t="shared" si="76"/>
        <v>0</v>
      </c>
      <c r="J172" s="292">
        <f t="shared" si="76"/>
        <v>1</v>
      </c>
      <c r="K172" s="63"/>
      <c r="L172" s="293">
        <f t="shared" si="75"/>
        <v>798.67836999999827</v>
      </c>
      <c r="M172" s="64">
        <f t="shared" si="75"/>
        <v>0</v>
      </c>
      <c r="N172" s="64">
        <f t="shared" si="75"/>
        <v>0</v>
      </c>
      <c r="O172" s="64">
        <f t="shared" si="67"/>
        <v>798.67836999999827</v>
      </c>
      <c r="P172" s="64">
        <f t="shared" si="68"/>
        <v>0</v>
      </c>
      <c r="Q172" s="65">
        <f t="shared" si="69"/>
        <v>0</v>
      </c>
      <c r="R172" s="59"/>
      <c r="S172" s="180">
        <v>0</v>
      </c>
      <c r="T172" s="181">
        <v>0</v>
      </c>
      <c r="U172" s="181">
        <v>0</v>
      </c>
      <c r="V172" s="181">
        <v>0</v>
      </c>
      <c r="W172" s="181">
        <v>0</v>
      </c>
      <c r="X172" s="181">
        <v>0</v>
      </c>
      <c r="Y172" s="181">
        <v>0</v>
      </c>
      <c r="Z172" s="181">
        <v>0</v>
      </c>
      <c r="AA172" s="181">
        <v>0</v>
      </c>
      <c r="AB172" s="181">
        <v>0</v>
      </c>
      <c r="AC172" s="181">
        <v>0</v>
      </c>
      <c r="AD172" s="181">
        <v>0</v>
      </c>
      <c r="AE172" s="181">
        <v>0</v>
      </c>
      <c r="AF172" s="181">
        <v>0</v>
      </c>
      <c r="AG172" s="181">
        <v>0</v>
      </c>
      <c r="AH172" s="181">
        <v>0</v>
      </c>
      <c r="AI172" s="181">
        <v>0</v>
      </c>
      <c r="AJ172" s="181">
        <v>0</v>
      </c>
      <c r="AK172" s="181">
        <v>0</v>
      </c>
      <c r="AL172" s="181">
        <v>0</v>
      </c>
      <c r="AM172" s="181">
        <v>0</v>
      </c>
      <c r="AN172" s="181">
        <v>0</v>
      </c>
      <c r="AO172" s="181">
        <v>0</v>
      </c>
      <c r="AP172" s="182">
        <v>0</v>
      </c>
    </row>
    <row r="173" spans="1:42" s="183" customFormat="1" x14ac:dyDescent="0.25">
      <c r="A173" s="178" t="str">
        <f t="shared" si="64"/>
        <v>Tehachapi Segments 4-11</v>
      </c>
      <c r="B173" s="179" t="s">
        <v>36</v>
      </c>
      <c r="C173" s="287" t="str">
        <f t="shared" ref="C173:J173" si="77">C123</f>
        <v>CET-ET-TP-RN-644011</v>
      </c>
      <c r="D173" s="280" t="str">
        <f t="shared" si="77"/>
        <v xml:space="preserve">TRTP SEGMENT 9: Windhub - Construct 500kV breaker  </v>
      </c>
      <c r="E173" s="288">
        <f t="shared" si="77"/>
        <v>6440</v>
      </c>
      <c r="F173" s="290" t="str">
        <f t="shared" si="77"/>
        <v>High</v>
      </c>
      <c r="G173" s="281">
        <f t="shared" si="77"/>
        <v>42156</v>
      </c>
      <c r="H173" s="290" t="str">
        <f t="shared" si="77"/>
        <v>TR-SUBINC</v>
      </c>
      <c r="I173" s="291">
        <f t="shared" si="77"/>
        <v>0</v>
      </c>
      <c r="J173" s="292">
        <f t="shared" si="77"/>
        <v>1</v>
      </c>
      <c r="K173" s="63"/>
      <c r="L173" s="293">
        <f t="shared" si="75"/>
        <v>974.90323999999805</v>
      </c>
      <c r="M173" s="64">
        <f t="shared" si="75"/>
        <v>0</v>
      </c>
      <c r="N173" s="64">
        <f t="shared" si="75"/>
        <v>0</v>
      </c>
      <c r="O173" s="64">
        <f t="shared" si="67"/>
        <v>974.90323999999805</v>
      </c>
      <c r="P173" s="64">
        <f t="shared" si="68"/>
        <v>0</v>
      </c>
      <c r="Q173" s="65">
        <f t="shared" si="69"/>
        <v>0</v>
      </c>
      <c r="R173" s="59"/>
      <c r="S173" s="180">
        <v>0</v>
      </c>
      <c r="T173" s="181">
        <v>0</v>
      </c>
      <c r="U173" s="181">
        <v>0</v>
      </c>
      <c r="V173" s="181">
        <v>0</v>
      </c>
      <c r="W173" s="181">
        <v>0</v>
      </c>
      <c r="X173" s="181">
        <v>0</v>
      </c>
      <c r="Y173" s="181">
        <v>0</v>
      </c>
      <c r="Z173" s="181">
        <v>0</v>
      </c>
      <c r="AA173" s="181">
        <v>0</v>
      </c>
      <c r="AB173" s="181">
        <v>0</v>
      </c>
      <c r="AC173" s="181">
        <v>0</v>
      </c>
      <c r="AD173" s="181">
        <v>0</v>
      </c>
      <c r="AE173" s="181">
        <v>0</v>
      </c>
      <c r="AF173" s="181">
        <v>0</v>
      </c>
      <c r="AG173" s="181">
        <v>0</v>
      </c>
      <c r="AH173" s="181">
        <v>0</v>
      </c>
      <c r="AI173" s="181">
        <v>0</v>
      </c>
      <c r="AJ173" s="181">
        <v>0</v>
      </c>
      <c r="AK173" s="181">
        <v>0</v>
      </c>
      <c r="AL173" s="181">
        <v>0</v>
      </c>
      <c r="AM173" s="181">
        <v>0</v>
      </c>
      <c r="AN173" s="181">
        <v>0</v>
      </c>
      <c r="AO173" s="181">
        <v>0</v>
      </c>
      <c r="AP173" s="182">
        <v>0</v>
      </c>
    </row>
    <row r="174" spans="1:42" s="183" customFormat="1" x14ac:dyDescent="0.25">
      <c r="A174" s="178" t="str">
        <f t="shared" si="64"/>
        <v>Tehachapi Segments 4-11</v>
      </c>
      <c r="B174" s="179" t="s">
        <v>36</v>
      </c>
      <c r="C174" s="56" t="str">
        <f t="shared" ref="C174:J178" si="78">C124</f>
        <v>CET-ET-TP-RN-644100</v>
      </c>
      <c r="D174" s="66" t="str">
        <f t="shared" si="78"/>
        <v xml:space="preserve">I: TRTP 10-1: Whirlwind-Windhub 500kV: Construct approx. 17 miles of new single-circuit 500kV T/L between Whirlwind and Windhub Substations. </v>
      </c>
      <c r="E174" s="58" t="str">
        <f t="shared" si="78"/>
        <v>6441</v>
      </c>
      <c r="F174" s="60" t="str">
        <f t="shared" si="78"/>
        <v>High</v>
      </c>
      <c r="G174" s="59">
        <f t="shared" si="78"/>
        <v>41000</v>
      </c>
      <c r="H174" s="60" t="str">
        <f t="shared" si="78"/>
        <v>TR-LINEINC</v>
      </c>
      <c r="I174" s="61">
        <f t="shared" si="78"/>
        <v>0</v>
      </c>
      <c r="J174" s="62">
        <f t="shared" si="78"/>
        <v>1</v>
      </c>
      <c r="K174" s="63"/>
      <c r="L174" s="284">
        <f t="shared" ref="L174:N178" si="79">L124</f>
        <v>0</v>
      </c>
      <c r="M174" s="64">
        <f t="shared" si="79"/>
        <v>2082.58862</v>
      </c>
      <c r="N174" s="64">
        <f t="shared" si="79"/>
        <v>0</v>
      </c>
      <c r="O174" s="64">
        <f t="shared" si="67"/>
        <v>0</v>
      </c>
      <c r="P174" s="64">
        <f t="shared" si="68"/>
        <v>2082.58862</v>
      </c>
      <c r="Q174" s="65">
        <f t="shared" si="69"/>
        <v>0</v>
      </c>
      <c r="R174" s="59"/>
      <c r="S174" s="180">
        <v>-27.2881</v>
      </c>
      <c r="T174" s="181">
        <v>4.57911</v>
      </c>
      <c r="U174" s="181">
        <v>5.2976099999999997</v>
      </c>
      <c r="V174" s="181">
        <v>0</v>
      </c>
      <c r="W174" s="181">
        <v>0</v>
      </c>
      <c r="X174" s="181">
        <v>0</v>
      </c>
      <c r="Y174" s="181">
        <v>0</v>
      </c>
      <c r="Z174" s="181">
        <v>0</v>
      </c>
      <c r="AA174" s="181">
        <v>2100</v>
      </c>
      <c r="AB174" s="181">
        <v>0</v>
      </c>
      <c r="AC174" s="181">
        <v>0</v>
      </c>
      <c r="AD174" s="181">
        <v>0</v>
      </c>
      <c r="AE174" s="181">
        <v>0</v>
      </c>
      <c r="AF174" s="181">
        <v>0</v>
      </c>
      <c r="AG174" s="181">
        <v>0</v>
      </c>
      <c r="AH174" s="181">
        <v>0</v>
      </c>
      <c r="AI174" s="181">
        <v>0</v>
      </c>
      <c r="AJ174" s="181">
        <v>0</v>
      </c>
      <c r="AK174" s="181">
        <v>0</v>
      </c>
      <c r="AL174" s="181">
        <v>0</v>
      </c>
      <c r="AM174" s="181">
        <v>0</v>
      </c>
      <c r="AN174" s="181">
        <v>0</v>
      </c>
      <c r="AO174" s="181">
        <v>0</v>
      </c>
      <c r="AP174" s="182">
        <v>0</v>
      </c>
    </row>
    <row r="175" spans="1:42" s="183" customFormat="1" x14ac:dyDescent="0.25">
      <c r="A175" s="178" t="str">
        <f t="shared" si="64"/>
        <v>Tehachapi Segments 4-11</v>
      </c>
      <c r="B175" s="179" t="s">
        <v>36</v>
      </c>
      <c r="C175" s="56" t="str">
        <f t="shared" si="78"/>
        <v>CET-ET-TP-RN-644203</v>
      </c>
      <c r="D175" s="66" t="str">
        <f t="shared" si="78"/>
        <v xml:space="preserve">I: TRTP 11-1: Mesa-Vincent #1 500kV: Construct 18.6 miles Mesa-Vincent #1 500kV T/L. Construct approx. 18 miles of new single-circuit 500kV T/L from Vincent SS to the Gould SS area. </v>
      </c>
      <c r="E175" s="58" t="str">
        <f t="shared" si="78"/>
        <v>6442</v>
      </c>
      <c r="F175" s="60" t="str">
        <f t="shared" si="78"/>
        <v>High</v>
      </c>
      <c r="G175" s="59">
        <f t="shared" si="78"/>
        <v>42125</v>
      </c>
      <c r="H175" s="60" t="str">
        <f t="shared" si="78"/>
        <v>TR-LINEINC</v>
      </c>
      <c r="I175" s="61">
        <f t="shared" si="78"/>
        <v>0</v>
      </c>
      <c r="J175" s="62">
        <f t="shared" si="78"/>
        <v>1</v>
      </c>
      <c r="K175" s="63"/>
      <c r="L175" s="234">
        <f t="shared" si="79"/>
        <v>191726.56419</v>
      </c>
      <c r="M175" s="64">
        <f t="shared" si="79"/>
        <v>61031.426053000017</v>
      </c>
      <c r="N175" s="64">
        <f t="shared" si="79"/>
        <v>11837.111000000003</v>
      </c>
      <c r="O175" s="64">
        <f t="shared" si="67"/>
        <v>191726.56419</v>
      </c>
      <c r="P175" s="64">
        <f t="shared" si="68"/>
        <v>61031.426053000017</v>
      </c>
      <c r="Q175" s="65">
        <f t="shared" si="69"/>
        <v>11837.111000000003</v>
      </c>
      <c r="R175" s="59"/>
      <c r="S175" s="180">
        <v>-1073.0951200000002</v>
      </c>
      <c r="T175" s="181">
        <v>21733.718089999998</v>
      </c>
      <c r="U175" s="181">
        <v>6723.9063599999999</v>
      </c>
      <c r="V175" s="181">
        <v>2226.98</v>
      </c>
      <c r="W175" s="181">
        <v>5561.7</v>
      </c>
      <c r="X175" s="181">
        <v>2447.75</v>
      </c>
      <c r="Y175" s="181">
        <v>2074.098</v>
      </c>
      <c r="Z175" s="181">
        <v>1579.75</v>
      </c>
      <c r="AA175" s="181">
        <v>1579.75</v>
      </c>
      <c r="AB175" s="181">
        <v>1579.75</v>
      </c>
      <c r="AC175" s="181">
        <v>1579.75</v>
      </c>
      <c r="AD175" s="181">
        <v>15017.36872300002</v>
      </c>
      <c r="AE175" s="181">
        <v>986.42591666666692</v>
      </c>
      <c r="AF175" s="181">
        <v>986.42591666666692</v>
      </c>
      <c r="AG175" s="181">
        <v>986.42591666666692</v>
      </c>
      <c r="AH175" s="181">
        <v>986.42591666666692</v>
      </c>
      <c r="AI175" s="181">
        <v>986.42591666666692</v>
      </c>
      <c r="AJ175" s="181">
        <v>986.42591666666692</v>
      </c>
      <c r="AK175" s="181">
        <v>986.42591666666692</v>
      </c>
      <c r="AL175" s="181">
        <v>986.42591666666692</v>
      </c>
      <c r="AM175" s="181">
        <v>986.42591666666692</v>
      </c>
      <c r="AN175" s="181">
        <v>986.42591666666692</v>
      </c>
      <c r="AO175" s="181">
        <v>986.42591666666692</v>
      </c>
      <c r="AP175" s="182">
        <v>986.42591666666692</v>
      </c>
    </row>
    <row r="176" spans="1:42" s="183" customFormat="1" x14ac:dyDescent="0.25">
      <c r="A176" s="178" t="str">
        <f t="shared" si="64"/>
        <v>Tehachapi Segments 4-11</v>
      </c>
      <c r="B176" s="179" t="s">
        <v>36</v>
      </c>
      <c r="C176" s="56" t="str">
        <f t="shared" si="78"/>
        <v>CET-ET-TP-RN-644202</v>
      </c>
      <c r="D176" s="66" t="str">
        <f t="shared" si="78"/>
        <v>I: TRTP 11-2: Mesa-Gould 220kV: String approx. 18 miles of new 220kV conductor on vacant position of existing 220kV double-circuit tower line between Mesa and Gould area.</v>
      </c>
      <c r="E176" s="58" t="str">
        <f t="shared" si="78"/>
        <v>6442</v>
      </c>
      <c r="F176" s="60" t="str">
        <f t="shared" si="78"/>
        <v>High</v>
      </c>
      <c r="G176" s="59">
        <f t="shared" si="78"/>
        <v>42125</v>
      </c>
      <c r="H176" s="60" t="str">
        <f t="shared" si="78"/>
        <v>TR-LINEINC</v>
      </c>
      <c r="I176" s="61">
        <f t="shared" si="78"/>
        <v>0</v>
      </c>
      <c r="J176" s="62">
        <f t="shared" si="78"/>
        <v>1</v>
      </c>
      <c r="K176" s="63"/>
      <c r="L176" s="234">
        <f t="shared" si="79"/>
        <v>18015.816370000004</v>
      </c>
      <c r="M176" s="64">
        <f t="shared" si="79"/>
        <v>145.92166</v>
      </c>
      <c r="N176" s="64">
        <f t="shared" si="79"/>
        <v>0</v>
      </c>
      <c r="O176" s="64">
        <f t="shared" si="67"/>
        <v>18015.816370000004</v>
      </c>
      <c r="P176" s="64">
        <f t="shared" si="68"/>
        <v>145.92166</v>
      </c>
      <c r="Q176" s="65">
        <f t="shared" si="69"/>
        <v>0</v>
      </c>
      <c r="R176" s="59"/>
      <c r="S176" s="180">
        <v>-5.6103199999999998</v>
      </c>
      <c r="T176" s="181">
        <v>164.32477</v>
      </c>
      <c r="U176" s="181">
        <v>-12.79279</v>
      </c>
      <c r="V176" s="181">
        <v>0</v>
      </c>
      <c r="W176" s="181">
        <v>0</v>
      </c>
      <c r="X176" s="181">
        <v>0</v>
      </c>
      <c r="Y176" s="181">
        <v>0</v>
      </c>
      <c r="Z176" s="181">
        <v>0</v>
      </c>
      <c r="AA176" s="181">
        <v>0</v>
      </c>
      <c r="AB176" s="181">
        <v>0</v>
      </c>
      <c r="AC176" s="181">
        <v>0</v>
      </c>
      <c r="AD176" s="181">
        <v>0</v>
      </c>
      <c r="AE176" s="181">
        <v>0</v>
      </c>
      <c r="AF176" s="181">
        <v>0</v>
      </c>
      <c r="AG176" s="181">
        <v>0</v>
      </c>
      <c r="AH176" s="181">
        <v>0</v>
      </c>
      <c r="AI176" s="181">
        <v>0</v>
      </c>
      <c r="AJ176" s="181">
        <v>0</v>
      </c>
      <c r="AK176" s="181">
        <v>0</v>
      </c>
      <c r="AL176" s="181">
        <v>0</v>
      </c>
      <c r="AM176" s="181">
        <v>0</v>
      </c>
      <c r="AN176" s="181">
        <v>0</v>
      </c>
      <c r="AO176" s="181">
        <v>0</v>
      </c>
      <c r="AP176" s="182">
        <v>0</v>
      </c>
    </row>
    <row r="177" spans="1:43" s="183" customFormat="1" x14ac:dyDescent="0.25">
      <c r="A177" s="178" t="str">
        <f t="shared" si="64"/>
        <v>Tehachapi Segments 4-11</v>
      </c>
      <c r="B177" s="179" t="s">
        <v>36</v>
      </c>
      <c r="C177" s="56" t="str">
        <f t="shared" si="78"/>
        <v>CET-ET-TP-RN-644200</v>
      </c>
      <c r="D177" s="66" t="str">
        <f t="shared" si="78"/>
        <v xml:space="preserve">I: TRTP 11-4: Eagle Rock-Pardee 230kV: Construct 2 miles of single-circuit T/L to terminate Eagle Rock-Pardee 230kV T/L into Vincent. Construct approx. 0.2 mile of single-circuit T/L to connect Eagle Rock-Pardee T/L into Gould SS. </v>
      </c>
      <c r="E177" s="58" t="str">
        <f t="shared" si="78"/>
        <v>6442</v>
      </c>
      <c r="F177" s="60" t="str">
        <f t="shared" si="78"/>
        <v>High</v>
      </c>
      <c r="G177" s="59">
        <f t="shared" si="78"/>
        <v>42125</v>
      </c>
      <c r="H177" s="60" t="str">
        <f t="shared" si="78"/>
        <v>TR-LINEINC</v>
      </c>
      <c r="I177" s="61">
        <f t="shared" si="78"/>
        <v>0</v>
      </c>
      <c r="J177" s="62">
        <f t="shared" si="78"/>
        <v>1</v>
      </c>
      <c r="K177" s="63"/>
      <c r="L177" s="234">
        <f t="shared" si="79"/>
        <v>3160.5321899999994</v>
      </c>
      <c r="M177" s="64">
        <f t="shared" si="79"/>
        <v>-1.2871499999999996</v>
      </c>
      <c r="N177" s="64">
        <f t="shared" si="79"/>
        <v>0</v>
      </c>
      <c r="O177" s="64">
        <f t="shared" si="67"/>
        <v>3160.5321899999994</v>
      </c>
      <c r="P177" s="64">
        <f t="shared" si="68"/>
        <v>-1.2871499999999996</v>
      </c>
      <c r="Q177" s="65">
        <f t="shared" si="69"/>
        <v>0</v>
      </c>
      <c r="R177" s="59"/>
      <c r="S177" s="180">
        <v>-1.6109500000000001</v>
      </c>
      <c r="T177" s="181">
        <v>5.3367899999999997</v>
      </c>
      <c r="U177" s="181">
        <v>-5.0129899999999994</v>
      </c>
      <c r="V177" s="181">
        <v>0</v>
      </c>
      <c r="W177" s="181">
        <v>0</v>
      </c>
      <c r="X177" s="181">
        <v>0</v>
      </c>
      <c r="Y177" s="181">
        <v>0</v>
      </c>
      <c r="Z177" s="181">
        <v>0</v>
      </c>
      <c r="AA177" s="181">
        <v>0</v>
      </c>
      <c r="AB177" s="181">
        <v>0</v>
      </c>
      <c r="AC177" s="181">
        <v>0</v>
      </c>
      <c r="AD177" s="181">
        <v>0</v>
      </c>
      <c r="AE177" s="181">
        <v>0</v>
      </c>
      <c r="AF177" s="181">
        <v>0</v>
      </c>
      <c r="AG177" s="181">
        <v>0</v>
      </c>
      <c r="AH177" s="181">
        <v>0</v>
      </c>
      <c r="AI177" s="181">
        <v>0</v>
      </c>
      <c r="AJ177" s="181">
        <v>0</v>
      </c>
      <c r="AK177" s="181">
        <v>0</v>
      </c>
      <c r="AL177" s="181">
        <v>0</v>
      </c>
      <c r="AM177" s="181">
        <v>0</v>
      </c>
      <c r="AN177" s="181">
        <v>0</v>
      </c>
      <c r="AO177" s="181">
        <v>0</v>
      </c>
      <c r="AP177" s="182">
        <v>0</v>
      </c>
    </row>
    <row r="178" spans="1:43" s="183" customFormat="1" ht="15.75" thickBot="1" x14ac:dyDescent="0.3">
      <c r="A178" s="178" t="str">
        <f t="shared" si="64"/>
        <v>Tehachapi Segments 4-11</v>
      </c>
      <c r="B178" s="179" t="s">
        <v>36</v>
      </c>
      <c r="C178" s="56" t="str">
        <f t="shared" si="78"/>
        <v>CET-RP-TP-RN-644200</v>
      </c>
      <c r="D178" s="66" t="str">
        <f t="shared" si="78"/>
        <v xml:space="preserve">I: TRTP 11-9: Land Acquisition. </v>
      </c>
      <c r="E178" s="58" t="str">
        <f t="shared" si="78"/>
        <v>6442</v>
      </c>
      <c r="F178" s="60" t="str">
        <f t="shared" si="78"/>
        <v>High</v>
      </c>
      <c r="G178" s="59">
        <f t="shared" si="78"/>
        <v>42125</v>
      </c>
      <c r="H178" s="60" t="str">
        <f t="shared" si="78"/>
        <v>TR-LINEINC</v>
      </c>
      <c r="I178" s="61">
        <f t="shared" si="78"/>
        <v>0</v>
      </c>
      <c r="J178" s="62">
        <f t="shared" si="78"/>
        <v>1</v>
      </c>
      <c r="K178" s="63"/>
      <c r="L178" s="234">
        <f t="shared" si="79"/>
        <v>0</v>
      </c>
      <c r="M178" s="64">
        <f t="shared" si="79"/>
        <v>0</v>
      </c>
      <c r="N178" s="64">
        <f t="shared" si="79"/>
        <v>0</v>
      </c>
      <c r="O178" s="64">
        <f t="shared" si="67"/>
        <v>0</v>
      </c>
      <c r="P178" s="64">
        <f t="shared" si="68"/>
        <v>0</v>
      </c>
      <c r="Q178" s="65">
        <f t="shared" si="69"/>
        <v>0</v>
      </c>
      <c r="R178" s="59"/>
      <c r="S178" s="257">
        <v>0</v>
      </c>
      <c r="T178" s="258">
        <v>0</v>
      </c>
      <c r="U178" s="258">
        <v>0</v>
      </c>
      <c r="V178" s="258">
        <v>0</v>
      </c>
      <c r="W178" s="258">
        <v>0</v>
      </c>
      <c r="X178" s="258">
        <v>0</v>
      </c>
      <c r="Y178" s="258">
        <v>0</v>
      </c>
      <c r="Z178" s="258">
        <v>0</v>
      </c>
      <c r="AA178" s="258">
        <v>0</v>
      </c>
      <c r="AB178" s="258">
        <v>0</v>
      </c>
      <c r="AC178" s="258">
        <v>0</v>
      </c>
      <c r="AD178" s="258">
        <v>0</v>
      </c>
      <c r="AE178" s="258">
        <v>0</v>
      </c>
      <c r="AF178" s="258">
        <v>0</v>
      </c>
      <c r="AG178" s="258">
        <v>0</v>
      </c>
      <c r="AH178" s="258">
        <v>0</v>
      </c>
      <c r="AI178" s="258">
        <v>0</v>
      </c>
      <c r="AJ178" s="258">
        <v>0</v>
      </c>
      <c r="AK178" s="258">
        <v>0</v>
      </c>
      <c r="AL178" s="258">
        <v>0</v>
      </c>
      <c r="AM178" s="258">
        <v>0</v>
      </c>
      <c r="AN178" s="258">
        <v>0</v>
      </c>
      <c r="AO178" s="258">
        <v>0</v>
      </c>
      <c r="AP178" s="259">
        <v>0</v>
      </c>
    </row>
    <row r="179" spans="1:43" ht="15.75" thickBot="1" x14ac:dyDescent="0.3">
      <c r="C179" s="226" t="s">
        <v>37</v>
      </c>
      <c r="D179" s="227"/>
      <c r="E179" s="227"/>
      <c r="F179" s="227"/>
      <c r="G179" s="227"/>
      <c r="H179" s="227"/>
      <c r="I179" s="227"/>
      <c r="J179" s="228"/>
      <c r="K179" s="63"/>
      <c r="L179" s="125">
        <f t="shared" ref="L179:Q179" si="80">SUM(L138:L178)</f>
        <v>679657.09700000007</v>
      </c>
      <c r="M179" s="126">
        <f t="shared" si="80"/>
        <v>314341.67835943005</v>
      </c>
      <c r="N179" s="126">
        <f t="shared" si="80"/>
        <v>113370.28904999996</v>
      </c>
      <c r="O179" s="126">
        <f t="shared" si="80"/>
        <v>679657.09700000007</v>
      </c>
      <c r="P179" s="126">
        <f t="shared" si="80"/>
        <v>314341.67835943005</v>
      </c>
      <c r="Q179" s="127">
        <f t="shared" si="80"/>
        <v>113370.28904999996</v>
      </c>
      <c r="R179" s="58"/>
      <c r="S179" s="208">
        <f t="shared" ref="S179:AP179" si="81">SUM(S138:S178)</f>
        <v>25624.25299999999</v>
      </c>
      <c r="T179" s="209">
        <f t="shared" si="81"/>
        <v>34237.454180000001</v>
      </c>
      <c r="U179" s="209">
        <f t="shared" si="81"/>
        <v>16627.795189999997</v>
      </c>
      <c r="V179" s="209">
        <f t="shared" si="81"/>
        <v>18584.127020200001</v>
      </c>
      <c r="W179" s="209">
        <f t="shared" si="81"/>
        <v>22758.2370386</v>
      </c>
      <c r="X179" s="209">
        <f t="shared" si="81"/>
        <v>38328.213834800001</v>
      </c>
      <c r="Y179" s="209">
        <f t="shared" si="81"/>
        <v>27130.978476800003</v>
      </c>
      <c r="Z179" s="209">
        <f t="shared" si="81"/>
        <v>29621.990289200003</v>
      </c>
      <c r="AA179" s="209">
        <f t="shared" si="81"/>
        <v>28019.902499999997</v>
      </c>
      <c r="AB179" s="209">
        <f t="shared" si="81"/>
        <v>19735.734999999997</v>
      </c>
      <c r="AC179" s="209">
        <f t="shared" si="81"/>
        <v>16392.9575</v>
      </c>
      <c r="AD179" s="210">
        <f t="shared" si="81"/>
        <v>37280.034329830036</v>
      </c>
      <c r="AE179" s="209">
        <f t="shared" si="81"/>
        <v>14015.314083333335</v>
      </c>
      <c r="AF179" s="209">
        <f t="shared" si="81"/>
        <v>13854.314083333333</v>
      </c>
      <c r="AG179" s="209">
        <f t="shared" si="81"/>
        <v>14244.367088333333</v>
      </c>
      <c r="AH179" s="209">
        <f t="shared" si="81"/>
        <v>14245.367088333333</v>
      </c>
      <c r="AI179" s="209">
        <f t="shared" si="81"/>
        <v>9661.8370883333318</v>
      </c>
      <c r="AJ179" s="209">
        <f t="shared" si="81"/>
        <v>9657.2370883333315</v>
      </c>
      <c r="AK179" s="209">
        <f t="shared" si="81"/>
        <v>9453.8370883333318</v>
      </c>
      <c r="AL179" s="209">
        <f t="shared" si="81"/>
        <v>9432.8670883333325</v>
      </c>
      <c r="AM179" s="209">
        <f t="shared" si="81"/>
        <v>7236.8670883333325</v>
      </c>
      <c r="AN179" s="209">
        <f t="shared" si="81"/>
        <v>3898.4270883333338</v>
      </c>
      <c r="AO179" s="209">
        <f t="shared" si="81"/>
        <v>3829.4270883333338</v>
      </c>
      <c r="AP179" s="209">
        <f t="shared" si="81"/>
        <v>3840.4270883333338</v>
      </c>
      <c r="AQ179" s="196"/>
    </row>
    <row r="180" spans="1:43" s="118" customFormat="1" ht="15.75" thickTop="1" x14ac:dyDescent="0.25">
      <c r="A180" s="187"/>
      <c r="B180" s="188"/>
      <c r="C180" s="173"/>
      <c r="D180" s="172"/>
      <c r="E180" s="173"/>
      <c r="F180" s="106"/>
      <c r="G180" s="106"/>
      <c r="H180" s="105"/>
      <c r="I180" s="106"/>
      <c r="J180" s="106"/>
      <c r="K180" s="63"/>
      <c r="L180" s="105"/>
      <c r="M180" s="105"/>
      <c r="N180" s="105"/>
      <c r="O180" s="105"/>
      <c r="P180" s="105"/>
      <c r="Q180" s="107"/>
      <c r="R180" s="58"/>
      <c r="S180" s="212"/>
      <c r="T180" s="212"/>
      <c r="U180" s="212"/>
      <c r="V180" s="212"/>
      <c r="W180" s="212"/>
      <c r="X180" s="212"/>
      <c r="Y180" s="212"/>
      <c r="Z180" s="212"/>
      <c r="AA180" s="212"/>
      <c r="AB180" s="212"/>
      <c r="AC180" s="212"/>
      <c r="AD180" s="212"/>
      <c r="AE180" s="212"/>
      <c r="AF180" s="212"/>
      <c r="AG180" s="212"/>
      <c r="AH180" s="212"/>
      <c r="AI180" s="212"/>
      <c r="AJ180" s="212"/>
      <c r="AK180" s="212"/>
      <c r="AL180" s="212"/>
      <c r="AM180" s="212"/>
      <c r="AN180" s="212"/>
      <c r="AO180" s="212"/>
      <c r="AP180" s="212"/>
      <c r="AQ180" s="183"/>
    </row>
    <row r="181" spans="1:43" x14ac:dyDescent="0.25">
      <c r="C181" s="67"/>
      <c r="D181" s="68"/>
      <c r="E181" s="67"/>
      <c r="F181" s="273"/>
      <c r="G181" s="273"/>
      <c r="H181" s="273"/>
      <c r="I181" s="273"/>
      <c r="J181" s="273"/>
      <c r="K181" s="63"/>
      <c r="L181" s="129"/>
      <c r="M181" s="129"/>
      <c r="N181" s="129"/>
      <c r="O181" s="129"/>
      <c r="P181" s="129"/>
      <c r="Q181" s="129"/>
      <c r="R181" s="58"/>
      <c r="S181" s="193"/>
      <c r="T181" s="193"/>
      <c r="U181" s="193"/>
      <c r="V181" s="193"/>
      <c r="W181" s="193"/>
      <c r="X181" s="193"/>
      <c r="Y181" s="193"/>
      <c r="Z181" s="193"/>
      <c r="AA181" s="193"/>
      <c r="AB181" s="193"/>
      <c r="AC181" s="193"/>
      <c r="AD181" s="193"/>
      <c r="AE181" s="193"/>
      <c r="AF181" s="193"/>
      <c r="AG181" s="193"/>
      <c r="AH181" s="193"/>
      <c r="AI181" s="193"/>
      <c r="AJ181" s="193"/>
      <c r="AK181" s="193"/>
      <c r="AL181" s="193"/>
      <c r="AM181" s="193"/>
      <c r="AN181" s="193"/>
      <c r="AO181" s="193"/>
      <c r="AP181" s="193"/>
      <c r="AQ181" s="183"/>
    </row>
    <row r="182" spans="1:43" x14ac:dyDescent="0.25">
      <c r="C182" s="67"/>
      <c r="D182" s="68"/>
      <c r="E182" s="67"/>
      <c r="F182" s="273"/>
      <c r="G182" s="273"/>
      <c r="H182" s="273"/>
      <c r="I182" s="273"/>
      <c r="J182" s="273"/>
      <c r="K182" s="63"/>
      <c r="L182" s="129"/>
      <c r="M182" s="129"/>
      <c r="N182" s="129"/>
      <c r="O182" s="129"/>
      <c r="P182" s="129"/>
      <c r="Q182" s="129"/>
      <c r="R182" s="58"/>
      <c r="S182" s="193"/>
      <c r="T182" s="193"/>
      <c r="U182" s="193"/>
      <c r="V182" s="193"/>
      <c r="W182" s="193"/>
      <c r="X182" s="193"/>
      <c r="Y182" s="193"/>
      <c r="Z182" s="193"/>
      <c r="AA182" s="193"/>
      <c r="AB182" s="193"/>
      <c r="AC182" s="193"/>
      <c r="AD182" s="193"/>
      <c r="AE182" s="193"/>
      <c r="AF182" s="193"/>
      <c r="AG182" s="193"/>
      <c r="AH182" s="193"/>
      <c r="AI182" s="193"/>
      <c r="AJ182" s="193"/>
      <c r="AK182" s="193"/>
      <c r="AL182" s="193"/>
      <c r="AM182" s="193"/>
      <c r="AN182" s="193"/>
      <c r="AO182" s="193"/>
      <c r="AP182" s="193"/>
      <c r="AQ182" s="183"/>
    </row>
    <row r="183" spans="1:43" ht="18.75" x14ac:dyDescent="0.25">
      <c r="C183" s="275" t="s">
        <v>40</v>
      </c>
      <c r="D183" s="276"/>
      <c r="E183" s="276"/>
      <c r="F183" s="277"/>
      <c r="G183" s="277"/>
      <c r="H183" s="277"/>
      <c r="I183" s="277"/>
      <c r="J183" s="277"/>
      <c r="K183" s="63"/>
      <c r="L183" s="129"/>
      <c r="R183" s="58"/>
      <c r="AQ183" s="183"/>
    </row>
    <row r="184" spans="1:43" x14ac:dyDescent="0.25">
      <c r="K184" s="63"/>
      <c r="L184" s="129"/>
      <c r="R184" s="58"/>
      <c r="S184" s="193"/>
      <c r="T184" s="193"/>
      <c r="U184" s="193"/>
      <c r="V184" s="193"/>
      <c r="AQ184" s="183"/>
    </row>
    <row r="185" spans="1:43" x14ac:dyDescent="0.25">
      <c r="C185" s="176" t="s">
        <v>31</v>
      </c>
      <c r="K185" s="63"/>
      <c r="R185" s="58"/>
      <c r="S185" s="193"/>
      <c r="T185" s="193"/>
      <c r="U185" s="193"/>
      <c r="V185" s="193"/>
      <c r="AQ185" s="183"/>
    </row>
    <row r="186" spans="1:43" ht="15" customHeight="1" x14ac:dyDescent="0.25">
      <c r="C186" s="225" t="s">
        <v>32</v>
      </c>
      <c r="D186" s="225"/>
      <c r="E186" s="225"/>
      <c r="F186" s="225"/>
      <c r="G186" s="225"/>
      <c r="H186" s="225"/>
      <c r="I186" s="225"/>
      <c r="J186" s="225"/>
      <c r="K186" s="63"/>
      <c r="R186" s="58"/>
      <c r="S186" s="193"/>
      <c r="T186" s="193"/>
      <c r="U186" s="193"/>
      <c r="V186" s="193"/>
      <c r="AQ186" s="183"/>
    </row>
    <row r="187" spans="1:43" ht="15.75" thickBot="1" x14ac:dyDescent="0.3">
      <c r="K187" s="63"/>
      <c r="R187" s="58"/>
      <c r="AQ187" s="183"/>
    </row>
    <row r="188" spans="1:43" s="117" customFormat="1" ht="30.75" thickBot="1" x14ac:dyDescent="0.3">
      <c r="A188" s="169"/>
      <c r="B188" s="170"/>
      <c r="C188" s="51" t="s">
        <v>15</v>
      </c>
      <c r="D188" s="52" t="s">
        <v>16</v>
      </c>
      <c r="E188" s="53" t="s">
        <v>17</v>
      </c>
      <c r="F188" s="54" t="s">
        <v>18</v>
      </c>
      <c r="G188" s="45" t="s">
        <v>19</v>
      </c>
      <c r="H188" s="45" t="s">
        <v>20</v>
      </c>
      <c r="I188" s="45" t="s">
        <v>21</v>
      </c>
      <c r="J188" s="46" t="s">
        <v>22</v>
      </c>
      <c r="K188" s="63"/>
      <c r="L188" s="44" t="str">
        <f t="shared" ref="L188:Q188" si="82">L$11</f>
        <v>2014 CWIP</v>
      </c>
      <c r="M188" s="45" t="str">
        <f t="shared" si="82"/>
        <v>2015 Total Expenditures</v>
      </c>
      <c r="N188" s="45" t="str">
        <f t="shared" si="82"/>
        <v>2016 Total Expenditures</v>
      </c>
      <c r="O188" s="45" t="str">
        <f t="shared" si="82"/>
        <v>2014 ISO CWIP Less Collectible</v>
      </c>
      <c r="P188" s="45" t="str">
        <f t="shared" si="82"/>
        <v>2015 ISO Expenditures Less Collectible</v>
      </c>
      <c r="Q188" s="46" t="str">
        <f t="shared" si="82"/>
        <v>2016 ISO Expenditures Less Collectible</v>
      </c>
      <c r="R188" s="58"/>
      <c r="S188" s="69">
        <f>$D$3</f>
        <v>42005</v>
      </c>
      <c r="T188" s="54">
        <f t="shared" ref="T188:AL188" si="83">DATE(YEAR(S188),MONTH(S188)+1,DAY(S188))</f>
        <v>42036</v>
      </c>
      <c r="U188" s="54">
        <f t="shared" si="83"/>
        <v>42064</v>
      </c>
      <c r="V188" s="54">
        <f t="shared" si="83"/>
        <v>42095</v>
      </c>
      <c r="W188" s="54">
        <f t="shared" si="83"/>
        <v>42125</v>
      </c>
      <c r="X188" s="54">
        <f t="shared" si="83"/>
        <v>42156</v>
      </c>
      <c r="Y188" s="54">
        <f t="shared" si="83"/>
        <v>42186</v>
      </c>
      <c r="Z188" s="54">
        <f t="shared" si="83"/>
        <v>42217</v>
      </c>
      <c r="AA188" s="54">
        <f t="shared" si="83"/>
        <v>42248</v>
      </c>
      <c r="AB188" s="54">
        <f t="shared" si="83"/>
        <v>42278</v>
      </c>
      <c r="AC188" s="54">
        <f t="shared" si="83"/>
        <v>42309</v>
      </c>
      <c r="AD188" s="177">
        <f t="shared" si="83"/>
        <v>42339</v>
      </c>
      <c r="AE188" s="54">
        <f>DATE(YEAR(AD188),MONTH(AD188)+1,DAY(AD188))</f>
        <v>42370</v>
      </c>
      <c r="AF188" s="54">
        <f t="shared" si="83"/>
        <v>42401</v>
      </c>
      <c r="AG188" s="54">
        <f t="shared" si="83"/>
        <v>42430</v>
      </c>
      <c r="AH188" s="54">
        <f t="shared" si="83"/>
        <v>42461</v>
      </c>
      <c r="AI188" s="54">
        <f t="shared" si="83"/>
        <v>42491</v>
      </c>
      <c r="AJ188" s="54">
        <f t="shared" si="83"/>
        <v>42522</v>
      </c>
      <c r="AK188" s="54">
        <f t="shared" si="83"/>
        <v>42552</v>
      </c>
      <c r="AL188" s="54">
        <f t="shared" si="83"/>
        <v>42583</v>
      </c>
      <c r="AM188" s="54">
        <f>DATE(YEAR(AL188),MONTH(AL188)+1,DAY(AL188))</f>
        <v>42614</v>
      </c>
      <c r="AN188" s="54">
        <f>DATE(YEAR(AM188),MONTH(AM188)+1,DAY(AM188))</f>
        <v>42644</v>
      </c>
      <c r="AO188" s="54">
        <f>DATE(YEAR(AN188),MONTH(AN188)+1,DAY(AN188))</f>
        <v>42675</v>
      </c>
      <c r="AP188" s="177">
        <f>DATE(YEAR(AO188),MONTH(AO188)+1,DAY(AO188))</f>
        <v>42705</v>
      </c>
      <c r="AQ188" s="183"/>
    </row>
    <row r="189" spans="1:43" s="211" customFormat="1" x14ac:dyDescent="0.25">
      <c r="A189" s="198" t="str">
        <f>+$C$183</f>
        <v>Red Bluff Substation</v>
      </c>
      <c r="B189" s="179" t="s">
        <v>33</v>
      </c>
      <c r="C189" s="167" t="s">
        <v>227</v>
      </c>
      <c r="D189" s="157" t="s">
        <v>228</v>
      </c>
      <c r="E189" s="168" t="s">
        <v>261</v>
      </c>
      <c r="F189" s="159" t="s">
        <v>70</v>
      </c>
      <c r="G189" s="160">
        <v>41699</v>
      </c>
      <c r="H189" s="70" t="s">
        <v>288</v>
      </c>
      <c r="I189" s="161">
        <v>0</v>
      </c>
      <c r="J189" s="162">
        <v>1</v>
      </c>
      <c r="K189" s="63"/>
      <c r="L189" s="233">
        <v>0</v>
      </c>
      <c r="M189" s="64">
        <f>SUM($S203:$AD203)</f>
        <v>2.8774199999999999</v>
      </c>
      <c r="N189" s="64">
        <f>SUM($AE203:$AP203)</f>
        <v>0</v>
      </c>
      <c r="O189" s="72">
        <f t="shared" ref="O189:O193" si="84">$L189*$J189*(1-$I189)</f>
        <v>0</v>
      </c>
      <c r="P189" s="64">
        <f t="shared" ref="P189:P193" si="85">$M189*$J189*(1-$I189)</f>
        <v>2.8774199999999999</v>
      </c>
      <c r="Q189" s="65">
        <f t="shared" ref="Q189:Q193" si="86">$N189*$J189*(1-$I189)</f>
        <v>0</v>
      </c>
      <c r="R189" s="59"/>
      <c r="S189" s="199">
        <f>IF(OR(RIGHT($H189,3)="RGT",RIGHT($H189,3)="INC"),IF($G189=S$188,SUM($S203:S203)+$O189,IF(S$188&gt;$G189,S203,0)),0)</f>
        <v>0</v>
      </c>
      <c r="T189" s="200">
        <f>IF(OR(RIGHT($H189,3)="RGT",RIGHT($H189,3)="INC"),IF($G189=T$188,SUM($S203:T203)+$O189,IF(T$188&gt;$G189,T203,0)),0)</f>
        <v>0.18512999999999999</v>
      </c>
      <c r="U189" s="200">
        <f>IF(OR(RIGHT($H189,3)="RGT",RIGHT($H189,3)="INC"),IF($G189=U$188,SUM($S203:U203)+$O189,IF(U$188&gt;$G189,U203,0)),0)</f>
        <v>2.6922899999999998</v>
      </c>
      <c r="V189" s="200">
        <f>IF(OR(RIGHT($H189,3)="RGT",RIGHT($H189,3)="INC"),IF($G189=V$188,SUM($S203:V203)+$O189,IF(V$188&gt;$G189,V203,0)),0)</f>
        <v>0</v>
      </c>
      <c r="W189" s="200">
        <f>IF(OR(RIGHT($H189,3)="RGT",RIGHT($H189,3)="INC"),IF($G189=W$188,SUM($S203:W203)+$O189,IF(W$188&gt;$G189,W203,0)),0)</f>
        <v>0</v>
      </c>
      <c r="X189" s="200">
        <f>IF(OR(RIGHT($H189,3)="RGT",RIGHT($H189,3)="INC"),IF($G189=X$188,SUM($S203:X203)+$O189,IF(X$188&gt;$G189,X203,0)),0)</f>
        <v>0</v>
      </c>
      <c r="Y189" s="200">
        <f>IF(OR(RIGHT($H189,3)="RGT",RIGHT($H189,3)="INC"),IF($G189=Y$188,SUM($S203:Y203)+$O189,IF(Y$188&gt;$G189,Y203,0)),0)</f>
        <v>0</v>
      </c>
      <c r="Z189" s="200">
        <f>IF(OR(RIGHT($H189,3)="RGT",RIGHT($H189,3)="INC"),IF($G189=Z$188,SUM($S203:Z203)+$O189,IF(Z$188&gt;$G189,Z203,0)),0)</f>
        <v>0</v>
      </c>
      <c r="AA189" s="200">
        <f>IF(OR(RIGHT($H189,3)="RGT",RIGHT($H189,3)="INC"),IF($G189=AA$188,SUM($S203:AA203)+$O189,IF(AA$188&gt;$G189,AA203,0)),0)</f>
        <v>0</v>
      </c>
      <c r="AB189" s="200">
        <f>IF(OR(RIGHT($H189,3)="RGT",RIGHT($H189,3)="INC"),IF($G189=AB$188,SUM($S203:AB203)+$O189,IF(AB$188&gt;$G189,AB203,0)),0)</f>
        <v>0</v>
      </c>
      <c r="AC189" s="200">
        <f>IF(OR(RIGHT($H189,3)="RGT",RIGHT($H189,3)="INC"),IF($G189=AC$188,SUM($S203:AC203)+$O189,IF(AC$188&gt;$G189,AC203,0)),0)</f>
        <v>0</v>
      </c>
      <c r="AD189" s="201">
        <f>IF(OR(RIGHT($H189,3)="RGT",RIGHT($H189,3)="INC"),IF($G189=AD$188,SUM($S203:AD203)+$O189,IF(AD$188&gt;$G189,AD203,0)),0)</f>
        <v>0</v>
      </c>
      <c r="AE189" s="200">
        <f>IF(OR(RIGHT($H189,3)="RGT",RIGHT($H189,3)="INC"),IF($G189=AE$188,SUM($S203:AE203)+$O189,IF(AE$188&gt;$G189,AE203,0)),0)</f>
        <v>0</v>
      </c>
      <c r="AF189" s="200">
        <f>IF(OR(RIGHT($H189,3)="RGT",RIGHT($H189,3)="INC"),IF($G189=AF$188,SUM($S203:AF203)+$O189,IF(AF$188&gt;$G189,AF203,0)),0)</f>
        <v>0</v>
      </c>
      <c r="AG189" s="200">
        <f>IF(OR(RIGHT($H189,3)="RGT",RIGHT($H189,3)="INC"),IF($G189=AG$188,SUM($S203:AG203)+$O189,IF(AG$188&gt;$G189,AG203,0)),0)</f>
        <v>0</v>
      </c>
      <c r="AH189" s="200">
        <f>IF(OR(RIGHT($H189,3)="RGT",RIGHT($H189,3)="INC"),IF($G189=AH$188,SUM($S203:AH203)+$O189,IF(AH$188&gt;$G189,AH203,0)),0)</f>
        <v>0</v>
      </c>
      <c r="AI189" s="200">
        <f>IF(OR(RIGHT($H189,3)="RGT",RIGHT($H189,3)="INC"),IF($G189=AI$188,SUM($S203:AI203)+$O189,IF(AI$188&gt;$G189,AI203,0)),0)</f>
        <v>0</v>
      </c>
      <c r="AJ189" s="200">
        <f>IF(OR(RIGHT($H189,3)="RGT",RIGHT($H189,3)="INC"),IF($G189=AJ$188,SUM($S203:AJ203)+$O189,IF(AJ$188&gt;$G189,AJ203,0)),0)</f>
        <v>0</v>
      </c>
      <c r="AK189" s="200">
        <f>IF(OR(RIGHT($H189,3)="RGT",RIGHT($H189,3)="INC"),IF($G189=AK$188,SUM($S203:AK203)+$O189,IF(AK$188&gt;$G189,AK203,0)),0)</f>
        <v>0</v>
      </c>
      <c r="AL189" s="200">
        <f>IF(OR(RIGHT($H189,3)="RGT",RIGHT($H189,3)="INC"),IF($G189=AL$188,SUM($S203:AL203)+$O189,IF(AL$188&gt;$G189,AL203,0)),0)</f>
        <v>0</v>
      </c>
      <c r="AM189" s="200">
        <f>IF(OR(RIGHT($H189,3)="RGT",RIGHT($H189,3)="INC"),IF($G189=AM$188,SUM($S203:AM203)+$O189,IF(AM$188&gt;$G189,AM203,0)),0)</f>
        <v>0</v>
      </c>
      <c r="AN189" s="200">
        <f>IF(OR(RIGHT($H189,3)="RGT",RIGHT($H189,3)="INC"),IF($G189=AN$188,SUM($S203:AN203)+$O189,IF(AN$188&gt;$G189,AN203,0)),0)</f>
        <v>0</v>
      </c>
      <c r="AO189" s="200">
        <f>IF(OR(RIGHT($H189,3)="RGT",RIGHT($H189,3)="INC"),IF($G189=AO$188,SUM($S203:AO203)+$O189,IF(AO$188&gt;$G189,AO203,0)),0)</f>
        <v>0</v>
      </c>
      <c r="AP189" s="201">
        <f>IF(OR(RIGHT($H189,3)="RGT",RIGHT($H189,3)="INC"),IF($G189=AP$188,SUM($S203:AP203)+$O189,IF(AP$188&gt;$G189,AP203,0)),0)</f>
        <v>0</v>
      </c>
      <c r="AQ189" s="183"/>
    </row>
    <row r="190" spans="1:43" s="211" customFormat="1" x14ac:dyDescent="0.25">
      <c r="A190" s="198" t="str">
        <f t="shared" ref="A190:A193" si="87">+$C$183</f>
        <v>Red Bluff Substation</v>
      </c>
      <c r="B190" s="179" t="s">
        <v>33</v>
      </c>
      <c r="C190" s="167" t="s">
        <v>229</v>
      </c>
      <c r="D190" s="163" t="s">
        <v>230</v>
      </c>
      <c r="E190" s="168" t="s">
        <v>261</v>
      </c>
      <c r="F190" s="159" t="s">
        <v>70</v>
      </c>
      <c r="G190" s="160">
        <v>41426</v>
      </c>
      <c r="H190" s="70" t="s">
        <v>288</v>
      </c>
      <c r="I190" s="161">
        <v>0</v>
      </c>
      <c r="J190" s="162">
        <v>1</v>
      </c>
      <c r="K190" s="63"/>
      <c r="L190" s="282">
        <f>295.84544*0</f>
        <v>0</v>
      </c>
      <c r="M190" s="64">
        <f>SUM($S204:$AD204)</f>
        <v>780.99734999999998</v>
      </c>
      <c r="N190" s="64">
        <f>SUM($AE204:$AP204)</f>
        <v>0</v>
      </c>
      <c r="O190" s="72">
        <f t="shared" si="84"/>
        <v>0</v>
      </c>
      <c r="P190" s="64">
        <f t="shared" si="85"/>
        <v>780.99734999999998</v>
      </c>
      <c r="Q190" s="65">
        <f t="shared" si="86"/>
        <v>0</v>
      </c>
      <c r="R190" s="59"/>
      <c r="S190" s="199">
        <f>IF(OR(RIGHT($H190,3)="RGT",RIGHT($H190,3)="INC"),IF($G190=S$188,SUM($S204:S204)+$O190,IF(S$188&gt;$G190,S204,0)),0)</f>
        <v>41.490830000000003</v>
      </c>
      <c r="T190" s="200">
        <f>IF(OR(RIGHT($H190,3)="RGT",RIGHT($H190,3)="INC"),IF($G190=T$188,SUM($S204:T204)+$O190,IF(T$188&gt;$G190,T204,0)),0)</f>
        <v>45.193550000000002</v>
      </c>
      <c r="U190" s="200">
        <f>IF(OR(RIGHT($H190,3)="RGT",RIGHT($H190,3)="INC"),IF($G190=U$188,SUM($S204:U204)+$O190,IF(U$188&gt;$G190,U204,0)),0)</f>
        <v>67.312970000000007</v>
      </c>
      <c r="V190" s="200">
        <f>IF(OR(RIGHT($H190,3)="RGT",RIGHT($H190,3)="INC"),IF($G190=V$188,SUM($S204:V204)+$O190,IF(V$188&gt;$G190,V204,0)),0)</f>
        <v>65</v>
      </c>
      <c r="W190" s="200">
        <f>IF(OR(RIGHT($H190,3)="RGT",RIGHT($H190,3)="INC"),IF($G190=W$188,SUM($S204:W204)+$O190,IF(W$188&gt;$G190,W204,0)),0)</f>
        <v>65</v>
      </c>
      <c r="X190" s="200">
        <f>IF(OR(RIGHT($H190,3)="RGT",RIGHT($H190,3)="INC"),IF($G190=X$188,SUM($S204:X204)+$O190,IF(X$188&gt;$G190,X204,0)),0)</f>
        <v>65</v>
      </c>
      <c r="Y190" s="200">
        <f>IF(OR(RIGHT($H190,3)="RGT",RIGHT($H190,3)="INC"),IF($G190=Y$188,SUM($S204:Y204)+$O190,IF(Y$188&gt;$G190,Y204,0)),0)</f>
        <v>65</v>
      </c>
      <c r="Z190" s="200">
        <f>IF(OR(RIGHT($H190,3)="RGT",RIGHT($H190,3)="INC"),IF($G190=Z$188,SUM($S204:Z204)+$O190,IF(Z$188&gt;$G190,Z204,0)),0)</f>
        <v>65</v>
      </c>
      <c r="AA190" s="200">
        <f>IF(OR(RIGHT($H190,3)="RGT",RIGHT($H190,3)="INC"),IF($G190=AA$188,SUM($S204:AA204)+$O190,IF(AA$188&gt;$G190,AA204,0)),0)</f>
        <v>65</v>
      </c>
      <c r="AB190" s="200">
        <f>IF(OR(RIGHT($H190,3)="RGT",RIGHT($H190,3)="INC"),IF($G190=AB$188,SUM($S204:AB204)+$O190,IF(AB$188&gt;$G190,AB204,0)),0)</f>
        <v>80</v>
      </c>
      <c r="AC190" s="200">
        <f>IF(OR(RIGHT($H190,3)="RGT",RIGHT($H190,3)="INC"),IF($G190=AC$188,SUM($S204:AC204)+$O190,IF(AC$188&gt;$G190,AC204,0)),0)</f>
        <v>80</v>
      </c>
      <c r="AD190" s="201">
        <f>IF(OR(RIGHT($H190,3)="RGT",RIGHT($H190,3)="INC"),IF($G190=AD$188,SUM($S204:AD204)+$O190,IF(AD$188&gt;$G190,AD204,0)),0)</f>
        <v>77</v>
      </c>
      <c r="AE190" s="200">
        <f>IF(OR(RIGHT($H190,3)="RGT",RIGHT($H190,3)="INC"),IF($G190=AE$188,SUM($S204:AE204)+$O190,IF(AE$188&gt;$G190,AE204,0)),0)</f>
        <v>0</v>
      </c>
      <c r="AF190" s="200">
        <f>IF(OR(RIGHT($H190,3)="RGT",RIGHT($H190,3)="INC"),IF($G190=AF$188,SUM($S204:AF204)+$O190,IF(AF$188&gt;$G190,AF204,0)),0)</f>
        <v>0</v>
      </c>
      <c r="AG190" s="200">
        <f>IF(OR(RIGHT($H190,3)="RGT",RIGHT($H190,3)="INC"),IF($G190=AG$188,SUM($S204:AG204)+$O190,IF(AG$188&gt;$G190,AG204,0)),0)</f>
        <v>0</v>
      </c>
      <c r="AH190" s="200">
        <f>IF(OR(RIGHT($H190,3)="RGT",RIGHT($H190,3)="INC"),IF($G190=AH$188,SUM($S204:AH204)+$O190,IF(AH$188&gt;$G190,AH204,0)),0)</f>
        <v>0</v>
      </c>
      <c r="AI190" s="200">
        <f>IF(OR(RIGHT($H190,3)="RGT",RIGHT($H190,3)="INC"),IF($G190=AI$188,SUM($S204:AI204)+$O190,IF(AI$188&gt;$G190,AI204,0)),0)</f>
        <v>0</v>
      </c>
      <c r="AJ190" s="200">
        <f>IF(OR(RIGHT($H190,3)="RGT",RIGHT($H190,3)="INC"),IF($G190=AJ$188,SUM($S204:AJ204)+$O190,IF(AJ$188&gt;$G190,AJ204,0)),0)</f>
        <v>0</v>
      </c>
      <c r="AK190" s="200">
        <f>IF(OR(RIGHT($H190,3)="RGT",RIGHT($H190,3)="INC"),IF($G190=AK$188,SUM($S204:AK204)+$O190,IF(AK$188&gt;$G190,AK204,0)),0)</f>
        <v>0</v>
      </c>
      <c r="AL190" s="200">
        <f>IF(OR(RIGHT($H190,3)="RGT",RIGHT($H190,3)="INC"),IF($G190=AL$188,SUM($S204:AL204)+$O190,IF(AL$188&gt;$G190,AL204,0)),0)</f>
        <v>0</v>
      </c>
      <c r="AM190" s="200">
        <f>IF(OR(RIGHT($H190,3)="RGT",RIGHT($H190,3)="INC"),IF($G190=AM$188,SUM($S204:AM204)+$O190,IF(AM$188&gt;$G190,AM204,0)),0)</f>
        <v>0</v>
      </c>
      <c r="AN190" s="200">
        <f>IF(OR(RIGHT($H190,3)="RGT",RIGHT($H190,3)="INC"),IF($G190=AN$188,SUM($S204:AN204)+$O190,IF(AN$188&gt;$G190,AN204,0)),0)</f>
        <v>0</v>
      </c>
      <c r="AO190" s="200">
        <f>IF(OR(RIGHT($H190,3)="RGT",RIGHT($H190,3)="INC"),IF($G190=AO$188,SUM($S204:AO204)+$O190,IF(AO$188&gt;$G190,AO204,0)),0)</f>
        <v>0</v>
      </c>
      <c r="AP190" s="201">
        <f>IF(OR(RIGHT($H190,3)="RGT",RIGHT($H190,3)="INC"),IF($G190=AP$188,SUM($S204:AP204)+$O190,IF(AP$188&gt;$G190,AP204,0)),0)</f>
        <v>0</v>
      </c>
      <c r="AQ190" s="183"/>
    </row>
    <row r="191" spans="1:43" s="211" customFormat="1" x14ac:dyDescent="0.25">
      <c r="A191" s="198" t="str">
        <f t="shared" si="87"/>
        <v>Red Bluff Substation</v>
      </c>
      <c r="B191" s="179" t="s">
        <v>33</v>
      </c>
      <c r="C191" s="167" t="s">
        <v>259</v>
      </c>
      <c r="D191" s="163" t="s">
        <v>260</v>
      </c>
      <c r="E191" s="168" t="s">
        <v>261</v>
      </c>
      <c r="F191" s="159" t="s">
        <v>70</v>
      </c>
      <c r="G191" s="160">
        <v>41609</v>
      </c>
      <c r="H191" s="70" t="s">
        <v>264</v>
      </c>
      <c r="I191" s="161">
        <v>0</v>
      </c>
      <c r="J191" s="162">
        <v>1</v>
      </c>
      <c r="K191" s="63"/>
      <c r="L191" s="235">
        <v>0</v>
      </c>
      <c r="M191" s="64">
        <f>SUM($S205:$AD205)</f>
        <v>0</v>
      </c>
      <c r="N191" s="64">
        <f>SUM($AE205:$AP205)</f>
        <v>0</v>
      </c>
      <c r="O191" s="72">
        <f t="shared" si="84"/>
        <v>0</v>
      </c>
      <c r="P191" s="64">
        <f t="shared" si="85"/>
        <v>0</v>
      </c>
      <c r="Q191" s="65">
        <f t="shared" si="86"/>
        <v>0</v>
      </c>
      <c r="R191" s="59"/>
      <c r="S191" s="199">
        <f>IF(OR(RIGHT($H191,3)="RGT",RIGHT($H191,3)="INC"),IF($G191=S$188,SUM($S205:S205)+$O191,IF(S$188&gt;$G191,S205,0)),0)</f>
        <v>0</v>
      </c>
      <c r="T191" s="200">
        <f>IF(OR(RIGHT($H191,3)="RGT",RIGHT($H191,3)="INC"),IF($G191=T$188,SUM($S205:T205)+$O191,IF(T$188&gt;$G191,T205,0)),0)</f>
        <v>0</v>
      </c>
      <c r="U191" s="200">
        <f>IF(OR(RIGHT($H191,3)="RGT",RIGHT($H191,3)="INC"),IF($G191=U$188,SUM($S205:U205)+$O191,IF(U$188&gt;$G191,U205,0)),0)</f>
        <v>0</v>
      </c>
      <c r="V191" s="200">
        <f>IF(OR(RIGHT($H191,3)="RGT",RIGHT($H191,3)="INC"),IF($G191=V$188,SUM($S205:V205)+$O191,IF(V$188&gt;$G191,V205,0)),0)</f>
        <v>0</v>
      </c>
      <c r="W191" s="200">
        <f>IF(OR(RIGHT($H191,3)="RGT",RIGHT($H191,3)="INC"),IF($G191=W$188,SUM($S205:W205)+$O191,IF(W$188&gt;$G191,W205,0)),0)</f>
        <v>0</v>
      </c>
      <c r="X191" s="200">
        <f>IF(OR(RIGHT($H191,3)="RGT",RIGHT($H191,3)="INC"),IF($G191=X$188,SUM($S205:X205)+$O191,IF(X$188&gt;$G191,X205,0)),0)</f>
        <v>0</v>
      </c>
      <c r="Y191" s="200">
        <f>IF(OR(RIGHT($H191,3)="RGT",RIGHT($H191,3)="INC"),IF($G191=Y$188,SUM($S205:Y205)+$O191,IF(Y$188&gt;$G191,Y205,0)),0)</f>
        <v>0</v>
      </c>
      <c r="Z191" s="200">
        <f>IF(OR(RIGHT($H191,3)="RGT",RIGHT($H191,3)="INC"),IF($G191=Z$188,SUM($S205:Z205)+$O191,IF(Z$188&gt;$G191,Z205,0)),0)</f>
        <v>0</v>
      </c>
      <c r="AA191" s="200">
        <f>IF(OR(RIGHT($H191,3)="RGT",RIGHT($H191,3)="INC"),IF($G191=AA$188,SUM($S205:AA205)+$O191,IF(AA$188&gt;$G191,AA205,0)),0)</f>
        <v>0</v>
      </c>
      <c r="AB191" s="200">
        <f>IF(OR(RIGHT($H191,3)="RGT",RIGHT($H191,3)="INC"),IF($G191=AB$188,SUM($S205:AB205)+$O191,IF(AB$188&gt;$G191,AB205,0)),0)</f>
        <v>0</v>
      </c>
      <c r="AC191" s="200">
        <f>IF(OR(RIGHT($H191,3)="RGT",RIGHT($H191,3)="INC"),IF($G191=AC$188,SUM($S205:AC205)+$O191,IF(AC$188&gt;$G191,AC205,0)),0)</f>
        <v>0</v>
      </c>
      <c r="AD191" s="201">
        <f>IF(OR(RIGHT($H191,3)="RGT",RIGHT($H191,3)="INC"),IF($G191=AD$188,SUM($S205:AD205)+$O191,IF(AD$188&gt;$G191,AD205,0)),0)</f>
        <v>0</v>
      </c>
      <c r="AE191" s="200">
        <f>IF(OR(RIGHT($H191,3)="RGT",RIGHT($H191,3)="INC"),IF($G191=AE$188,SUM($S205:AE205)+$O191,IF(AE$188&gt;$G191,AE205,0)),0)</f>
        <v>0</v>
      </c>
      <c r="AF191" s="200">
        <f>IF(OR(RIGHT($H191,3)="RGT",RIGHT($H191,3)="INC"),IF($G191=AF$188,SUM($S205:AF205)+$O191,IF(AF$188&gt;$G191,AF205,0)),0)</f>
        <v>0</v>
      </c>
      <c r="AG191" s="200">
        <f>IF(OR(RIGHT($H191,3)="RGT",RIGHT($H191,3)="INC"),IF($G191=AG$188,SUM($S205:AG205)+$O191,IF(AG$188&gt;$G191,AG205,0)),0)</f>
        <v>0</v>
      </c>
      <c r="AH191" s="200">
        <f>IF(OR(RIGHT($H191,3)="RGT",RIGHT($H191,3)="INC"),IF($G191=AH$188,SUM($S205:AH205)+$O191,IF(AH$188&gt;$G191,AH205,0)),0)</f>
        <v>0</v>
      </c>
      <c r="AI191" s="200">
        <f>IF(OR(RIGHT($H191,3)="RGT",RIGHT($H191,3)="INC"),IF($G191=AI$188,SUM($S205:AI205)+$O191,IF(AI$188&gt;$G191,AI205,0)),0)</f>
        <v>0</v>
      </c>
      <c r="AJ191" s="200">
        <f>IF(OR(RIGHT($H191,3)="RGT",RIGHT($H191,3)="INC"),IF($G191=AJ$188,SUM($S205:AJ205)+$O191,IF(AJ$188&gt;$G191,AJ205,0)),0)</f>
        <v>0</v>
      </c>
      <c r="AK191" s="200">
        <f>IF(OR(RIGHT($H191,3)="RGT",RIGHT($H191,3)="INC"),IF($G191=AK$188,SUM($S205:AK205)+$O191,IF(AK$188&gt;$G191,AK205,0)),0)</f>
        <v>0</v>
      </c>
      <c r="AL191" s="200">
        <f>IF(OR(RIGHT($H191,3)="RGT",RIGHT($H191,3)="INC"),IF($G191=AL$188,SUM($S205:AL205)+$O191,IF(AL$188&gt;$G191,AL205,0)),0)</f>
        <v>0</v>
      </c>
      <c r="AM191" s="200">
        <f>IF(OR(RIGHT($H191,3)="RGT",RIGHT($H191,3)="INC"),IF($G191=AM$188,SUM($S205:AM205)+$O191,IF(AM$188&gt;$G191,AM205,0)),0)</f>
        <v>0</v>
      </c>
      <c r="AN191" s="200">
        <f>IF(OR(RIGHT($H191,3)="RGT",RIGHT($H191,3)="INC"),IF($G191=AN$188,SUM($S205:AN205)+$O191,IF(AN$188&gt;$G191,AN205,0)),0)</f>
        <v>0</v>
      </c>
      <c r="AO191" s="200">
        <f>IF(OR(RIGHT($H191,3)="RGT",RIGHT($H191,3)="INC"),IF($G191=AO$188,SUM($S205:AO205)+$O191,IF(AO$188&gt;$G191,AO205,0)),0)</f>
        <v>0</v>
      </c>
      <c r="AP191" s="201">
        <f>IF(OR(RIGHT($H191,3)="RGT",RIGHT($H191,3)="INC"),IF($G191=AP$188,SUM($S205:AP205)+$O191,IF(AP$188&gt;$G191,AP205,0)),0)</f>
        <v>0</v>
      </c>
      <c r="AQ191" s="183"/>
    </row>
    <row r="192" spans="1:43" s="211" customFormat="1" x14ac:dyDescent="0.25">
      <c r="A192" s="198" t="str">
        <f t="shared" si="87"/>
        <v>Red Bluff Substation</v>
      </c>
      <c r="B192" s="179" t="s">
        <v>33</v>
      </c>
      <c r="C192" s="167" t="s">
        <v>262</v>
      </c>
      <c r="D192" s="163" t="s">
        <v>263</v>
      </c>
      <c r="E192" s="168" t="s">
        <v>261</v>
      </c>
      <c r="F192" s="159" t="s">
        <v>70</v>
      </c>
      <c r="G192" s="160">
        <v>41426</v>
      </c>
      <c r="H192" s="70" t="s">
        <v>264</v>
      </c>
      <c r="I192" s="161">
        <v>0</v>
      </c>
      <c r="J192" s="162">
        <v>1</v>
      </c>
      <c r="K192" s="63"/>
      <c r="L192" s="235">
        <v>0</v>
      </c>
      <c r="M192" s="64">
        <f>SUM($S206:$AD206)</f>
        <v>0</v>
      </c>
      <c r="N192" s="64">
        <f>SUM($AE206:$AP206)</f>
        <v>0</v>
      </c>
      <c r="O192" s="72">
        <f t="shared" si="84"/>
        <v>0</v>
      </c>
      <c r="P192" s="64">
        <f t="shared" si="85"/>
        <v>0</v>
      </c>
      <c r="Q192" s="65">
        <f t="shared" si="86"/>
        <v>0</v>
      </c>
      <c r="R192" s="59"/>
      <c r="S192" s="199">
        <f>IF(OR(RIGHT($H192,3)="RGT",RIGHT($H192,3)="INC"),IF($G192=S$188,SUM($S206:S206)+$O192,IF(S$188&gt;$G192,S206,0)),0)</f>
        <v>0</v>
      </c>
      <c r="T192" s="200">
        <f>IF(OR(RIGHT($H192,3)="RGT",RIGHT($H192,3)="INC"),IF($G192=T$188,SUM($S206:T206)+$O192,IF(T$188&gt;$G192,T206,0)),0)</f>
        <v>0</v>
      </c>
      <c r="U192" s="200">
        <f>IF(OR(RIGHT($H192,3)="RGT",RIGHT($H192,3)="INC"),IF($G192=U$188,SUM($S206:U206)+$O192,IF(U$188&gt;$G192,U206,0)),0)</f>
        <v>0</v>
      </c>
      <c r="V192" s="200">
        <f>IF(OR(RIGHT($H192,3)="RGT",RIGHT($H192,3)="INC"),IF($G192=V$188,SUM($S206:V206)+$O192,IF(V$188&gt;$G192,V206,0)),0)</f>
        <v>0</v>
      </c>
      <c r="W192" s="200">
        <f>IF(OR(RIGHT($H192,3)="RGT",RIGHT($H192,3)="INC"),IF($G192=W$188,SUM($S206:W206)+$O192,IF(W$188&gt;$G192,W206,0)),0)</f>
        <v>0</v>
      </c>
      <c r="X192" s="200">
        <f>IF(OR(RIGHT($H192,3)="RGT",RIGHT($H192,3)="INC"),IF($G192=X$188,SUM($S206:X206)+$O192,IF(X$188&gt;$G192,X206,0)),0)</f>
        <v>0</v>
      </c>
      <c r="Y192" s="200">
        <f>IF(OR(RIGHT($H192,3)="RGT",RIGHT($H192,3)="INC"),IF($G192=Y$188,SUM($S206:Y206)+$O192,IF(Y$188&gt;$G192,Y206,0)),0)</f>
        <v>0</v>
      </c>
      <c r="Z192" s="200">
        <f>IF(OR(RIGHT($H192,3)="RGT",RIGHT($H192,3)="INC"),IF($G192=Z$188,SUM($S206:Z206)+$O192,IF(Z$188&gt;$G192,Z206,0)),0)</f>
        <v>0</v>
      </c>
      <c r="AA192" s="200">
        <f>IF(OR(RIGHT($H192,3)="RGT",RIGHT($H192,3)="INC"),IF($G192=AA$188,SUM($S206:AA206)+$O192,IF(AA$188&gt;$G192,AA206,0)),0)</f>
        <v>0</v>
      </c>
      <c r="AB192" s="200">
        <f>IF(OR(RIGHT($H192,3)="RGT",RIGHT($H192,3)="INC"),IF($G192=AB$188,SUM($S206:AB206)+$O192,IF(AB$188&gt;$G192,AB206,0)),0)</f>
        <v>0</v>
      </c>
      <c r="AC192" s="200">
        <f>IF(OR(RIGHT($H192,3)="RGT",RIGHT($H192,3)="INC"),IF($G192=AC$188,SUM($S206:AC206)+$O192,IF(AC$188&gt;$G192,AC206,0)),0)</f>
        <v>0</v>
      </c>
      <c r="AD192" s="201">
        <f>IF(OR(RIGHT($H192,3)="RGT",RIGHT($H192,3)="INC"),IF($G192=AD$188,SUM($S206:AD206)+$O192,IF(AD$188&gt;$G192,AD206,0)),0)</f>
        <v>0</v>
      </c>
      <c r="AE192" s="200">
        <f>IF(OR(RIGHT($H192,3)="RGT",RIGHT($H192,3)="INC"),IF($G192=AE$188,SUM($S206:AE206)+$O192,IF(AE$188&gt;$G192,AE206,0)),0)</f>
        <v>0</v>
      </c>
      <c r="AF192" s="200">
        <f>IF(OR(RIGHT($H192,3)="RGT",RIGHT($H192,3)="INC"),IF($G192=AF$188,SUM($S206:AF206)+$O192,IF(AF$188&gt;$G192,AF206,0)),0)</f>
        <v>0</v>
      </c>
      <c r="AG192" s="200">
        <f>IF(OR(RIGHT($H192,3)="RGT",RIGHT($H192,3)="INC"),IF($G192=AG$188,SUM($S206:AG206)+$O192,IF(AG$188&gt;$G192,AG206,0)),0)</f>
        <v>0</v>
      </c>
      <c r="AH192" s="200">
        <f>IF(OR(RIGHT($H192,3)="RGT",RIGHT($H192,3)="INC"),IF($G192=AH$188,SUM($S206:AH206)+$O192,IF(AH$188&gt;$G192,AH206,0)),0)</f>
        <v>0</v>
      </c>
      <c r="AI192" s="200">
        <f>IF(OR(RIGHT($H192,3)="RGT",RIGHT($H192,3)="INC"),IF($G192=AI$188,SUM($S206:AI206)+$O192,IF(AI$188&gt;$G192,AI206,0)),0)</f>
        <v>0</v>
      </c>
      <c r="AJ192" s="200">
        <f>IF(OR(RIGHT($H192,3)="RGT",RIGHT($H192,3)="INC"),IF($G192=AJ$188,SUM($S206:AJ206)+$O192,IF(AJ$188&gt;$G192,AJ206,0)),0)</f>
        <v>0</v>
      </c>
      <c r="AK192" s="200">
        <f>IF(OR(RIGHT($H192,3)="RGT",RIGHT($H192,3)="INC"),IF($G192=AK$188,SUM($S206:AK206)+$O192,IF(AK$188&gt;$G192,AK206,0)),0)</f>
        <v>0</v>
      </c>
      <c r="AL192" s="200">
        <f>IF(OR(RIGHT($H192,3)="RGT",RIGHT($H192,3)="INC"),IF($G192=AL$188,SUM($S206:AL206)+$O192,IF(AL$188&gt;$G192,AL206,0)),0)</f>
        <v>0</v>
      </c>
      <c r="AM192" s="200">
        <f>IF(OR(RIGHT($H192,3)="RGT",RIGHT($H192,3)="INC"),IF($G192=AM$188,SUM($S206:AM206)+$O192,IF(AM$188&gt;$G192,AM206,0)),0)</f>
        <v>0</v>
      </c>
      <c r="AN192" s="200">
        <f>IF(OR(RIGHT($H192,3)="RGT",RIGHT($H192,3)="INC"),IF($G192=AN$188,SUM($S206:AN206)+$O192,IF(AN$188&gt;$G192,AN206,0)),0)</f>
        <v>0</v>
      </c>
      <c r="AO192" s="200">
        <f>IF(OR(RIGHT($H192,3)="RGT",RIGHT($H192,3)="INC"),IF($G192=AO$188,SUM($S206:AO206)+$O192,IF(AO$188&gt;$G192,AO206,0)),0)</f>
        <v>0</v>
      </c>
      <c r="AP192" s="201">
        <f>IF(OR(RIGHT($H192,3)="RGT",RIGHT($H192,3)="INC"),IF($G192=AP$188,SUM($S206:AP206)+$O192,IF(AP$188&gt;$G192,AP206,0)),0)</f>
        <v>0</v>
      </c>
      <c r="AQ192" s="183"/>
    </row>
    <row r="193" spans="1:43" s="211" customFormat="1" x14ac:dyDescent="0.25">
      <c r="A193" s="198" t="str">
        <f t="shared" si="87"/>
        <v>Red Bluff Substation</v>
      </c>
      <c r="B193" s="179" t="s">
        <v>33</v>
      </c>
      <c r="C193" s="167" t="s">
        <v>229</v>
      </c>
      <c r="D193" s="163" t="s">
        <v>301</v>
      </c>
      <c r="E193" s="168" t="s">
        <v>261</v>
      </c>
      <c r="F193" s="159" t="s">
        <v>70</v>
      </c>
      <c r="G193" s="59">
        <v>42339</v>
      </c>
      <c r="H193" s="70" t="s">
        <v>288</v>
      </c>
      <c r="I193" s="161">
        <v>0</v>
      </c>
      <c r="J193" s="162">
        <v>1</v>
      </c>
      <c r="K193" s="63"/>
      <c r="L193" s="235">
        <v>3445.3826699999995</v>
      </c>
      <c r="M193" s="64">
        <f>SUM($S207:$AD207)</f>
        <v>4815.9465300000002</v>
      </c>
      <c r="N193" s="64">
        <f>SUM($AE207:$AP207)</f>
        <v>0</v>
      </c>
      <c r="O193" s="72">
        <f t="shared" si="84"/>
        <v>3445.3826699999995</v>
      </c>
      <c r="P193" s="64">
        <f t="shared" si="85"/>
        <v>4815.9465300000002</v>
      </c>
      <c r="Q193" s="65">
        <f t="shared" si="86"/>
        <v>0</v>
      </c>
      <c r="R193" s="59"/>
      <c r="S193" s="199">
        <f>IF(OR(RIGHT($H193,3)="RGT",RIGHT($H193,3)="INC"),IF($G193=S$188,SUM($S207:S207)+$O193,IF(S$188&gt;$G193,S207,0)),0)</f>
        <v>0</v>
      </c>
      <c r="T193" s="200">
        <f>IF(OR(RIGHT($H193,3)="RGT",RIGHT($H193,3)="INC"),IF($G193=T$188,SUM($S207:T207)+$O193,IF(T$188&gt;$G193,T207,0)),0)</f>
        <v>0</v>
      </c>
      <c r="U193" s="200">
        <f>IF(OR(RIGHT($H193,3)="RGT",RIGHT($H193,3)="INC"),IF($G193=U$188,SUM($S207:U207)+$O193,IF(U$188&gt;$G193,U207,0)),0)</f>
        <v>0</v>
      </c>
      <c r="V193" s="200">
        <f>IF(OR(RIGHT($H193,3)="RGT",RIGHT($H193,3)="INC"),IF($G193=V$188,SUM($S207:V207)+$O193,IF(V$188&gt;$G193,V207,0)),0)</f>
        <v>0</v>
      </c>
      <c r="W193" s="200">
        <f>IF(OR(RIGHT($H193,3)="RGT",RIGHT($H193,3)="INC"),IF($G193=W$188,SUM($S207:W207)+$O193,IF(W$188&gt;$G193,W207,0)),0)</f>
        <v>0</v>
      </c>
      <c r="X193" s="200">
        <f>IF(OR(RIGHT($H193,3)="RGT",RIGHT($H193,3)="INC"),IF($G193=X$188,SUM($S207:X207)+$O193,IF(X$188&gt;$G193,X207,0)),0)</f>
        <v>0</v>
      </c>
      <c r="Y193" s="200">
        <f>IF(OR(RIGHT($H193,3)="RGT",RIGHT($H193,3)="INC"),IF($G193=Y$188,SUM($S207:Y207)+$O193,IF(Y$188&gt;$G193,Y207,0)),0)</f>
        <v>0</v>
      </c>
      <c r="Z193" s="200">
        <f>IF(OR(RIGHT($H193,3)="RGT",RIGHT($H193,3)="INC"),IF($G193=Z$188,SUM($S207:Z207)+$O193,IF(Z$188&gt;$G193,Z207,0)),0)</f>
        <v>0</v>
      </c>
      <c r="AA193" s="200">
        <f>IF(OR(RIGHT($H193,3)="RGT",RIGHT($H193,3)="INC"),IF($G193=AA$188,SUM($S207:AA207)+$O193,IF(AA$188&gt;$G193,AA207,0)),0)</f>
        <v>0</v>
      </c>
      <c r="AB193" s="200">
        <f>IF(OR(RIGHT($H193,3)="RGT",RIGHT($H193,3)="INC"),IF($G193=AB$188,SUM($S207:AB207)+$O193,IF(AB$188&gt;$G193,AB207,0)),0)</f>
        <v>0</v>
      </c>
      <c r="AC193" s="200">
        <f>IF(OR(RIGHT($H193,3)="RGT",RIGHT($H193,3)="INC"),IF($G193=AC$188,SUM($S207:AC207)+$O193,IF(AC$188&gt;$G193,AC207,0)),0)</f>
        <v>0</v>
      </c>
      <c r="AD193" s="201">
        <f>IF(OR(RIGHT($H193,3)="RGT",RIGHT($H193,3)="INC"),IF($G193=AD$188,SUM($S207:AD207)+$O193,IF(AD$188&gt;$G193,AD207,0)),0)</f>
        <v>8261.3292000000001</v>
      </c>
      <c r="AE193" s="200">
        <f>IF(OR(RIGHT($H193,3)="RGT",RIGHT($H193,3)="INC"),IF($G193=AE$188,SUM($S207:AE207)+$O193,IF(AE$188&gt;$G193,AE207,0)),0)</f>
        <v>0</v>
      </c>
      <c r="AF193" s="200">
        <f>IF(OR(RIGHT($H193,3)="RGT",RIGHT($H193,3)="INC"),IF($G193=AF$188,SUM($S207:AF207)+$O193,IF(AF$188&gt;$G193,AF207,0)),0)</f>
        <v>0</v>
      </c>
      <c r="AG193" s="200">
        <f>IF(OR(RIGHT($H193,3)="RGT",RIGHT($H193,3)="INC"),IF($G193=AG$188,SUM($S207:AG207)+$O193,IF(AG$188&gt;$G193,AG207,0)),0)</f>
        <v>0</v>
      </c>
      <c r="AH193" s="200">
        <f>IF(OR(RIGHT($H193,3)="RGT",RIGHT($H193,3)="INC"),IF($G193=AH$188,SUM($S207:AH207)+$O193,IF(AH$188&gt;$G193,AH207,0)),0)</f>
        <v>0</v>
      </c>
      <c r="AI193" s="200">
        <f>IF(OR(RIGHT($H193,3)="RGT",RIGHT($H193,3)="INC"),IF($G193=AI$188,SUM($S207:AI207)+$O193,IF(AI$188&gt;$G193,AI207,0)),0)</f>
        <v>0</v>
      </c>
      <c r="AJ193" s="200">
        <f>IF(OR(RIGHT($H193,3)="RGT",RIGHT($H193,3)="INC"),IF($G193=AJ$188,SUM($S207:AJ207)+$O193,IF(AJ$188&gt;$G193,AJ207,0)),0)</f>
        <v>0</v>
      </c>
      <c r="AK193" s="200">
        <f>IF(OR(RIGHT($H193,3)="RGT",RIGHT($H193,3)="INC"),IF($G193=AK$188,SUM($S207:AK207)+$O193,IF(AK$188&gt;$G193,AK207,0)),0)</f>
        <v>0</v>
      </c>
      <c r="AL193" s="200">
        <f>IF(OR(RIGHT($H193,3)="RGT",RIGHT($H193,3)="INC"),IF($G193=AL$188,SUM($S207:AL207)+$O193,IF(AL$188&gt;$G193,AL207,0)),0)</f>
        <v>0</v>
      </c>
      <c r="AM193" s="200">
        <f>IF(OR(RIGHT($H193,3)="RGT",RIGHT($H193,3)="INC"),IF($G193=AM$188,SUM($S207:AM207)+$O193,IF(AM$188&gt;$G193,AM207,0)),0)</f>
        <v>0</v>
      </c>
      <c r="AN193" s="200">
        <f>IF(OR(RIGHT($H193,3)="RGT",RIGHT($H193,3)="INC"),IF($G193=AN$188,SUM($S207:AN207)+$O193,IF(AN$188&gt;$G193,AN207,0)),0)</f>
        <v>0</v>
      </c>
      <c r="AO193" s="200">
        <f>IF(OR(RIGHT($H193,3)="RGT",RIGHT($H193,3)="INC"),IF($G193=AO$188,SUM($S207:AO207)+$O193,IF(AO$188&gt;$G193,AO207,0)),0)</f>
        <v>0</v>
      </c>
      <c r="AP193" s="201">
        <f>IF(OR(RIGHT($H193,3)="RGT",RIGHT($H193,3)="INC"),IF($G193=AP$188,SUM($S207:AP207)+$O193,IF(AP$188&gt;$G193,AP207,0)),0)</f>
        <v>0</v>
      </c>
      <c r="AQ193" s="183"/>
    </row>
    <row r="194" spans="1:43" ht="15.75" thickBot="1" x14ac:dyDescent="0.3">
      <c r="B194" s="170" t="s">
        <v>62</v>
      </c>
      <c r="C194" s="226" t="s">
        <v>26</v>
      </c>
      <c r="D194" s="227"/>
      <c r="E194" s="227"/>
      <c r="F194" s="227"/>
      <c r="G194" s="227"/>
      <c r="H194" s="227"/>
      <c r="I194" s="227"/>
      <c r="J194" s="228"/>
      <c r="K194" s="63"/>
      <c r="L194" s="125">
        <f t="shared" ref="L194:Q194" si="88">SUM(L189:L193)</f>
        <v>3445.3826699999995</v>
      </c>
      <c r="M194" s="126">
        <f t="shared" si="88"/>
        <v>5599.8213000000005</v>
      </c>
      <c r="N194" s="126">
        <f t="shared" si="88"/>
        <v>0</v>
      </c>
      <c r="O194" s="126">
        <f t="shared" si="88"/>
        <v>3445.3826699999995</v>
      </c>
      <c r="P194" s="126">
        <f t="shared" si="88"/>
        <v>5599.8213000000005</v>
      </c>
      <c r="Q194" s="127">
        <f t="shared" si="88"/>
        <v>0</v>
      </c>
      <c r="R194" s="58"/>
      <c r="S194" s="184">
        <f t="shared" ref="S194:AP194" si="89">SUM(S189:S193)</f>
        <v>41.490830000000003</v>
      </c>
      <c r="T194" s="185">
        <f t="shared" si="89"/>
        <v>45.378680000000003</v>
      </c>
      <c r="U194" s="185">
        <f t="shared" si="89"/>
        <v>70.005260000000007</v>
      </c>
      <c r="V194" s="185">
        <f t="shared" si="89"/>
        <v>65</v>
      </c>
      <c r="W194" s="185">
        <f t="shared" si="89"/>
        <v>65</v>
      </c>
      <c r="X194" s="185">
        <f t="shared" si="89"/>
        <v>65</v>
      </c>
      <c r="Y194" s="185">
        <f t="shared" si="89"/>
        <v>65</v>
      </c>
      <c r="Z194" s="185">
        <f t="shared" si="89"/>
        <v>65</v>
      </c>
      <c r="AA194" s="185">
        <f t="shared" si="89"/>
        <v>65</v>
      </c>
      <c r="AB194" s="185">
        <f t="shared" si="89"/>
        <v>80</v>
      </c>
      <c r="AC194" s="185">
        <f t="shared" si="89"/>
        <v>80</v>
      </c>
      <c r="AD194" s="186">
        <f t="shared" si="89"/>
        <v>8338.3292000000001</v>
      </c>
      <c r="AE194" s="185">
        <f t="shared" si="89"/>
        <v>0</v>
      </c>
      <c r="AF194" s="185">
        <f t="shared" si="89"/>
        <v>0</v>
      </c>
      <c r="AG194" s="185">
        <f t="shared" si="89"/>
        <v>0</v>
      </c>
      <c r="AH194" s="185">
        <f t="shared" si="89"/>
        <v>0</v>
      </c>
      <c r="AI194" s="185">
        <f t="shared" si="89"/>
        <v>0</v>
      </c>
      <c r="AJ194" s="185">
        <f t="shared" si="89"/>
        <v>0</v>
      </c>
      <c r="AK194" s="185">
        <f t="shared" si="89"/>
        <v>0</v>
      </c>
      <c r="AL194" s="185">
        <f t="shared" si="89"/>
        <v>0</v>
      </c>
      <c r="AM194" s="185">
        <f t="shared" si="89"/>
        <v>0</v>
      </c>
      <c r="AN194" s="185">
        <f t="shared" si="89"/>
        <v>0</v>
      </c>
      <c r="AO194" s="185">
        <f t="shared" si="89"/>
        <v>0</v>
      </c>
      <c r="AP194" s="186">
        <f t="shared" si="89"/>
        <v>0</v>
      </c>
      <c r="AQ194" s="183"/>
    </row>
    <row r="195" spans="1:43" s="107" customFormat="1" ht="15.75" thickTop="1" x14ac:dyDescent="0.25">
      <c r="A195" s="187"/>
      <c r="B195" s="188"/>
      <c r="C195" s="189"/>
      <c r="D195" s="190"/>
      <c r="E195" s="191"/>
      <c r="F195" s="192"/>
      <c r="G195" s="192"/>
      <c r="I195" s="192"/>
      <c r="J195" s="192"/>
      <c r="K195" s="63"/>
      <c r="R195" s="58"/>
      <c r="S195" s="192"/>
      <c r="T195" s="192"/>
      <c r="U195" s="192"/>
      <c r="V195" s="192"/>
      <c r="W195" s="192"/>
      <c r="X195" s="192"/>
      <c r="Y195" s="192"/>
      <c r="Z195" s="192"/>
      <c r="AA195" s="192"/>
      <c r="AB195" s="192"/>
      <c r="AC195" s="192"/>
      <c r="AD195" s="192"/>
      <c r="AE195" s="192"/>
      <c r="AF195" s="192"/>
      <c r="AG195" s="192"/>
      <c r="AH195" s="192"/>
      <c r="AI195" s="192"/>
      <c r="AJ195" s="192"/>
      <c r="AK195" s="192"/>
      <c r="AL195" s="192"/>
      <c r="AM195" s="192"/>
      <c r="AN195" s="192"/>
      <c r="AO195" s="192"/>
      <c r="AP195" s="192"/>
      <c r="AQ195" s="183"/>
    </row>
    <row r="196" spans="1:43" ht="15.75" thickBot="1" x14ac:dyDescent="0.3">
      <c r="C196" s="226" t="str">
        <f>"Total Incremental Plant Balance - "&amp;C183</f>
        <v>Total Incremental Plant Balance - Red Bluff Substation</v>
      </c>
      <c r="D196" s="227"/>
      <c r="E196" s="227"/>
      <c r="F196" s="227"/>
      <c r="G196" s="227"/>
      <c r="H196" s="227"/>
      <c r="I196" s="227"/>
      <c r="J196" s="228"/>
      <c r="K196" s="63"/>
      <c r="L196" s="125"/>
      <c r="M196" s="126"/>
      <c r="N196" s="126"/>
      <c r="O196" s="126"/>
      <c r="P196" s="126"/>
      <c r="Q196" s="127"/>
      <c r="R196" s="58"/>
      <c r="S196" s="184">
        <f>S194</f>
        <v>41.490830000000003</v>
      </c>
      <c r="T196" s="185">
        <f t="shared" ref="T196:AL196" si="90">T194+S196</f>
        <v>86.869510000000005</v>
      </c>
      <c r="U196" s="185">
        <f t="shared" si="90"/>
        <v>156.87477000000001</v>
      </c>
      <c r="V196" s="185">
        <f t="shared" si="90"/>
        <v>221.87477000000001</v>
      </c>
      <c r="W196" s="185">
        <f t="shared" si="90"/>
        <v>286.87477000000001</v>
      </c>
      <c r="X196" s="185">
        <f t="shared" si="90"/>
        <v>351.87477000000001</v>
      </c>
      <c r="Y196" s="185">
        <f t="shared" si="90"/>
        <v>416.87477000000001</v>
      </c>
      <c r="Z196" s="185">
        <f t="shared" si="90"/>
        <v>481.87477000000001</v>
      </c>
      <c r="AA196" s="185">
        <f t="shared" si="90"/>
        <v>546.87477000000001</v>
      </c>
      <c r="AB196" s="185">
        <f t="shared" si="90"/>
        <v>626.87477000000001</v>
      </c>
      <c r="AC196" s="185">
        <f t="shared" si="90"/>
        <v>706.87477000000001</v>
      </c>
      <c r="AD196" s="186">
        <f t="shared" si="90"/>
        <v>9045.2039700000005</v>
      </c>
      <c r="AE196" s="185">
        <f>AE194+AD196</f>
        <v>9045.2039700000005</v>
      </c>
      <c r="AF196" s="185">
        <f t="shared" si="90"/>
        <v>9045.2039700000005</v>
      </c>
      <c r="AG196" s="185">
        <f t="shared" si="90"/>
        <v>9045.2039700000005</v>
      </c>
      <c r="AH196" s="185">
        <f t="shared" si="90"/>
        <v>9045.2039700000005</v>
      </c>
      <c r="AI196" s="185">
        <f t="shared" si="90"/>
        <v>9045.2039700000005</v>
      </c>
      <c r="AJ196" s="185">
        <f t="shared" si="90"/>
        <v>9045.2039700000005</v>
      </c>
      <c r="AK196" s="185">
        <f t="shared" si="90"/>
        <v>9045.2039700000005</v>
      </c>
      <c r="AL196" s="185">
        <f t="shared" si="90"/>
        <v>9045.2039700000005</v>
      </c>
      <c r="AM196" s="185">
        <f>AM194+AL196</f>
        <v>9045.2039700000005</v>
      </c>
      <c r="AN196" s="185">
        <f>AN194+AM196</f>
        <v>9045.2039700000005</v>
      </c>
      <c r="AO196" s="185">
        <f>AO194+AN196</f>
        <v>9045.2039700000005</v>
      </c>
      <c r="AP196" s="186">
        <f>AP194+AO196</f>
        <v>9045.2039700000005</v>
      </c>
      <c r="AQ196" s="183"/>
    </row>
    <row r="197" spans="1:43" ht="15.75" thickTop="1" x14ac:dyDescent="0.25">
      <c r="C197" s="67"/>
      <c r="D197" s="68"/>
      <c r="E197" s="67"/>
      <c r="F197" s="273"/>
      <c r="G197" s="273"/>
      <c r="H197" s="273"/>
      <c r="I197" s="273"/>
      <c r="J197" s="273"/>
      <c r="K197" s="63"/>
      <c r="L197" s="129"/>
      <c r="M197" s="129"/>
      <c r="N197" s="129"/>
      <c r="O197" s="129"/>
      <c r="P197" s="129"/>
      <c r="Q197" s="129"/>
      <c r="R197" s="58"/>
      <c r="S197" s="193"/>
      <c r="T197" s="193"/>
      <c r="U197" s="193"/>
      <c r="V197" s="193"/>
      <c r="W197" s="193"/>
      <c r="X197" s="193"/>
      <c r="Y197" s="193"/>
      <c r="Z197" s="193"/>
      <c r="AA197" s="193"/>
      <c r="AB197" s="193"/>
      <c r="AC197" s="193"/>
      <c r="AD197" s="193"/>
      <c r="AE197" s="193"/>
      <c r="AF197" s="193"/>
      <c r="AG197" s="193"/>
      <c r="AH197" s="193"/>
      <c r="AI197" s="193"/>
      <c r="AJ197" s="193"/>
      <c r="AK197" s="193"/>
      <c r="AL197" s="193"/>
      <c r="AM197" s="193"/>
      <c r="AN197" s="193"/>
      <c r="AO197" s="193"/>
      <c r="AP197" s="193"/>
      <c r="AQ197" s="183"/>
    </row>
    <row r="198" spans="1:43" s="107" customFormat="1" x14ac:dyDescent="0.25">
      <c r="A198" s="187"/>
      <c r="B198" s="188"/>
      <c r="C198" s="189"/>
      <c r="D198" s="190"/>
      <c r="E198" s="191"/>
      <c r="F198" s="192"/>
      <c r="G198" s="192"/>
      <c r="I198" s="192"/>
      <c r="J198" s="192"/>
      <c r="K198" s="63"/>
      <c r="L198" s="119"/>
      <c r="M198" s="119"/>
      <c r="N198" s="119"/>
      <c r="O198" s="119"/>
      <c r="P198" s="119"/>
      <c r="Q198" s="119"/>
      <c r="R198" s="58"/>
      <c r="S198" s="192"/>
      <c r="T198" s="192"/>
      <c r="U198" s="192"/>
      <c r="V198" s="192"/>
      <c r="W198" s="192"/>
      <c r="X198" s="192"/>
      <c r="Y198" s="192"/>
      <c r="Z198" s="192"/>
      <c r="AA198" s="192"/>
      <c r="AB198" s="192"/>
      <c r="AC198" s="192"/>
      <c r="AD198" s="192"/>
      <c r="AE198" s="192"/>
      <c r="AF198" s="192"/>
      <c r="AG198" s="192"/>
      <c r="AH198" s="192"/>
      <c r="AI198" s="192"/>
      <c r="AJ198" s="192"/>
      <c r="AK198" s="192"/>
      <c r="AL198" s="192"/>
      <c r="AM198" s="192"/>
      <c r="AN198" s="192"/>
      <c r="AO198" s="192"/>
      <c r="AP198" s="192"/>
      <c r="AQ198" s="183"/>
    </row>
    <row r="199" spans="1:43" s="107" customFormat="1" x14ac:dyDescent="0.25">
      <c r="A199" s="187"/>
      <c r="B199" s="188"/>
      <c r="C199" s="176" t="s">
        <v>34</v>
      </c>
      <c r="D199" s="172"/>
      <c r="E199" s="173"/>
      <c r="F199" s="106"/>
      <c r="G199" s="106"/>
      <c r="H199" s="105"/>
      <c r="I199" s="106"/>
      <c r="J199" s="106"/>
      <c r="K199" s="63"/>
      <c r="L199" s="105"/>
      <c r="M199" s="105"/>
      <c r="N199" s="105"/>
      <c r="O199" s="105"/>
      <c r="P199" s="105"/>
      <c r="Q199" s="105"/>
      <c r="R199" s="58"/>
      <c r="S199" s="106"/>
      <c r="T199" s="106"/>
      <c r="U199" s="106"/>
      <c r="V199" s="106"/>
      <c r="W199" s="106"/>
      <c r="X199" s="106"/>
      <c r="Y199" s="106"/>
      <c r="Z199" s="106"/>
      <c r="AA199" s="106"/>
      <c r="AB199" s="106"/>
      <c r="AC199" s="106"/>
      <c r="AD199" s="106"/>
      <c r="AE199" s="106"/>
      <c r="AF199" s="106"/>
      <c r="AG199" s="106"/>
      <c r="AH199" s="106"/>
      <c r="AI199" s="106"/>
      <c r="AJ199" s="106"/>
      <c r="AK199" s="106"/>
      <c r="AL199" s="106"/>
      <c r="AM199" s="106"/>
      <c r="AN199" s="106"/>
      <c r="AO199" s="106"/>
      <c r="AP199" s="106"/>
      <c r="AQ199" s="183"/>
    </row>
    <row r="200" spans="1:43" s="107" customFormat="1" x14ac:dyDescent="0.25">
      <c r="A200" s="187"/>
      <c r="B200" s="188"/>
      <c r="C200" s="173" t="s">
        <v>35</v>
      </c>
      <c r="D200" s="172"/>
      <c r="E200" s="173"/>
      <c r="F200" s="106"/>
      <c r="G200" s="106"/>
      <c r="H200" s="105"/>
      <c r="I200" s="106"/>
      <c r="J200" s="106"/>
      <c r="K200" s="63"/>
      <c r="L200" s="105"/>
      <c r="M200" s="105"/>
      <c r="N200" s="105"/>
      <c r="O200" s="105"/>
      <c r="P200" s="105"/>
      <c r="Q200" s="105"/>
      <c r="R200" s="58"/>
      <c r="S200" s="106"/>
      <c r="T200" s="106"/>
      <c r="U200" s="106"/>
      <c r="V200" s="106"/>
      <c r="W200" s="106"/>
      <c r="X200" s="106"/>
      <c r="Y200" s="106"/>
      <c r="Z200" s="106"/>
      <c r="AA200" s="106"/>
      <c r="AB200" s="106"/>
      <c r="AC200" s="106"/>
      <c r="AD200" s="106"/>
      <c r="AE200" s="106"/>
      <c r="AF200" s="106"/>
      <c r="AG200" s="106"/>
      <c r="AH200" s="106"/>
      <c r="AI200" s="106"/>
      <c r="AJ200" s="106"/>
      <c r="AK200" s="106"/>
      <c r="AL200" s="106"/>
      <c r="AM200" s="106"/>
      <c r="AN200" s="106"/>
      <c r="AO200" s="106"/>
      <c r="AP200" s="106"/>
      <c r="AQ200" s="183"/>
    </row>
    <row r="201" spans="1:43" s="107" customFormat="1" ht="15.75" thickBot="1" x14ac:dyDescent="0.3">
      <c r="A201" s="187"/>
      <c r="B201" s="188"/>
      <c r="C201" s="173"/>
      <c r="D201" s="172"/>
      <c r="E201" s="173"/>
      <c r="F201" s="106"/>
      <c r="G201" s="106"/>
      <c r="H201" s="105"/>
      <c r="I201" s="106"/>
      <c r="J201" s="106"/>
      <c r="K201" s="63"/>
      <c r="L201" s="105"/>
      <c r="M201" s="105"/>
      <c r="N201" s="105"/>
      <c r="O201" s="105"/>
      <c r="P201" s="105"/>
      <c r="Q201" s="105"/>
      <c r="R201" s="58"/>
      <c r="S201" s="106"/>
      <c r="T201" s="106"/>
      <c r="U201" s="106"/>
      <c r="V201" s="106"/>
      <c r="W201" s="106"/>
      <c r="X201" s="106"/>
      <c r="Y201" s="106"/>
      <c r="Z201" s="106"/>
      <c r="AA201" s="106"/>
      <c r="AB201" s="106"/>
      <c r="AC201" s="106"/>
      <c r="AD201" s="106"/>
      <c r="AE201" s="106"/>
      <c r="AF201" s="106"/>
      <c r="AG201" s="106"/>
      <c r="AH201" s="106"/>
      <c r="AI201" s="106"/>
      <c r="AJ201" s="106"/>
      <c r="AK201" s="106"/>
      <c r="AL201" s="106"/>
      <c r="AM201" s="106"/>
      <c r="AN201" s="106"/>
      <c r="AO201" s="106"/>
      <c r="AP201" s="106"/>
      <c r="AQ201" s="183"/>
    </row>
    <row r="202" spans="1:43" s="117" customFormat="1" ht="30.75" thickBot="1" x14ac:dyDescent="0.3">
      <c r="A202" s="169"/>
      <c r="B202" s="170"/>
      <c r="C202" s="51" t="s">
        <v>15</v>
      </c>
      <c r="D202" s="52" t="s">
        <v>16</v>
      </c>
      <c r="E202" s="53" t="s">
        <v>17</v>
      </c>
      <c r="F202" s="54" t="s">
        <v>18</v>
      </c>
      <c r="G202" s="45" t="s">
        <v>19</v>
      </c>
      <c r="H202" s="45" t="s">
        <v>20</v>
      </c>
      <c r="I202" s="45" t="s">
        <v>21</v>
      </c>
      <c r="J202" s="46" t="s">
        <v>22</v>
      </c>
      <c r="K202" s="63"/>
      <c r="L202" s="44" t="str">
        <f t="shared" ref="L202:Q202" si="91">L$11</f>
        <v>2014 CWIP</v>
      </c>
      <c r="M202" s="45" t="str">
        <f t="shared" si="91"/>
        <v>2015 Total Expenditures</v>
      </c>
      <c r="N202" s="45" t="str">
        <f t="shared" si="91"/>
        <v>2016 Total Expenditures</v>
      </c>
      <c r="O202" s="45" t="str">
        <f t="shared" si="91"/>
        <v>2014 ISO CWIP Less Collectible</v>
      </c>
      <c r="P202" s="45" t="str">
        <f t="shared" si="91"/>
        <v>2015 ISO Expenditures Less Collectible</v>
      </c>
      <c r="Q202" s="46" t="str">
        <f t="shared" si="91"/>
        <v>2016 ISO Expenditures Less Collectible</v>
      </c>
      <c r="R202" s="58"/>
      <c r="S202" s="204">
        <f>$D$3</f>
        <v>42005</v>
      </c>
      <c r="T202" s="84">
        <f t="shared" ref="T202:AL202" si="92">DATE(YEAR(S202),MONTH(S202)+1,DAY(S202))</f>
        <v>42036</v>
      </c>
      <c r="U202" s="84">
        <f t="shared" si="92"/>
        <v>42064</v>
      </c>
      <c r="V202" s="84">
        <f t="shared" si="92"/>
        <v>42095</v>
      </c>
      <c r="W202" s="84">
        <f t="shared" si="92"/>
        <v>42125</v>
      </c>
      <c r="X202" s="84">
        <f t="shared" si="92"/>
        <v>42156</v>
      </c>
      <c r="Y202" s="84">
        <f t="shared" si="92"/>
        <v>42186</v>
      </c>
      <c r="Z202" s="84">
        <f t="shared" si="92"/>
        <v>42217</v>
      </c>
      <c r="AA202" s="84">
        <f t="shared" si="92"/>
        <v>42248</v>
      </c>
      <c r="AB202" s="84">
        <f t="shared" si="92"/>
        <v>42278</v>
      </c>
      <c r="AC202" s="84">
        <f t="shared" si="92"/>
        <v>42309</v>
      </c>
      <c r="AD202" s="205">
        <f t="shared" si="92"/>
        <v>42339</v>
      </c>
      <c r="AE202" s="84">
        <f>DATE(YEAR(AD202),MONTH(AD202)+1,DAY(AD202))</f>
        <v>42370</v>
      </c>
      <c r="AF202" s="84">
        <f t="shared" si="92"/>
        <v>42401</v>
      </c>
      <c r="AG202" s="84">
        <f t="shared" si="92"/>
        <v>42430</v>
      </c>
      <c r="AH202" s="84">
        <f t="shared" si="92"/>
        <v>42461</v>
      </c>
      <c r="AI202" s="84">
        <f t="shared" si="92"/>
        <v>42491</v>
      </c>
      <c r="AJ202" s="84">
        <f t="shared" si="92"/>
        <v>42522</v>
      </c>
      <c r="AK202" s="84">
        <f t="shared" si="92"/>
        <v>42552</v>
      </c>
      <c r="AL202" s="84">
        <f t="shared" si="92"/>
        <v>42583</v>
      </c>
      <c r="AM202" s="84">
        <f>DATE(YEAR(AL202),MONTH(AL202)+1,DAY(AL202))</f>
        <v>42614</v>
      </c>
      <c r="AN202" s="84">
        <f>DATE(YEAR(AM202),MONTH(AM202)+1,DAY(AM202))</f>
        <v>42644</v>
      </c>
      <c r="AO202" s="84">
        <f>DATE(YEAR(AN202),MONTH(AN202)+1,DAY(AN202))</f>
        <v>42675</v>
      </c>
      <c r="AP202" s="205">
        <f>DATE(YEAR(AO202),MONTH(AO202)+1,DAY(AO202))</f>
        <v>42705</v>
      </c>
      <c r="AQ202" s="183"/>
    </row>
    <row r="203" spans="1:43" s="183" customFormat="1" x14ac:dyDescent="0.25">
      <c r="A203" s="198" t="str">
        <f>+$C$183</f>
        <v>Red Bluff Substation</v>
      </c>
      <c r="B203" s="179" t="s">
        <v>36</v>
      </c>
      <c r="C203" s="56" t="str">
        <f t="shared" ref="C203:J207" si="93">C189</f>
        <v>CET-ET-TP-RN-692901</v>
      </c>
      <c r="D203" s="57" t="str">
        <f t="shared" si="93"/>
        <v>Modify Existing CA Series Capacitor Bank, to Provide for 70% Compensation on the D-CRS#1- 500kV Line.</v>
      </c>
      <c r="E203" s="58" t="str">
        <f t="shared" si="93"/>
        <v>6929</v>
      </c>
      <c r="F203" s="60" t="str">
        <f t="shared" si="93"/>
        <v>High</v>
      </c>
      <c r="G203" s="59">
        <f t="shared" si="93"/>
        <v>41699</v>
      </c>
      <c r="H203" s="60" t="str">
        <f t="shared" si="93"/>
        <v>TR-SUBINC</v>
      </c>
      <c r="I203" s="61">
        <f t="shared" si="93"/>
        <v>0</v>
      </c>
      <c r="J203" s="62">
        <f t="shared" si="93"/>
        <v>1</v>
      </c>
      <c r="K203" s="63"/>
      <c r="L203" s="234">
        <f t="shared" ref="L203:N207" si="94">L189</f>
        <v>0</v>
      </c>
      <c r="M203" s="64">
        <f t="shared" si="94"/>
        <v>2.8774199999999999</v>
      </c>
      <c r="N203" s="64">
        <f t="shared" si="94"/>
        <v>0</v>
      </c>
      <c r="O203" s="64">
        <f t="shared" ref="O203:O207" si="95">$L203*$J203*(1-$I203)</f>
        <v>0</v>
      </c>
      <c r="P203" s="64">
        <f t="shared" ref="P203:P207" si="96">$M203*$J203*(1-$I203)</f>
        <v>2.8774199999999999</v>
      </c>
      <c r="Q203" s="65">
        <f t="shared" ref="Q203:Q207" si="97">$N203*$J203*(1-$I203)</f>
        <v>0</v>
      </c>
      <c r="R203" s="59"/>
      <c r="S203" s="206">
        <v>0</v>
      </c>
      <c r="T203" s="207">
        <v>0.18512999999999999</v>
      </c>
      <c r="U203" s="207">
        <v>2.6922899999999998</v>
      </c>
      <c r="V203" s="207">
        <v>0</v>
      </c>
      <c r="W203" s="207">
        <v>0</v>
      </c>
      <c r="X203" s="207">
        <v>0</v>
      </c>
      <c r="Y203" s="207">
        <v>0</v>
      </c>
      <c r="Z203" s="207">
        <v>0</v>
      </c>
      <c r="AA203" s="207">
        <v>0</v>
      </c>
      <c r="AB203" s="207">
        <v>0</v>
      </c>
      <c r="AC203" s="207">
        <v>0</v>
      </c>
      <c r="AD203" s="207">
        <v>0</v>
      </c>
      <c r="AE203" s="207">
        <v>0</v>
      </c>
      <c r="AF203" s="207">
        <v>0</v>
      </c>
      <c r="AG203" s="207">
        <v>0</v>
      </c>
      <c r="AH203" s="207">
        <v>0</v>
      </c>
      <c r="AI203" s="207">
        <v>0</v>
      </c>
      <c r="AJ203" s="207">
        <v>0</v>
      </c>
      <c r="AK203" s="207">
        <v>0</v>
      </c>
      <c r="AL203" s="207">
        <v>0</v>
      </c>
      <c r="AM203" s="207">
        <v>0</v>
      </c>
      <c r="AN203" s="207">
        <v>0</v>
      </c>
      <c r="AO203" s="207">
        <v>0</v>
      </c>
      <c r="AP203" s="197">
        <v>0</v>
      </c>
    </row>
    <row r="204" spans="1:43" s="183" customFormat="1" x14ac:dyDescent="0.25">
      <c r="A204" s="198" t="str">
        <f t="shared" ref="A204:A207" si="98">+$C$183</f>
        <v>Red Bluff Substation</v>
      </c>
      <c r="B204" s="179" t="s">
        <v>36</v>
      </c>
      <c r="C204" s="56" t="str">
        <f t="shared" si="93"/>
        <v>CET-ET-TP-RN-692900</v>
      </c>
      <c r="D204" s="66" t="str">
        <f t="shared" si="93"/>
        <v>Red Bluff Substation: Construct a new 500/230kV substation.</v>
      </c>
      <c r="E204" s="58" t="str">
        <f t="shared" si="93"/>
        <v>6929</v>
      </c>
      <c r="F204" s="60" t="str">
        <f t="shared" si="93"/>
        <v>High</v>
      </c>
      <c r="G204" s="59">
        <f t="shared" si="93"/>
        <v>41426</v>
      </c>
      <c r="H204" s="60" t="str">
        <f t="shared" si="93"/>
        <v>TR-SUBINC</v>
      </c>
      <c r="I204" s="61">
        <f t="shared" si="93"/>
        <v>0</v>
      </c>
      <c r="J204" s="62">
        <f t="shared" si="93"/>
        <v>1</v>
      </c>
      <c r="K204" s="63"/>
      <c r="L204" s="234">
        <f t="shared" si="94"/>
        <v>0</v>
      </c>
      <c r="M204" s="64">
        <f t="shared" si="94"/>
        <v>780.99734999999998</v>
      </c>
      <c r="N204" s="64">
        <f t="shared" si="94"/>
        <v>0</v>
      </c>
      <c r="O204" s="64">
        <f t="shared" si="95"/>
        <v>0</v>
      </c>
      <c r="P204" s="64">
        <f t="shared" si="96"/>
        <v>780.99734999999998</v>
      </c>
      <c r="Q204" s="65">
        <f t="shared" si="97"/>
        <v>0</v>
      </c>
      <c r="R204" s="59"/>
      <c r="S204" s="180">
        <v>41.490830000000003</v>
      </c>
      <c r="T204" s="181">
        <v>45.193550000000002</v>
      </c>
      <c r="U204" s="181">
        <v>67.312970000000007</v>
      </c>
      <c r="V204" s="181">
        <v>65</v>
      </c>
      <c r="W204" s="181">
        <v>65</v>
      </c>
      <c r="X204" s="181">
        <v>65</v>
      </c>
      <c r="Y204" s="181">
        <v>65</v>
      </c>
      <c r="Z204" s="181">
        <v>65</v>
      </c>
      <c r="AA204" s="181">
        <v>65</v>
      </c>
      <c r="AB204" s="181">
        <v>80</v>
      </c>
      <c r="AC204" s="181">
        <v>80</v>
      </c>
      <c r="AD204" s="181">
        <v>77</v>
      </c>
      <c r="AE204" s="181">
        <v>0</v>
      </c>
      <c r="AF204" s="181">
        <v>0</v>
      </c>
      <c r="AG204" s="181">
        <v>0</v>
      </c>
      <c r="AH204" s="181">
        <v>0</v>
      </c>
      <c r="AI204" s="181">
        <v>0</v>
      </c>
      <c r="AJ204" s="181">
        <v>0</v>
      </c>
      <c r="AK204" s="181">
        <v>0</v>
      </c>
      <c r="AL204" s="181">
        <v>0</v>
      </c>
      <c r="AM204" s="181">
        <v>0</v>
      </c>
      <c r="AN204" s="181">
        <v>0</v>
      </c>
      <c r="AO204" s="181">
        <v>0</v>
      </c>
      <c r="AP204" s="182">
        <v>0</v>
      </c>
    </row>
    <row r="205" spans="1:43" s="183" customFormat="1" x14ac:dyDescent="0.25">
      <c r="A205" s="198" t="str">
        <f t="shared" si="98"/>
        <v>Red Bluff Substation</v>
      </c>
      <c r="B205" s="179" t="s">
        <v>36</v>
      </c>
      <c r="C205" s="56" t="str">
        <f t="shared" si="93"/>
        <v>CET-ET-TP-RN-692905</v>
      </c>
      <c r="D205" s="66" t="str">
        <f t="shared" si="93"/>
        <v xml:space="preserve">Devers-Palo Verde 500 kV Line: Loop the existing line in and out of Red Bluff Substation and form the two new Colorado River-Red Bluff and Devers-Red Bluff 500kV T/L's. </v>
      </c>
      <c r="E205" s="58" t="str">
        <f t="shared" si="93"/>
        <v>6929</v>
      </c>
      <c r="F205" s="60" t="str">
        <f t="shared" si="93"/>
        <v>High</v>
      </c>
      <c r="G205" s="59">
        <f t="shared" si="93"/>
        <v>41609</v>
      </c>
      <c r="H205" s="60" t="str">
        <f t="shared" si="93"/>
        <v>TR-LINEINC</v>
      </c>
      <c r="I205" s="61">
        <f t="shared" si="93"/>
        <v>0</v>
      </c>
      <c r="J205" s="62">
        <f t="shared" si="93"/>
        <v>1</v>
      </c>
      <c r="K205" s="63"/>
      <c r="L205" s="234">
        <f t="shared" si="94"/>
        <v>0</v>
      </c>
      <c r="M205" s="64">
        <f t="shared" si="94"/>
        <v>0</v>
      </c>
      <c r="N205" s="64">
        <f t="shared" si="94"/>
        <v>0</v>
      </c>
      <c r="O205" s="64">
        <f t="shared" si="95"/>
        <v>0</v>
      </c>
      <c r="P205" s="64">
        <f t="shared" si="96"/>
        <v>0</v>
      </c>
      <c r="Q205" s="65">
        <f t="shared" si="97"/>
        <v>0</v>
      </c>
      <c r="R205" s="59"/>
      <c r="S205" s="180">
        <v>0</v>
      </c>
      <c r="T205" s="181">
        <v>0</v>
      </c>
      <c r="U205" s="181">
        <v>0</v>
      </c>
      <c r="V205" s="181">
        <v>0</v>
      </c>
      <c r="W205" s="181">
        <v>0</v>
      </c>
      <c r="X205" s="181">
        <v>0</v>
      </c>
      <c r="Y205" s="181">
        <v>0</v>
      </c>
      <c r="Z205" s="181">
        <v>0</v>
      </c>
      <c r="AA205" s="181">
        <v>0</v>
      </c>
      <c r="AB205" s="181">
        <v>0</v>
      </c>
      <c r="AC205" s="181">
        <v>0</v>
      </c>
      <c r="AD205" s="181">
        <v>0</v>
      </c>
      <c r="AE205" s="181">
        <v>0</v>
      </c>
      <c r="AF205" s="181">
        <v>0</v>
      </c>
      <c r="AG205" s="181">
        <v>0</v>
      </c>
      <c r="AH205" s="181">
        <v>0</v>
      </c>
      <c r="AI205" s="181">
        <v>0</v>
      </c>
      <c r="AJ205" s="181">
        <v>0</v>
      </c>
      <c r="AK205" s="181">
        <v>0</v>
      </c>
      <c r="AL205" s="181">
        <v>0</v>
      </c>
      <c r="AM205" s="181">
        <v>0</v>
      </c>
      <c r="AN205" s="181">
        <v>0</v>
      </c>
      <c r="AO205" s="181">
        <v>0</v>
      </c>
      <c r="AP205" s="182">
        <v>0</v>
      </c>
    </row>
    <row r="206" spans="1:43" s="183" customFormat="1" x14ac:dyDescent="0.25">
      <c r="A206" s="198" t="str">
        <f t="shared" si="98"/>
        <v>Red Bluff Substation</v>
      </c>
      <c r="B206" s="179" t="s">
        <v>36</v>
      </c>
      <c r="C206" s="56" t="str">
        <f t="shared" si="93"/>
        <v>CET-ET-TP-RN-692907</v>
      </c>
      <c r="D206" s="66" t="str">
        <f t="shared" si="93"/>
        <v>Devers - Colorado River #2 500 kV T/L:  Loop the DCR #2 line into Red Bluff Substation and form the two new Devers- Red Bluff #2 and Colorado River-Red Bluff #2 500kV T/Ls.</v>
      </c>
      <c r="E206" s="58" t="str">
        <f t="shared" si="93"/>
        <v>6929</v>
      </c>
      <c r="F206" s="60" t="str">
        <f t="shared" si="93"/>
        <v>High</v>
      </c>
      <c r="G206" s="59">
        <f t="shared" si="93"/>
        <v>41426</v>
      </c>
      <c r="H206" s="60" t="str">
        <f t="shared" si="93"/>
        <v>TR-LINEINC</v>
      </c>
      <c r="I206" s="61">
        <f t="shared" si="93"/>
        <v>0</v>
      </c>
      <c r="J206" s="62">
        <f t="shared" si="93"/>
        <v>1</v>
      </c>
      <c r="K206" s="63"/>
      <c r="L206" s="234">
        <f t="shared" si="94"/>
        <v>0</v>
      </c>
      <c r="M206" s="64">
        <f t="shared" si="94"/>
        <v>0</v>
      </c>
      <c r="N206" s="64">
        <f t="shared" si="94"/>
        <v>0</v>
      </c>
      <c r="O206" s="64">
        <f t="shared" si="95"/>
        <v>0</v>
      </c>
      <c r="P206" s="64">
        <f t="shared" si="96"/>
        <v>0</v>
      </c>
      <c r="Q206" s="65">
        <f t="shared" si="97"/>
        <v>0</v>
      </c>
      <c r="R206" s="59"/>
      <c r="S206" s="180">
        <v>0</v>
      </c>
      <c r="T206" s="181">
        <v>0</v>
      </c>
      <c r="U206" s="181">
        <v>0</v>
      </c>
      <c r="V206" s="181">
        <v>0</v>
      </c>
      <c r="W206" s="181">
        <v>0</v>
      </c>
      <c r="X206" s="181">
        <v>0</v>
      </c>
      <c r="Y206" s="181">
        <v>0</v>
      </c>
      <c r="Z206" s="181">
        <v>0</v>
      </c>
      <c r="AA206" s="181">
        <v>0</v>
      </c>
      <c r="AB206" s="181">
        <v>0</v>
      </c>
      <c r="AC206" s="181">
        <v>0</v>
      </c>
      <c r="AD206" s="181">
        <v>0</v>
      </c>
      <c r="AE206" s="181">
        <v>0</v>
      </c>
      <c r="AF206" s="181">
        <v>0</v>
      </c>
      <c r="AG206" s="181">
        <v>0</v>
      </c>
      <c r="AH206" s="181">
        <v>0</v>
      </c>
      <c r="AI206" s="181">
        <v>0</v>
      </c>
      <c r="AJ206" s="181">
        <v>0</v>
      </c>
      <c r="AK206" s="181">
        <v>0</v>
      </c>
      <c r="AL206" s="181">
        <v>0</v>
      </c>
      <c r="AM206" s="181">
        <v>0</v>
      </c>
      <c r="AN206" s="181">
        <v>0</v>
      </c>
      <c r="AO206" s="181">
        <v>0</v>
      </c>
      <c r="AP206" s="182">
        <v>0</v>
      </c>
    </row>
    <row r="207" spans="1:43" s="183" customFormat="1" ht="15.75" thickBot="1" x14ac:dyDescent="0.3">
      <c r="A207" s="198" t="str">
        <f t="shared" si="98"/>
        <v>Red Bluff Substation</v>
      </c>
      <c r="B207" s="179" t="s">
        <v>36</v>
      </c>
      <c r="C207" s="56" t="str">
        <f t="shared" si="93"/>
        <v>CET-ET-TP-RN-692900</v>
      </c>
      <c r="D207" s="66" t="str">
        <f t="shared" si="93"/>
        <v>FIP- Red Bluff Minor</v>
      </c>
      <c r="E207" s="58" t="str">
        <f t="shared" si="93"/>
        <v>6929</v>
      </c>
      <c r="F207" s="60" t="str">
        <f t="shared" si="93"/>
        <v>High</v>
      </c>
      <c r="G207" s="59">
        <f t="shared" si="93"/>
        <v>42339</v>
      </c>
      <c r="H207" s="60" t="str">
        <f t="shared" si="93"/>
        <v>TR-SUBINC</v>
      </c>
      <c r="I207" s="61">
        <f t="shared" si="93"/>
        <v>0</v>
      </c>
      <c r="J207" s="62">
        <f t="shared" si="93"/>
        <v>1</v>
      </c>
      <c r="K207" s="63"/>
      <c r="L207" s="234">
        <f t="shared" si="94"/>
        <v>3445.3826699999995</v>
      </c>
      <c r="M207" s="64">
        <f t="shared" si="94"/>
        <v>4815.9465300000002</v>
      </c>
      <c r="N207" s="64">
        <f t="shared" si="94"/>
        <v>0</v>
      </c>
      <c r="O207" s="64">
        <f t="shared" si="95"/>
        <v>3445.3826699999995</v>
      </c>
      <c r="P207" s="64">
        <f t="shared" si="96"/>
        <v>4815.9465300000002</v>
      </c>
      <c r="Q207" s="65">
        <f t="shared" si="97"/>
        <v>0</v>
      </c>
      <c r="R207" s="59"/>
      <c r="S207" s="257">
        <v>156.68475000000001</v>
      </c>
      <c r="T207" s="258">
        <v>1349.90957</v>
      </c>
      <c r="U207" s="258">
        <v>184.35220999999999</v>
      </c>
      <c r="V207" s="258">
        <v>846</v>
      </c>
      <c r="W207" s="258">
        <v>100</v>
      </c>
      <c r="X207" s="258">
        <v>500</v>
      </c>
      <c r="Y207" s="258">
        <v>500</v>
      </c>
      <c r="Z207" s="258">
        <v>60</v>
      </c>
      <c r="AA207" s="258">
        <v>110</v>
      </c>
      <c r="AB207" s="258">
        <v>156</v>
      </c>
      <c r="AC207" s="258">
        <v>430</v>
      </c>
      <c r="AD207" s="258">
        <v>423</v>
      </c>
      <c r="AE207" s="258">
        <v>0</v>
      </c>
      <c r="AF207" s="258">
        <v>0</v>
      </c>
      <c r="AG207" s="258">
        <v>0</v>
      </c>
      <c r="AH207" s="258">
        <v>0</v>
      </c>
      <c r="AI207" s="258">
        <v>0</v>
      </c>
      <c r="AJ207" s="258">
        <v>0</v>
      </c>
      <c r="AK207" s="258">
        <v>0</v>
      </c>
      <c r="AL207" s="258">
        <v>0</v>
      </c>
      <c r="AM207" s="258">
        <v>0</v>
      </c>
      <c r="AN207" s="258">
        <v>0</v>
      </c>
      <c r="AO207" s="258">
        <v>0</v>
      </c>
      <c r="AP207" s="259">
        <v>0</v>
      </c>
    </row>
    <row r="208" spans="1:43" ht="15.75" thickBot="1" x14ac:dyDescent="0.3">
      <c r="C208" s="226" t="s">
        <v>37</v>
      </c>
      <c r="D208" s="227"/>
      <c r="E208" s="227"/>
      <c r="F208" s="227"/>
      <c r="G208" s="227"/>
      <c r="H208" s="227"/>
      <c r="I208" s="227"/>
      <c r="J208" s="228"/>
      <c r="K208" s="63"/>
      <c r="L208" s="125">
        <f t="shared" ref="L208:Q208" si="99">SUM(L203:L207)</f>
        <v>3445.3826699999995</v>
      </c>
      <c r="M208" s="126">
        <f t="shared" si="99"/>
        <v>5599.8213000000005</v>
      </c>
      <c r="N208" s="126">
        <f t="shared" si="99"/>
        <v>0</v>
      </c>
      <c r="O208" s="126">
        <f t="shared" si="99"/>
        <v>3445.3826699999995</v>
      </c>
      <c r="P208" s="126">
        <f t="shared" si="99"/>
        <v>5599.8213000000005</v>
      </c>
      <c r="Q208" s="127">
        <f t="shared" si="99"/>
        <v>0</v>
      </c>
      <c r="R208" s="58"/>
      <c r="S208" s="208">
        <f t="shared" ref="S208:AP208" si="100">SUM(S203:S207)</f>
        <v>198.17558000000002</v>
      </c>
      <c r="T208" s="209">
        <f t="shared" si="100"/>
        <v>1395.2882500000001</v>
      </c>
      <c r="U208" s="209">
        <f t="shared" si="100"/>
        <v>254.35746999999998</v>
      </c>
      <c r="V208" s="209">
        <f t="shared" si="100"/>
        <v>911</v>
      </c>
      <c r="W208" s="209">
        <f t="shared" si="100"/>
        <v>165</v>
      </c>
      <c r="X208" s="209">
        <f t="shared" si="100"/>
        <v>565</v>
      </c>
      <c r="Y208" s="209">
        <f t="shared" si="100"/>
        <v>565</v>
      </c>
      <c r="Z208" s="209">
        <f t="shared" si="100"/>
        <v>125</v>
      </c>
      <c r="AA208" s="209">
        <f t="shared" si="100"/>
        <v>175</v>
      </c>
      <c r="AB208" s="209">
        <f t="shared" si="100"/>
        <v>236</v>
      </c>
      <c r="AC208" s="209">
        <f t="shared" si="100"/>
        <v>510</v>
      </c>
      <c r="AD208" s="210">
        <f t="shared" si="100"/>
        <v>500</v>
      </c>
      <c r="AE208" s="209">
        <f t="shared" si="100"/>
        <v>0</v>
      </c>
      <c r="AF208" s="209">
        <f t="shared" si="100"/>
        <v>0</v>
      </c>
      <c r="AG208" s="209">
        <f t="shared" si="100"/>
        <v>0</v>
      </c>
      <c r="AH208" s="209">
        <f t="shared" si="100"/>
        <v>0</v>
      </c>
      <c r="AI208" s="209">
        <f t="shared" si="100"/>
        <v>0</v>
      </c>
      <c r="AJ208" s="209">
        <f t="shared" si="100"/>
        <v>0</v>
      </c>
      <c r="AK208" s="209">
        <f t="shared" si="100"/>
        <v>0</v>
      </c>
      <c r="AL208" s="209">
        <f t="shared" si="100"/>
        <v>0</v>
      </c>
      <c r="AM208" s="209">
        <f t="shared" si="100"/>
        <v>0</v>
      </c>
      <c r="AN208" s="209">
        <f t="shared" si="100"/>
        <v>0</v>
      </c>
      <c r="AO208" s="209">
        <f t="shared" si="100"/>
        <v>0</v>
      </c>
      <c r="AP208" s="210">
        <f t="shared" si="100"/>
        <v>0</v>
      </c>
      <c r="AQ208" s="183"/>
    </row>
    <row r="209" spans="1:43" s="118" customFormat="1" ht="15.75" thickTop="1" x14ac:dyDescent="0.25">
      <c r="A209" s="187"/>
      <c r="B209" s="188"/>
      <c r="C209" s="173"/>
      <c r="D209" s="172"/>
      <c r="E209" s="173"/>
      <c r="F209" s="106"/>
      <c r="G209" s="106"/>
      <c r="H209" s="105"/>
      <c r="I209" s="106"/>
      <c r="J209" s="106"/>
      <c r="K209" s="63"/>
      <c r="L209" s="105"/>
      <c r="M209" s="105"/>
      <c r="N209" s="105"/>
      <c r="O209" s="105"/>
      <c r="P209" s="105"/>
      <c r="Q209" s="105"/>
      <c r="R209" s="58"/>
      <c r="S209" s="212"/>
      <c r="T209" s="212"/>
      <c r="U209" s="212"/>
      <c r="V209" s="212"/>
      <c r="W209" s="212"/>
      <c r="X209" s="212"/>
      <c r="Y209" s="212"/>
      <c r="Z209" s="212"/>
      <c r="AA209" s="212"/>
      <c r="AB209" s="212"/>
      <c r="AC209" s="212"/>
      <c r="AD209" s="212"/>
      <c r="AE209" s="212"/>
      <c r="AF209" s="212"/>
      <c r="AG209" s="212"/>
      <c r="AH209" s="212"/>
      <c r="AI209" s="212"/>
      <c r="AJ209" s="212"/>
      <c r="AK209" s="212"/>
      <c r="AL209" s="212"/>
      <c r="AM209" s="212"/>
      <c r="AN209" s="212"/>
      <c r="AO209" s="212"/>
      <c r="AP209" s="212"/>
      <c r="AQ209" s="183"/>
    </row>
    <row r="210" spans="1:43" x14ac:dyDescent="0.25">
      <c r="K210" s="63"/>
      <c r="R210" s="58"/>
      <c r="AQ210" s="183"/>
    </row>
    <row r="211" spans="1:43" x14ac:dyDescent="0.25">
      <c r="K211" s="63"/>
      <c r="R211" s="58"/>
      <c r="S211" s="212"/>
      <c r="T211" s="212"/>
      <c r="U211" s="212"/>
      <c r="V211" s="212"/>
      <c r="W211" s="212"/>
      <c r="X211" s="212"/>
      <c r="Y211" s="212"/>
      <c r="Z211" s="212"/>
      <c r="AA211" s="212"/>
      <c r="AB211" s="212"/>
      <c r="AC211" s="212"/>
      <c r="AD211" s="212"/>
      <c r="AE211" s="212"/>
      <c r="AF211" s="212"/>
      <c r="AG211" s="212"/>
      <c r="AH211" s="212"/>
      <c r="AI211" s="212"/>
      <c r="AJ211" s="212"/>
      <c r="AK211" s="212"/>
      <c r="AL211" s="212"/>
      <c r="AM211" s="212"/>
      <c r="AN211" s="212"/>
      <c r="AO211" s="212"/>
      <c r="AP211" s="212"/>
      <c r="AQ211" s="183"/>
    </row>
    <row r="212" spans="1:43" ht="18.75" x14ac:dyDescent="0.25">
      <c r="C212" s="275" t="s">
        <v>41</v>
      </c>
      <c r="D212" s="276"/>
      <c r="E212" s="276"/>
      <c r="F212" s="277"/>
      <c r="G212" s="277"/>
      <c r="H212" s="277"/>
      <c r="I212" s="277"/>
      <c r="J212" s="277"/>
      <c r="K212" s="63"/>
      <c r="R212" s="58"/>
      <c r="AQ212" s="183"/>
    </row>
    <row r="213" spans="1:43" x14ac:dyDescent="0.25">
      <c r="K213" s="63"/>
      <c r="R213" s="58"/>
      <c r="AQ213" s="183"/>
    </row>
    <row r="214" spans="1:43" x14ac:dyDescent="0.25">
      <c r="C214" s="176" t="s">
        <v>31</v>
      </c>
      <c r="K214" s="63"/>
      <c r="R214" s="58"/>
      <c r="AQ214" s="183"/>
    </row>
    <row r="215" spans="1:43" ht="15" customHeight="1" x14ac:dyDescent="0.25">
      <c r="C215" s="225" t="s">
        <v>32</v>
      </c>
      <c r="D215" s="225"/>
      <c r="E215" s="225"/>
      <c r="F215" s="225"/>
      <c r="G215" s="225"/>
      <c r="H215" s="225"/>
      <c r="I215" s="225"/>
      <c r="J215" s="225"/>
      <c r="K215" s="63"/>
      <c r="R215" s="58"/>
      <c r="AQ215" s="183"/>
    </row>
    <row r="216" spans="1:43" ht="15.75" thickBot="1" x14ac:dyDescent="0.3">
      <c r="K216" s="63"/>
      <c r="R216" s="58"/>
      <c r="AQ216" s="183"/>
    </row>
    <row r="217" spans="1:43" s="117" customFormat="1" ht="30.75" thickBot="1" x14ac:dyDescent="0.3">
      <c r="A217" s="169"/>
      <c r="B217" s="170"/>
      <c r="C217" s="51" t="s">
        <v>15</v>
      </c>
      <c r="D217" s="52" t="s">
        <v>16</v>
      </c>
      <c r="E217" s="53" t="s">
        <v>17</v>
      </c>
      <c r="F217" s="54" t="s">
        <v>18</v>
      </c>
      <c r="G217" s="45" t="s">
        <v>19</v>
      </c>
      <c r="H217" s="45" t="s">
        <v>20</v>
      </c>
      <c r="I217" s="45" t="s">
        <v>21</v>
      </c>
      <c r="J217" s="46" t="s">
        <v>22</v>
      </c>
      <c r="K217" s="63"/>
      <c r="L217" s="44" t="str">
        <f t="shared" ref="L217:Q217" si="101">L$11</f>
        <v>2014 CWIP</v>
      </c>
      <c r="M217" s="45" t="str">
        <f t="shared" si="101"/>
        <v>2015 Total Expenditures</v>
      </c>
      <c r="N217" s="45" t="str">
        <f t="shared" si="101"/>
        <v>2016 Total Expenditures</v>
      </c>
      <c r="O217" s="45" t="str">
        <f t="shared" si="101"/>
        <v>2014 ISO CWIP Less Collectible</v>
      </c>
      <c r="P217" s="45" t="str">
        <f t="shared" si="101"/>
        <v>2015 ISO Expenditures Less Collectible</v>
      </c>
      <c r="Q217" s="46" t="str">
        <f t="shared" si="101"/>
        <v>2016 ISO Expenditures Less Collectible</v>
      </c>
      <c r="R217" s="58"/>
      <c r="S217" s="69">
        <f>$D$3</f>
        <v>42005</v>
      </c>
      <c r="T217" s="54">
        <f t="shared" ref="T217:AL217" si="102">DATE(YEAR(S217),MONTH(S217)+1,DAY(S217))</f>
        <v>42036</v>
      </c>
      <c r="U217" s="54">
        <f t="shared" si="102"/>
        <v>42064</v>
      </c>
      <c r="V217" s="54">
        <f t="shared" si="102"/>
        <v>42095</v>
      </c>
      <c r="W217" s="54">
        <f t="shared" si="102"/>
        <v>42125</v>
      </c>
      <c r="X217" s="54">
        <f t="shared" si="102"/>
        <v>42156</v>
      </c>
      <c r="Y217" s="54">
        <f t="shared" si="102"/>
        <v>42186</v>
      </c>
      <c r="Z217" s="54">
        <f t="shared" si="102"/>
        <v>42217</v>
      </c>
      <c r="AA217" s="54">
        <f t="shared" si="102"/>
        <v>42248</v>
      </c>
      <c r="AB217" s="54">
        <f t="shared" si="102"/>
        <v>42278</v>
      </c>
      <c r="AC217" s="54">
        <f t="shared" si="102"/>
        <v>42309</v>
      </c>
      <c r="AD217" s="177">
        <f t="shared" si="102"/>
        <v>42339</v>
      </c>
      <c r="AE217" s="54">
        <f>DATE(YEAR(AD217),MONTH(AD217)+1,DAY(AD217))</f>
        <v>42370</v>
      </c>
      <c r="AF217" s="54">
        <f t="shared" si="102"/>
        <v>42401</v>
      </c>
      <c r="AG217" s="54">
        <f t="shared" si="102"/>
        <v>42430</v>
      </c>
      <c r="AH217" s="54">
        <f t="shared" si="102"/>
        <v>42461</v>
      </c>
      <c r="AI217" s="54">
        <f t="shared" si="102"/>
        <v>42491</v>
      </c>
      <c r="AJ217" s="54">
        <f t="shared" si="102"/>
        <v>42522</v>
      </c>
      <c r="AK217" s="54">
        <f t="shared" si="102"/>
        <v>42552</v>
      </c>
      <c r="AL217" s="54">
        <f t="shared" si="102"/>
        <v>42583</v>
      </c>
      <c r="AM217" s="54">
        <f>DATE(YEAR(AL217),MONTH(AL217)+1,DAY(AL217))</f>
        <v>42614</v>
      </c>
      <c r="AN217" s="54">
        <f>DATE(YEAR(AM217),MONTH(AM217)+1,DAY(AM217))</f>
        <v>42644</v>
      </c>
      <c r="AO217" s="54">
        <f>DATE(YEAR(AN217),MONTH(AN217)+1,DAY(AN217))</f>
        <v>42675</v>
      </c>
      <c r="AP217" s="54">
        <f>DATE(YEAR(AO217),MONTH(AO217)+1,DAY(AO217))</f>
        <v>42705</v>
      </c>
      <c r="AQ217" s="196"/>
    </row>
    <row r="218" spans="1:43" s="183" customFormat="1" x14ac:dyDescent="0.25">
      <c r="A218" s="198" t="str">
        <f>+$C$212</f>
        <v>Eldorado - Ivanpah</v>
      </c>
      <c r="B218" s="179" t="s">
        <v>33</v>
      </c>
      <c r="C218" s="56" t="s">
        <v>231</v>
      </c>
      <c r="D218" s="57" t="s">
        <v>232</v>
      </c>
      <c r="E218" s="58" t="str">
        <f t="shared" ref="E218:E221" si="103">+LEFT(RIGHT(C218,6),4)</f>
        <v>6551</v>
      </c>
      <c r="F218" s="155" t="s">
        <v>70</v>
      </c>
      <c r="G218" s="59">
        <v>41456</v>
      </c>
      <c r="H218" s="60" t="s">
        <v>288</v>
      </c>
      <c r="I218" s="61">
        <v>0</v>
      </c>
      <c r="J218" s="62">
        <v>1</v>
      </c>
      <c r="K218" s="63"/>
      <c r="L218" s="233">
        <v>0</v>
      </c>
      <c r="M218" s="64">
        <f>SUM($S231:$AD231)</f>
        <v>2.6124200000000002</v>
      </c>
      <c r="N218" s="64">
        <f>SUM($AE231:$AP231)</f>
        <v>0</v>
      </c>
      <c r="O218" s="64">
        <f t="shared" ref="O218:O221" si="104">$L218*$J218*(1-$I218)</f>
        <v>0</v>
      </c>
      <c r="P218" s="64">
        <f t="shared" ref="P218:P221" si="105">$M218*$J218*(1-$I218)</f>
        <v>2.6124200000000002</v>
      </c>
      <c r="Q218" s="65">
        <f t="shared" ref="Q218:Q221" si="106">$N218*$J218*(1-$I218)</f>
        <v>0</v>
      </c>
      <c r="R218" s="59"/>
      <c r="S218" s="180">
        <f>IF(OR(RIGHT($H218,3)="RGT",RIGHT($H218,3)="INC"),IF($G218=S$217,SUM($S231:S231)+$O218,IF(S$217&gt;$G218,S231,0)),0)</f>
        <v>-33.781179999999999</v>
      </c>
      <c r="T218" s="181">
        <f>IF(OR(RIGHT($H218,3)="RGT",RIGHT($H218,3)="INC"),IF($G218=T$217,SUM($S231:T231)+$O218,IF(T$217&gt;$G218,T231,0)),0)</f>
        <v>0</v>
      </c>
      <c r="U218" s="181">
        <f>IF(OR(RIGHT($H218,3)="RGT",RIGHT($H218,3)="INC"),IF($G218=U$217,SUM($S231:U231)+$O218,IF(U$217&gt;$G218,U231,0)),0)</f>
        <v>36.393599999999999</v>
      </c>
      <c r="V218" s="181">
        <f>IF(OR(RIGHT($H218,3)="RGT",RIGHT($H218,3)="INC"),IF($G218=V$217,SUM($S231:V231)+$O218,IF(V$217&gt;$G218,V231,0)),0)</f>
        <v>0</v>
      </c>
      <c r="W218" s="181">
        <f>IF(OR(RIGHT($H218,3)="RGT",RIGHT($H218,3)="INC"),IF($G218=W$217,SUM($S231:W231)+$O218,IF(W$217&gt;$G218,W231,0)),0)</f>
        <v>0</v>
      </c>
      <c r="X218" s="181">
        <f>IF(OR(RIGHT($H218,3)="RGT",RIGHT($H218,3)="INC"),IF($G218=X$217,SUM($S231:X231)+$O218,IF(X$217&gt;$G218,X231,0)),0)</f>
        <v>0</v>
      </c>
      <c r="Y218" s="181">
        <f>IF(OR(RIGHT($H218,3)="RGT",RIGHT($H218,3)="INC"),IF($G218=Y$217,SUM($S231:Y231)+$O218,IF(Y$217&gt;$G218,Y231,0)),0)</f>
        <v>0</v>
      </c>
      <c r="Z218" s="181">
        <f>IF(OR(RIGHT($H218,3)="RGT",RIGHT($H218,3)="INC"),IF($G218=Z$217,SUM($S231:Z231)+$O218,IF(Z$217&gt;$G218,Z231,0)),0)</f>
        <v>0</v>
      </c>
      <c r="AA218" s="181">
        <f>IF(OR(RIGHT($H218,3)="RGT",RIGHT($H218,3)="INC"),IF($G218=AA$217,SUM($S231:AA231)+$O218,IF(AA$217&gt;$G218,AA231,0)),0)</f>
        <v>0</v>
      </c>
      <c r="AB218" s="181">
        <f>IF(OR(RIGHT($H218,3)="RGT",RIGHT($H218,3)="INC"),IF($G218=AB$217,SUM($S231:AB231)+$O218,IF(AB$217&gt;$G218,AB231,0)),0)</f>
        <v>0</v>
      </c>
      <c r="AC218" s="181">
        <f>IF(OR(RIGHT($H218,3)="RGT",RIGHT($H218,3)="INC"),IF($G218=AC$217,SUM($S231:AC231)+$O218,IF(AC$217&gt;$G218,AC231,0)),0)</f>
        <v>0</v>
      </c>
      <c r="AD218" s="182">
        <f>IF(OR(RIGHT($H218,3)="RGT",RIGHT($H218,3)="INC"),IF($G218=AD$217,SUM($S231:AD231)+$O218,IF(AD$217&gt;$G218,AD231,0)),0)</f>
        <v>0</v>
      </c>
      <c r="AE218" s="181">
        <f>IF(OR(RIGHT($H218,3)="RGT",RIGHT($H218,3)="INC"),IF($G218=AE$217,SUM($S231:AE231)+$O218,IF(AE$217&gt;$G218,AE231,0)),0)</f>
        <v>0</v>
      </c>
      <c r="AF218" s="181">
        <f>IF(OR(RIGHT($H218,3)="RGT",RIGHT($H218,3)="INC"),IF($G218=AF$217,SUM($S231:AF231)+$O218,IF(AF$217&gt;$G218,AF231,0)),0)</f>
        <v>0</v>
      </c>
      <c r="AG218" s="181">
        <f>IF(OR(RIGHT($H218,3)="RGT",RIGHT($H218,3)="INC"),IF($G218=AG$217,SUM($S231:AG231)+$O218,IF(AG$217&gt;$G218,AG231,0)),0)</f>
        <v>0</v>
      </c>
      <c r="AH218" s="181">
        <f>IF(OR(RIGHT($H218,3)="RGT",RIGHT($H218,3)="INC"),IF($G218=AH$217,SUM($S231:AH231)+$O218,IF(AH$217&gt;$G218,AH231,0)),0)</f>
        <v>0</v>
      </c>
      <c r="AI218" s="181">
        <f>IF(OR(RIGHT($H218,3)="RGT",RIGHT($H218,3)="INC"),IF($G218=AI$217,SUM($S231:AI231)+$O218,IF(AI$217&gt;$G218,AI231,0)),0)</f>
        <v>0</v>
      </c>
      <c r="AJ218" s="181">
        <f>IF(OR(RIGHT($H218,3)="RGT",RIGHT($H218,3)="INC"),IF($G218=AJ$217,SUM($S231:AJ231)+$O218,IF(AJ$217&gt;$G218,AJ231,0)),0)</f>
        <v>0</v>
      </c>
      <c r="AK218" s="181">
        <f>IF(OR(RIGHT($H218,3)="RGT",RIGHT($H218,3)="INC"),IF($G218=AK$217,SUM($S231:AK231)+$O218,IF(AK$217&gt;$G218,AK231,0)),0)</f>
        <v>0</v>
      </c>
      <c r="AL218" s="181">
        <f>IF(OR(RIGHT($H218,3)="RGT",RIGHT($H218,3)="INC"),IF($G218=AL$217,SUM($S231:AL231)+$O218,IF(AL$217&gt;$G218,AL231,0)),0)</f>
        <v>0</v>
      </c>
      <c r="AM218" s="181">
        <f>IF(OR(RIGHT($H218,3)="RGT",RIGHT($H218,3)="INC"),IF($G218=AM$217,SUM($S231:AM231)+$O218,IF(AM$217&gt;$G218,AM231,0)),0)</f>
        <v>0</v>
      </c>
      <c r="AN218" s="181">
        <f>IF(OR(RIGHT($H218,3)="RGT",RIGHT($H218,3)="INC"),IF($G218=AN$217,SUM($S231:AN231)+$O218,IF(AN$217&gt;$G218,AN231,0)),0)</f>
        <v>0</v>
      </c>
      <c r="AO218" s="181">
        <f>IF(OR(RIGHT($H218,3)="RGT",RIGHT($H218,3)="INC"),IF($G218=AO$217,SUM($S231:AO231)+$O218,IF(AO$217&gt;$G218,AO231,0)),0)</f>
        <v>0</v>
      </c>
      <c r="AP218" s="197">
        <f>IF(OR(RIGHT($H218,3)="RGT",RIGHT($H218,3)="INC"),IF($G218=AP$217,SUM($S231:AP231)+$O218,IF(AP$217&gt;$G218,AP231,0)),0)</f>
        <v>0</v>
      </c>
    </row>
    <row r="219" spans="1:43" s="183" customFormat="1" x14ac:dyDescent="0.25">
      <c r="A219" s="198" t="str">
        <f t="shared" ref="A219:A221" si="107">+$C$212</f>
        <v>Eldorado - Ivanpah</v>
      </c>
      <c r="B219" s="179" t="s">
        <v>33</v>
      </c>
      <c r="C219" s="56" t="s">
        <v>233</v>
      </c>
      <c r="D219" s="66" t="s">
        <v>234</v>
      </c>
      <c r="E219" s="58" t="str">
        <f t="shared" si="103"/>
        <v>6551</v>
      </c>
      <c r="F219" s="155" t="s">
        <v>70</v>
      </c>
      <c r="G219" s="59">
        <v>41426</v>
      </c>
      <c r="H219" s="60" t="s">
        <v>288</v>
      </c>
      <c r="I219" s="61">
        <v>0</v>
      </c>
      <c r="J219" s="62">
        <v>1</v>
      </c>
      <c r="K219" s="63"/>
      <c r="L219" s="122">
        <v>0</v>
      </c>
      <c r="M219" s="64">
        <f>SUM($S232:$AD232)</f>
        <v>12.1212</v>
      </c>
      <c r="N219" s="64">
        <f>SUM($AE232:$AP232)</f>
        <v>0</v>
      </c>
      <c r="O219" s="64">
        <f t="shared" si="104"/>
        <v>0</v>
      </c>
      <c r="P219" s="64">
        <f t="shared" si="105"/>
        <v>12.1212</v>
      </c>
      <c r="Q219" s="65">
        <f t="shared" si="106"/>
        <v>0</v>
      </c>
      <c r="R219" s="59"/>
      <c r="S219" s="180">
        <f>IF(OR(RIGHT($H219,3)="RGT",RIGHT($H219,3)="INC"),IF($G219=S$217,SUM($S232:S232)+$O219,IF(S$217&gt;$G219,S232,0)),0)</f>
        <v>-2.0160000000000001E-2</v>
      </c>
      <c r="T219" s="181">
        <f>IF(OR(RIGHT($H219,3)="RGT",RIGHT($H219,3)="INC"),IF($G219=T$217,SUM($S232:T232)+$O219,IF(T$217&gt;$G219,T232,0)),0)</f>
        <v>0</v>
      </c>
      <c r="U219" s="181">
        <f>IF(OR(RIGHT($H219,3)="RGT",RIGHT($H219,3)="INC"),IF($G219=U$217,SUM($S232:U232)+$O219,IF(U$217&gt;$G219,U232,0)),0)</f>
        <v>12.141360000000001</v>
      </c>
      <c r="V219" s="181">
        <f>IF(OR(RIGHT($H219,3)="RGT",RIGHT($H219,3)="INC"),IF($G219=V$217,SUM($S232:V232)+$O219,IF(V$217&gt;$G219,V232,0)),0)</f>
        <v>0</v>
      </c>
      <c r="W219" s="181">
        <f>IF(OR(RIGHT($H219,3)="RGT",RIGHT($H219,3)="INC"),IF($G219=W$217,SUM($S232:W232)+$O219,IF(W$217&gt;$G219,W232,0)),0)</f>
        <v>0</v>
      </c>
      <c r="X219" s="181">
        <f>IF(OR(RIGHT($H219,3)="RGT",RIGHT($H219,3)="INC"),IF($G219=X$217,SUM($S232:X232)+$O219,IF(X$217&gt;$G219,X232,0)),0)</f>
        <v>0</v>
      </c>
      <c r="Y219" s="181">
        <f>IF(OR(RIGHT($H219,3)="RGT",RIGHT($H219,3)="INC"),IF($G219=Y$217,SUM($S232:Y232)+$O219,IF(Y$217&gt;$G219,Y232,0)),0)</f>
        <v>0</v>
      </c>
      <c r="Z219" s="181">
        <f>IF(OR(RIGHT($H219,3)="RGT",RIGHT($H219,3)="INC"),IF($G219=Z$217,SUM($S232:Z232)+$O219,IF(Z$217&gt;$G219,Z232,0)),0)</f>
        <v>0</v>
      </c>
      <c r="AA219" s="181">
        <f>IF(OR(RIGHT($H219,3)="RGT",RIGHT($H219,3)="INC"),IF($G219=AA$217,SUM($S232:AA232)+$O219,IF(AA$217&gt;$G219,AA232,0)),0)</f>
        <v>0</v>
      </c>
      <c r="AB219" s="181">
        <f>IF(OR(RIGHT($H219,3)="RGT",RIGHT($H219,3)="INC"),IF($G219=AB$217,SUM($S232:AB232)+$O219,IF(AB$217&gt;$G219,AB232,0)),0)</f>
        <v>0</v>
      </c>
      <c r="AC219" s="181">
        <f>IF(OR(RIGHT($H219,3)="RGT",RIGHT($H219,3)="INC"),IF($G219=AC$217,SUM($S232:AC232)+$O219,IF(AC$217&gt;$G219,AC232,0)),0)</f>
        <v>0</v>
      </c>
      <c r="AD219" s="182">
        <f>IF(OR(RIGHT($H219,3)="RGT",RIGHT($H219,3)="INC"),IF($G219=AD$217,SUM($S232:AD232)+$O219,IF(AD$217&gt;$G219,AD232,0)),0)</f>
        <v>0</v>
      </c>
      <c r="AE219" s="181">
        <f>IF(OR(RIGHT($H219,3)="RGT",RIGHT($H219,3)="INC"),IF($G219=AE$217,SUM($S232:AE232)+$O219,IF(AE$217&gt;$G219,AE232,0)),0)</f>
        <v>0</v>
      </c>
      <c r="AF219" s="181">
        <f>IF(OR(RIGHT($H219,3)="RGT",RIGHT($H219,3)="INC"),IF($G219=AF$217,SUM($S232:AF232)+$O219,IF(AF$217&gt;$G219,AF232,0)),0)</f>
        <v>0</v>
      </c>
      <c r="AG219" s="181">
        <f>IF(OR(RIGHT($H219,3)="RGT",RIGHT($H219,3)="INC"),IF($G219=AG$217,SUM($S232:AG232)+$O219,IF(AG$217&gt;$G219,AG232,0)),0)</f>
        <v>0</v>
      </c>
      <c r="AH219" s="181">
        <f>IF(OR(RIGHT($H219,3)="RGT",RIGHT($H219,3)="INC"),IF($G219=AH$217,SUM($S232:AH232)+$O219,IF(AH$217&gt;$G219,AH232,0)),0)</f>
        <v>0</v>
      </c>
      <c r="AI219" s="181">
        <f>IF(OR(RIGHT($H219,3)="RGT",RIGHT($H219,3)="INC"),IF($G219=AI$217,SUM($S232:AI232)+$O219,IF(AI$217&gt;$G219,AI232,0)),0)</f>
        <v>0</v>
      </c>
      <c r="AJ219" s="181">
        <f>IF(OR(RIGHT($H219,3)="RGT",RIGHT($H219,3)="INC"),IF($G219=AJ$217,SUM($S232:AJ232)+$O219,IF(AJ$217&gt;$G219,AJ232,0)),0)</f>
        <v>0</v>
      </c>
      <c r="AK219" s="181">
        <f>IF(OR(RIGHT($H219,3)="RGT",RIGHT($H219,3)="INC"),IF($G219=AK$217,SUM($S232:AK232)+$O219,IF(AK$217&gt;$G219,AK232,0)),0)</f>
        <v>0</v>
      </c>
      <c r="AL219" s="181">
        <f>IF(OR(RIGHT($H219,3)="RGT",RIGHT($H219,3)="INC"),IF($G219=AL$217,SUM($S232:AL232)+$O219,IF(AL$217&gt;$G219,AL232,0)),0)</f>
        <v>0</v>
      </c>
      <c r="AM219" s="181">
        <f>IF(OR(RIGHT($H219,3)="RGT",RIGHT($H219,3)="INC"),IF($G219=AM$217,SUM($S232:AM232)+$O219,IF(AM$217&gt;$G219,AM232,0)),0)</f>
        <v>0</v>
      </c>
      <c r="AN219" s="181">
        <f>IF(OR(RIGHT($H219,3)="RGT",RIGHT($H219,3)="INC"),IF($G219=AN$217,SUM($S232:AN232)+$O219,IF(AN$217&gt;$G219,AN232,0)),0)</f>
        <v>0</v>
      </c>
      <c r="AO219" s="181">
        <f>IF(OR(RIGHT($H219,3)="RGT",RIGHT($H219,3)="INC"),IF($G219=AO$217,SUM($S232:AO232)+$O219,IF(AO$217&gt;$G219,AO232,0)),0)</f>
        <v>0</v>
      </c>
      <c r="AP219" s="182">
        <f>IF(OR(RIGHT($H219,3)="RGT",RIGHT($H219,3)="INC"),IF($G219=AP$217,SUM($S232:AP232)+$O219,IF(AP$217&gt;$G219,AP232,0)),0)</f>
        <v>0</v>
      </c>
    </row>
    <row r="220" spans="1:43" s="183" customFormat="1" x14ac:dyDescent="0.25">
      <c r="A220" s="198" t="str">
        <f t="shared" si="107"/>
        <v>Eldorado - Ivanpah</v>
      </c>
      <c r="B220" s="179" t="s">
        <v>33</v>
      </c>
      <c r="C220" s="56" t="s">
        <v>235</v>
      </c>
      <c r="D220" s="66" t="s">
        <v>236</v>
      </c>
      <c r="E220" s="58" t="str">
        <f t="shared" si="103"/>
        <v>6551</v>
      </c>
      <c r="F220" s="155" t="s">
        <v>70</v>
      </c>
      <c r="G220" s="59">
        <v>41395</v>
      </c>
      <c r="H220" s="60" t="s">
        <v>264</v>
      </c>
      <c r="I220" s="61">
        <v>0</v>
      </c>
      <c r="J220" s="62">
        <v>1</v>
      </c>
      <c r="K220" s="63"/>
      <c r="L220" s="282">
        <f>1.78779*0</f>
        <v>0</v>
      </c>
      <c r="M220" s="64">
        <f>SUM($S233:$AD233)</f>
        <v>3.1948799999999999</v>
      </c>
      <c r="N220" s="64">
        <f>SUM($AE233:$AP233)</f>
        <v>0</v>
      </c>
      <c r="O220" s="64">
        <f t="shared" si="104"/>
        <v>0</v>
      </c>
      <c r="P220" s="64">
        <f t="shared" si="105"/>
        <v>3.1948799999999999</v>
      </c>
      <c r="Q220" s="65">
        <f t="shared" si="106"/>
        <v>0</v>
      </c>
      <c r="R220" s="59"/>
      <c r="S220" s="180">
        <f>IF(OR(RIGHT($H220,3)="RGT",RIGHT($H220,3)="INC"),IF($G220=S$217,SUM($S233:S233)+$O220,IF(S$217&gt;$G220,S233,0)),0)</f>
        <v>0.98716999999999999</v>
      </c>
      <c r="T220" s="181">
        <f>IF(OR(RIGHT($H220,3)="RGT",RIGHT($H220,3)="INC"),IF($G220=T$217,SUM($S233:T233)+$O220,IF(T$217&gt;$G220,T233,0)),0)</f>
        <v>1.4888299999999999</v>
      </c>
      <c r="U220" s="181">
        <f>IF(OR(RIGHT($H220,3)="RGT",RIGHT($H220,3)="INC"),IF($G220=U$217,SUM($S233:U233)+$O220,IF(U$217&gt;$G220,U233,0)),0)</f>
        <v>0.71887999999999996</v>
      </c>
      <c r="V220" s="181">
        <f>IF(OR(RIGHT($H220,3)="RGT",RIGHT($H220,3)="INC"),IF($G220=V$217,SUM($S233:V233)+$O220,IF(V$217&gt;$G220,V233,0)),0)</f>
        <v>0</v>
      </c>
      <c r="W220" s="181">
        <f>IF(OR(RIGHT($H220,3)="RGT",RIGHT($H220,3)="INC"),IF($G220=W$217,SUM($S233:W233)+$O220,IF(W$217&gt;$G220,W233,0)),0)</f>
        <v>0</v>
      </c>
      <c r="X220" s="181">
        <f>IF(OR(RIGHT($H220,3)="RGT",RIGHT($H220,3)="INC"),IF($G220=X$217,SUM($S233:X233)+$O220,IF(X$217&gt;$G220,X233,0)),0)</f>
        <v>0</v>
      </c>
      <c r="Y220" s="181">
        <f>IF(OR(RIGHT($H220,3)="RGT",RIGHT($H220,3)="INC"),IF($G220=Y$217,SUM($S233:Y233)+$O220,IF(Y$217&gt;$G220,Y233,0)),0)</f>
        <v>0</v>
      </c>
      <c r="Z220" s="181">
        <f>IF(OR(RIGHT($H220,3)="RGT",RIGHT($H220,3)="INC"),IF($G220=Z$217,SUM($S233:Z233)+$O220,IF(Z$217&gt;$G220,Z233,0)),0)</f>
        <v>0</v>
      </c>
      <c r="AA220" s="181">
        <f>IF(OR(RIGHT($H220,3)="RGT",RIGHT($H220,3)="INC"),IF($G220=AA$217,SUM($S233:AA233)+$O220,IF(AA$217&gt;$G220,AA233,0)),0)</f>
        <v>0</v>
      </c>
      <c r="AB220" s="181">
        <f>IF(OR(RIGHT($H220,3)="RGT",RIGHT($H220,3)="INC"),IF($G220=AB$217,SUM($S233:AB233)+$O220,IF(AB$217&gt;$G220,AB233,0)),0)</f>
        <v>0</v>
      </c>
      <c r="AC220" s="181">
        <f>IF(OR(RIGHT($H220,3)="RGT",RIGHT($H220,3)="INC"),IF($G220=AC$217,SUM($S233:AC233)+$O220,IF(AC$217&gt;$G220,AC233,0)),0)</f>
        <v>0</v>
      </c>
      <c r="AD220" s="182">
        <f>IF(OR(RIGHT($H220,3)="RGT",RIGHT($H220,3)="INC"),IF($G220=AD$217,SUM($S233:AD233)+$O220,IF(AD$217&gt;$G220,AD233,0)),0)</f>
        <v>0</v>
      </c>
      <c r="AE220" s="181">
        <f>IF(OR(RIGHT($H220,3)="RGT",RIGHT($H220,3)="INC"),IF($G220=AE$217,SUM($S233:AE233)+$O220,IF(AE$217&gt;$G220,AE233,0)),0)</f>
        <v>0</v>
      </c>
      <c r="AF220" s="181">
        <f>IF(OR(RIGHT($H220,3)="RGT",RIGHT($H220,3)="INC"),IF($G220=AF$217,SUM($S233:AF233)+$O220,IF(AF$217&gt;$G220,AF233,0)),0)</f>
        <v>0</v>
      </c>
      <c r="AG220" s="181">
        <f>IF(OR(RIGHT($H220,3)="RGT",RIGHT($H220,3)="INC"),IF($G220=AG$217,SUM($S233:AG233)+$O220,IF(AG$217&gt;$G220,AG233,0)),0)</f>
        <v>0</v>
      </c>
      <c r="AH220" s="181">
        <f>IF(OR(RIGHT($H220,3)="RGT",RIGHT($H220,3)="INC"),IF($G220=AH$217,SUM($S233:AH233)+$O220,IF(AH$217&gt;$G220,AH233,0)),0)</f>
        <v>0</v>
      </c>
      <c r="AI220" s="181">
        <f>IF(OR(RIGHT($H220,3)="RGT",RIGHT($H220,3)="INC"),IF($G220=AI$217,SUM($S233:AI233)+$O220,IF(AI$217&gt;$G220,AI233,0)),0)</f>
        <v>0</v>
      </c>
      <c r="AJ220" s="181">
        <f>IF(OR(RIGHT($H220,3)="RGT",RIGHT($H220,3)="INC"),IF($G220=AJ$217,SUM($S233:AJ233)+$O220,IF(AJ$217&gt;$G220,AJ233,0)),0)</f>
        <v>0</v>
      </c>
      <c r="AK220" s="181">
        <f>IF(OR(RIGHT($H220,3)="RGT",RIGHT($H220,3)="INC"),IF($G220=AK$217,SUM($S233:AK233)+$O220,IF(AK$217&gt;$G220,AK233,0)),0)</f>
        <v>0</v>
      </c>
      <c r="AL220" s="181">
        <f>IF(OR(RIGHT($H220,3)="RGT",RIGHT($H220,3)="INC"),IF($G220=AL$217,SUM($S233:AL233)+$O220,IF(AL$217&gt;$G220,AL233,0)),0)</f>
        <v>0</v>
      </c>
      <c r="AM220" s="181">
        <f>IF(OR(RIGHT($H220,3)="RGT",RIGHT($H220,3)="INC"),IF($G220=AM$217,SUM($S233:AM233)+$O220,IF(AM$217&gt;$G220,AM233,0)),0)</f>
        <v>0</v>
      </c>
      <c r="AN220" s="181">
        <f>IF(OR(RIGHT($H220,3)="RGT",RIGHT($H220,3)="INC"),IF($G220=AN$217,SUM($S233:AN233)+$O220,IF(AN$217&gt;$G220,AN233,0)),0)</f>
        <v>0</v>
      </c>
      <c r="AO220" s="181">
        <f>IF(OR(RIGHT($H220,3)="RGT",RIGHT($H220,3)="INC"),IF($G220=AO$217,SUM($S233:AO233)+$O220,IF(AO$217&gt;$G220,AO233,0)),0)</f>
        <v>0</v>
      </c>
      <c r="AP220" s="182">
        <f>IF(OR(RIGHT($H220,3)="RGT",RIGHT($H220,3)="INC"),IF($G220=AP$217,SUM($S233:AP233)+$O220,IF(AP$217&gt;$G220,AP233,0)),0)</f>
        <v>0</v>
      </c>
    </row>
    <row r="221" spans="1:43" s="183" customFormat="1" x14ac:dyDescent="0.25">
      <c r="A221" s="198" t="str">
        <f t="shared" si="107"/>
        <v>Eldorado - Ivanpah</v>
      </c>
      <c r="B221" s="179" t="s">
        <v>33</v>
      </c>
      <c r="C221" s="56" t="s">
        <v>237</v>
      </c>
      <c r="D221" s="66" t="s">
        <v>238</v>
      </c>
      <c r="E221" s="58" t="str">
        <f t="shared" si="103"/>
        <v>6551</v>
      </c>
      <c r="F221" s="155" t="s">
        <v>70</v>
      </c>
      <c r="G221" s="59">
        <v>41395</v>
      </c>
      <c r="H221" s="60" t="s">
        <v>264</v>
      </c>
      <c r="I221" s="61">
        <v>0</v>
      </c>
      <c r="J221" s="62">
        <v>1</v>
      </c>
      <c r="K221" s="63"/>
      <c r="L221" s="282">
        <f>-48.95105*0</f>
        <v>0</v>
      </c>
      <c r="M221" s="64">
        <f>SUM($S234:$AD234)</f>
        <v>103.45723000000001</v>
      </c>
      <c r="N221" s="64">
        <f>SUM($AE234:$AP234)</f>
        <v>0</v>
      </c>
      <c r="O221" s="64">
        <f t="shared" si="104"/>
        <v>0</v>
      </c>
      <c r="P221" s="64">
        <f t="shared" si="105"/>
        <v>103.45723000000001</v>
      </c>
      <c r="Q221" s="65">
        <f t="shared" si="106"/>
        <v>0</v>
      </c>
      <c r="R221" s="59"/>
      <c r="S221" s="180">
        <f>IF(OR(RIGHT($H221,3)="RGT",RIGHT($H221,3)="INC"),IF($G221=S$217,SUM($S234:S234)+$O221,IF(S$217&gt;$G221,S234,0)),0)</f>
        <v>-12.161899999999999</v>
      </c>
      <c r="T221" s="181">
        <f>IF(OR(RIGHT($H221,3)="RGT",RIGHT($H221,3)="INC"),IF($G221=T$217,SUM($S234:T234)+$O221,IF(T$217&gt;$G221,T234,0)),0)</f>
        <v>0.47491</v>
      </c>
      <c r="U221" s="181">
        <f>IF(OR(RIGHT($H221,3)="RGT",RIGHT($H221,3)="INC"),IF($G221=U$217,SUM($S234:U234)+$O221,IF(U$217&gt;$G221,U234,0)),0)</f>
        <v>115.14422</v>
      </c>
      <c r="V221" s="181">
        <f>IF(OR(RIGHT($H221,3)="RGT",RIGHT($H221,3)="INC"),IF($G221=V$217,SUM($S234:V234)+$O221,IF(V$217&gt;$G221,V234,0)),0)</f>
        <v>0</v>
      </c>
      <c r="W221" s="181">
        <f>IF(OR(RIGHT($H221,3)="RGT",RIGHT($H221,3)="INC"),IF($G221=W$217,SUM($S234:W234)+$O221,IF(W$217&gt;$G221,W234,0)),0)</f>
        <v>0</v>
      </c>
      <c r="X221" s="181">
        <f>IF(OR(RIGHT($H221,3)="RGT",RIGHT($H221,3)="INC"),IF($G221=X$217,SUM($S234:X234)+$O221,IF(X$217&gt;$G221,X234,0)),0)</f>
        <v>0</v>
      </c>
      <c r="Y221" s="181">
        <f>IF(OR(RIGHT($H221,3)="RGT",RIGHT($H221,3)="INC"),IF($G221=Y$217,SUM($S234:Y234)+$O221,IF(Y$217&gt;$G221,Y234,0)),0)</f>
        <v>0</v>
      </c>
      <c r="Z221" s="181">
        <f>IF(OR(RIGHT($H221,3)="RGT",RIGHT($H221,3)="INC"),IF($G221=Z$217,SUM($S234:Z234)+$O221,IF(Z$217&gt;$G221,Z234,0)),0)</f>
        <v>0</v>
      </c>
      <c r="AA221" s="181">
        <f>IF(OR(RIGHT($H221,3)="RGT",RIGHT($H221,3)="INC"),IF($G221=AA$217,SUM($S234:AA234)+$O221,IF(AA$217&gt;$G221,AA234,0)),0)</f>
        <v>0</v>
      </c>
      <c r="AB221" s="181">
        <f>IF(OR(RIGHT($H221,3)="RGT",RIGHT($H221,3)="INC"),IF($G221=AB$217,SUM($S234:AB234)+$O221,IF(AB$217&gt;$G221,AB234,0)),0)</f>
        <v>0</v>
      </c>
      <c r="AC221" s="181">
        <f>IF(OR(RIGHT($H221,3)="RGT",RIGHT($H221,3)="INC"),IF($G221=AC$217,SUM($S234:AC234)+$O221,IF(AC$217&gt;$G221,AC234,0)),0)</f>
        <v>0</v>
      </c>
      <c r="AD221" s="182">
        <f>IF(OR(RIGHT($H221,3)="RGT",RIGHT($H221,3)="INC"),IF($G221=AD$217,SUM($S234:AD234)+$O221,IF(AD$217&gt;$G221,AD234,0)),0)</f>
        <v>0</v>
      </c>
      <c r="AE221" s="181">
        <f>IF(OR(RIGHT($H221,3)="RGT",RIGHT($H221,3)="INC"),IF($G221=AE$217,SUM($S234:AE234)+$O221,IF(AE$217&gt;$G221,AE234,0)),0)</f>
        <v>0</v>
      </c>
      <c r="AF221" s="181">
        <f>IF(OR(RIGHT($H221,3)="RGT",RIGHT($H221,3)="INC"),IF($G221=AF$217,SUM($S234:AF234)+$O221,IF(AF$217&gt;$G221,AF234,0)),0)</f>
        <v>0</v>
      </c>
      <c r="AG221" s="181">
        <f>IF(OR(RIGHT($H221,3)="RGT",RIGHT($H221,3)="INC"),IF($G221=AG$217,SUM($S234:AG234)+$O221,IF(AG$217&gt;$G221,AG234,0)),0)</f>
        <v>0</v>
      </c>
      <c r="AH221" s="181">
        <f>IF(OR(RIGHT($H221,3)="RGT",RIGHT($H221,3)="INC"),IF($G221=AH$217,SUM($S234:AH234)+$O221,IF(AH$217&gt;$G221,AH234,0)),0)</f>
        <v>0</v>
      </c>
      <c r="AI221" s="181">
        <f>IF(OR(RIGHT($H221,3)="RGT",RIGHT($H221,3)="INC"),IF($G221=AI$217,SUM($S234:AI234)+$O221,IF(AI$217&gt;$G221,AI234,0)),0)</f>
        <v>0</v>
      </c>
      <c r="AJ221" s="181">
        <f>IF(OR(RIGHT($H221,3)="RGT",RIGHT($H221,3)="INC"),IF($G221=AJ$217,SUM($S234:AJ234)+$O221,IF(AJ$217&gt;$G221,AJ234,0)),0)</f>
        <v>0</v>
      </c>
      <c r="AK221" s="181">
        <f>IF(OR(RIGHT($H221,3)="RGT",RIGHT($H221,3)="INC"),IF($G221=AK$217,SUM($S234:AK234)+$O221,IF(AK$217&gt;$G221,AK234,0)),0)</f>
        <v>0</v>
      </c>
      <c r="AL221" s="181">
        <f>IF(OR(RIGHT($H221,3)="RGT",RIGHT($H221,3)="INC"),IF($G221=AL$217,SUM($S234:AL234)+$O221,IF(AL$217&gt;$G221,AL234,0)),0)</f>
        <v>0</v>
      </c>
      <c r="AM221" s="181">
        <f>IF(OR(RIGHT($H221,3)="RGT",RIGHT($H221,3)="INC"),IF($G221=AM$217,SUM($S234:AM234)+$O221,IF(AM$217&gt;$G221,AM234,0)),0)</f>
        <v>0</v>
      </c>
      <c r="AN221" s="181">
        <f>IF(OR(RIGHT($H221,3)="RGT",RIGHT($H221,3)="INC"),IF($G221=AN$217,SUM($S234:AN234)+$O221,IF(AN$217&gt;$G221,AN234,0)),0)</f>
        <v>0</v>
      </c>
      <c r="AO221" s="181">
        <f>IF(OR(RIGHT($H221,3)="RGT",RIGHT($H221,3)="INC"),IF($G221=AO$217,SUM($S234:AO234)+$O221,IF(AO$217&gt;$G221,AO234,0)),0)</f>
        <v>0</v>
      </c>
      <c r="AP221" s="182">
        <f>IF(OR(RIGHT($H221,3)="RGT",RIGHT($H221,3)="INC"),IF($G221=AP$217,SUM($S234:AP234)+$O221,IF(AP$217&gt;$G221,AP234,0)),0)</f>
        <v>0</v>
      </c>
    </row>
    <row r="222" spans="1:43" ht="15.75" thickBot="1" x14ac:dyDescent="0.3">
      <c r="B222" s="170" t="s">
        <v>63</v>
      </c>
      <c r="C222" s="226" t="s">
        <v>26</v>
      </c>
      <c r="D222" s="227"/>
      <c r="E222" s="227"/>
      <c r="F222" s="227"/>
      <c r="G222" s="227"/>
      <c r="H222" s="227"/>
      <c r="I222" s="227"/>
      <c r="J222" s="228"/>
      <c r="K222" s="63"/>
      <c r="L222" s="125">
        <f t="shared" ref="L222:Q222" si="108">SUM(L218:L221)</f>
        <v>0</v>
      </c>
      <c r="M222" s="126">
        <f t="shared" si="108"/>
        <v>121.38573000000001</v>
      </c>
      <c r="N222" s="126">
        <f t="shared" si="108"/>
        <v>0</v>
      </c>
      <c r="O222" s="126">
        <f t="shared" si="108"/>
        <v>0</v>
      </c>
      <c r="P222" s="126">
        <f t="shared" si="108"/>
        <v>121.38573000000001</v>
      </c>
      <c r="Q222" s="127">
        <f t="shared" si="108"/>
        <v>0</v>
      </c>
      <c r="R222" s="58"/>
      <c r="S222" s="184">
        <f t="shared" ref="S222:AP222" si="109">SUM(S218:S221)</f>
        <v>-44.976069999999993</v>
      </c>
      <c r="T222" s="185">
        <f t="shared" si="109"/>
        <v>1.9637399999999998</v>
      </c>
      <c r="U222" s="185">
        <f t="shared" si="109"/>
        <v>164.39805999999999</v>
      </c>
      <c r="V222" s="185">
        <f t="shared" si="109"/>
        <v>0</v>
      </c>
      <c r="W222" s="185">
        <f t="shared" si="109"/>
        <v>0</v>
      </c>
      <c r="X222" s="185">
        <f t="shared" si="109"/>
        <v>0</v>
      </c>
      <c r="Y222" s="185">
        <f t="shared" si="109"/>
        <v>0</v>
      </c>
      <c r="Z222" s="185">
        <f t="shared" si="109"/>
        <v>0</v>
      </c>
      <c r="AA222" s="185">
        <f t="shared" si="109"/>
        <v>0</v>
      </c>
      <c r="AB222" s="185">
        <f t="shared" si="109"/>
        <v>0</v>
      </c>
      <c r="AC222" s="185">
        <f t="shared" si="109"/>
        <v>0</v>
      </c>
      <c r="AD222" s="186">
        <f t="shared" si="109"/>
        <v>0</v>
      </c>
      <c r="AE222" s="185">
        <f t="shared" si="109"/>
        <v>0</v>
      </c>
      <c r="AF222" s="185">
        <f t="shared" si="109"/>
        <v>0</v>
      </c>
      <c r="AG222" s="185">
        <f t="shared" si="109"/>
        <v>0</v>
      </c>
      <c r="AH222" s="185">
        <f t="shared" si="109"/>
        <v>0</v>
      </c>
      <c r="AI222" s="185">
        <f t="shared" si="109"/>
        <v>0</v>
      </c>
      <c r="AJ222" s="185">
        <f t="shared" si="109"/>
        <v>0</v>
      </c>
      <c r="AK222" s="185">
        <f t="shared" si="109"/>
        <v>0</v>
      </c>
      <c r="AL222" s="185">
        <f t="shared" si="109"/>
        <v>0</v>
      </c>
      <c r="AM222" s="185">
        <f t="shared" si="109"/>
        <v>0</v>
      </c>
      <c r="AN222" s="185">
        <f t="shared" si="109"/>
        <v>0</v>
      </c>
      <c r="AO222" s="185">
        <f t="shared" si="109"/>
        <v>0</v>
      </c>
      <c r="AP222" s="185">
        <f t="shared" si="109"/>
        <v>0</v>
      </c>
      <c r="AQ222" s="196"/>
    </row>
    <row r="223" spans="1:43" s="107" customFormat="1" ht="15.75" thickTop="1" x14ac:dyDescent="0.25">
      <c r="A223" s="187"/>
      <c r="B223" s="188"/>
      <c r="C223" s="189"/>
      <c r="D223" s="190"/>
      <c r="E223" s="191"/>
      <c r="F223" s="192"/>
      <c r="G223" s="192"/>
      <c r="I223" s="192"/>
      <c r="J223" s="192"/>
      <c r="K223" s="63"/>
      <c r="R223" s="58"/>
      <c r="S223" s="192"/>
      <c r="T223" s="192"/>
      <c r="U223" s="192"/>
      <c r="V223" s="192"/>
      <c r="W223" s="192"/>
      <c r="X223" s="192"/>
      <c r="Y223" s="192"/>
      <c r="Z223" s="192"/>
      <c r="AA223" s="192"/>
      <c r="AB223" s="192"/>
      <c r="AC223" s="192"/>
      <c r="AD223" s="192"/>
      <c r="AE223" s="192"/>
      <c r="AF223" s="192"/>
      <c r="AG223" s="192"/>
      <c r="AH223" s="192"/>
      <c r="AI223" s="192"/>
      <c r="AJ223" s="192"/>
      <c r="AK223" s="192"/>
      <c r="AL223" s="192"/>
      <c r="AM223" s="192"/>
      <c r="AN223" s="192"/>
      <c r="AO223" s="192"/>
      <c r="AP223" s="192"/>
      <c r="AQ223" s="183"/>
    </row>
    <row r="224" spans="1:43" ht="15.75" thickBot="1" x14ac:dyDescent="0.3">
      <c r="C224" s="226" t="str">
        <f>"Total Incremental Plant Balance - "&amp;C212</f>
        <v>Total Incremental Plant Balance - Eldorado - Ivanpah</v>
      </c>
      <c r="D224" s="227"/>
      <c r="E224" s="227"/>
      <c r="F224" s="227"/>
      <c r="G224" s="227"/>
      <c r="H224" s="227"/>
      <c r="I224" s="227"/>
      <c r="J224" s="228"/>
      <c r="K224" s="63"/>
      <c r="L224" s="125"/>
      <c r="M224" s="126"/>
      <c r="N224" s="126"/>
      <c r="O224" s="126"/>
      <c r="P224" s="126"/>
      <c r="Q224" s="127"/>
      <c r="R224" s="58"/>
      <c r="S224" s="184">
        <f>S222</f>
        <v>-44.976069999999993</v>
      </c>
      <c r="T224" s="185">
        <f t="shared" ref="T224:AL224" si="110">T222+S224</f>
        <v>-43.012329999999992</v>
      </c>
      <c r="U224" s="185">
        <f t="shared" si="110"/>
        <v>121.38573</v>
      </c>
      <c r="V224" s="185">
        <f t="shared" si="110"/>
        <v>121.38573</v>
      </c>
      <c r="W224" s="185">
        <f t="shared" si="110"/>
        <v>121.38573</v>
      </c>
      <c r="X224" s="185">
        <f t="shared" si="110"/>
        <v>121.38573</v>
      </c>
      <c r="Y224" s="185">
        <f t="shared" si="110"/>
        <v>121.38573</v>
      </c>
      <c r="Z224" s="185">
        <f t="shared" si="110"/>
        <v>121.38573</v>
      </c>
      <c r="AA224" s="185">
        <f t="shared" si="110"/>
        <v>121.38573</v>
      </c>
      <c r="AB224" s="185">
        <f t="shared" si="110"/>
        <v>121.38573</v>
      </c>
      <c r="AC224" s="185">
        <f t="shared" si="110"/>
        <v>121.38573</v>
      </c>
      <c r="AD224" s="186">
        <f t="shared" si="110"/>
        <v>121.38573</v>
      </c>
      <c r="AE224" s="185">
        <f>AE222+AD224</f>
        <v>121.38573</v>
      </c>
      <c r="AF224" s="185">
        <f t="shared" si="110"/>
        <v>121.38573</v>
      </c>
      <c r="AG224" s="185">
        <f t="shared" si="110"/>
        <v>121.38573</v>
      </c>
      <c r="AH224" s="185">
        <f t="shared" si="110"/>
        <v>121.38573</v>
      </c>
      <c r="AI224" s="185">
        <f t="shared" si="110"/>
        <v>121.38573</v>
      </c>
      <c r="AJ224" s="185">
        <f t="shared" si="110"/>
        <v>121.38573</v>
      </c>
      <c r="AK224" s="185">
        <f t="shared" si="110"/>
        <v>121.38573</v>
      </c>
      <c r="AL224" s="185">
        <f t="shared" si="110"/>
        <v>121.38573</v>
      </c>
      <c r="AM224" s="185">
        <f>AM222+AL224</f>
        <v>121.38573</v>
      </c>
      <c r="AN224" s="185">
        <f>AN222+AM224</f>
        <v>121.38573</v>
      </c>
      <c r="AO224" s="185">
        <f>AO222+AN224</f>
        <v>121.38573</v>
      </c>
      <c r="AP224" s="186">
        <f>AP222+AO224</f>
        <v>121.38573</v>
      </c>
      <c r="AQ224" s="183"/>
    </row>
    <row r="225" spans="1:43" ht="15.75" thickTop="1" x14ac:dyDescent="0.25">
      <c r="C225" s="67"/>
      <c r="D225" s="68"/>
      <c r="E225" s="67"/>
      <c r="F225" s="273"/>
      <c r="G225" s="273"/>
      <c r="H225" s="273"/>
      <c r="I225" s="273"/>
      <c r="J225" s="273"/>
      <c r="K225" s="63"/>
      <c r="L225" s="129"/>
      <c r="M225" s="129"/>
      <c r="N225" s="129"/>
      <c r="O225" s="129"/>
      <c r="P225" s="129"/>
      <c r="Q225" s="129"/>
      <c r="R225" s="58"/>
      <c r="S225" s="193"/>
      <c r="T225" s="193"/>
      <c r="U225" s="193"/>
      <c r="V225" s="193"/>
      <c r="W225" s="193"/>
      <c r="X225" s="193"/>
      <c r="Y225" s="193"/>
      <c r="Z225" s="193"/>
      <c r="AA225" s="193"/>
      <c r="AB225" s="193"/>
      <c r="AC225" s="193"/>
      <c r="AD225" s="193"/>
      <c r="AE225" s="193"/>
      <c r="AF225" s="193"/>
      <c r="AG225" s="193"/>
      <c r="AH225" s="193"/>
      <c r="AI225" s="193"/>
      <c r="AJ225" s="193"/>
      <c r="AK225" s="193"/>
      <c r="AL225" s="193"/>
      <c r="AM225" s="193"/>
      <c r="AN225" s="193"/>
      <c r="AO225" s="193"/>
      <c r="AP225" s="193"/>
      <c r="AQ225" s="183"/>
    </row>
    <row r="226" spans="1:43" s="107" customFormat="1" x14ac:dyDescent="0.25">
      <c r="A226" s="187"/>
      <c r="B226" s="188"/>
      <c r="C226" s="189"/>
      <c r="D226" s="190"/>
      <c r="E226" s="191"/>
      <c r="F226" s="192"/>
      <c r="G226" s="192"/>
      <c r="I226" s="192"/>
      <c r="J226" s="192"/>
      <c r="K226" s="63"/>
      <c r="L226" s="119"/>
      <c r="M226" s="119"/>
      <c r="N226" s="119"/>
      <c r="O226" s="119"/>
      <c r="P226" s="119"/>
      <c r="Q226" s="119"/>
      <c r="R226" s="58"/>
      <c r="S226" s="192"/>
      <c r="T226" s="192"/>
      <c r="U226" s="192"/>
      <c r="V226" s="192"/>
      <c r="W226" s="192"/>
      <c r="X226" s="192"/>
      <c r="Y226" s="192"/>
      <c r="Z226" s="192"/>
      <c r="AA226" s="192"/>
      <c r="AB226" s="192"/>
      <c r="AC226" s="192"/>
      <c r="AD226" s="192"/>
      <c r="AE226" s="192"/>
      <c r="AF226" s="192"/>
      <c r="AG226" s="192"/>
      <c r="AH226" s="192"/>
      <c r="AI226" s="192"/>
      <c r="AJ226" s="192"/>
      <c r="AK226" s="192"/>
      <c r="AL226" s="192"/>
      <c r="AM226" s="192"/>
      <c r="AN226" s="192"/>
      <c r="AO226" s="192"/>
      <c r="AP226" s="192"/>
      <c r="AQ226" s="183"/>
    </row>
    <row r="227" spans="1:43" s="107" customFormat="1" x14ac:dyDescent="0.25">
      <c r="A227" s="187"/>
      <c r="B227" s="188"/>
      <c r="C227" s="176" t="s">
        <v>34</v>
      </c>
      <c r="D227" s="172"/>
      <c r="E227" s="173"/>
      <c r="F227" s="106"/>
      <c r="G227" s="106"/>
      <c r="H227" s="105"/>
      <c r="I227" s="106"/>
      <c r="J227" s="106"/>
      <c r="K227" s="63"/>
      <c r="L227" s="105"/>
      <c r="M227" s="105"/>
      <c r="N227" s="105"/>
      <c r="O227" s="105"/>
      <c r="P227" s="105"/>
      <c r="Q227" s="105"/>
      <c r="R227" s="58"/>
      <c r="S227" s="106"/>
      <c r="T227" s="106"/>
      <c r="U227" s="106"/>
      <c r="V227" s="106"/>
      <c r="W227" s="106"/>
      <c r="X227" s="106"/>
      <c r="Y227" s="106"/>
      <c r="Z227" s="106"/>
      <c r="AA227" s="106"/>
      <c r="AB227" s="106"/>
      <c r="AC227" s="106"/>
      <c r="AD227" s="106"/>
      <c r="AE227" s="106"/>
      <c r="AF227" s="106"/>
      <c r="AG227" s="106"/>
      <c r="AH227" s="106"/>
      <c r="AI227" s="106"/>
      <c r="AJ227" s="106"/>
      <c r="AK227" s="106"/>
      <c r="AL227" s="106"/>
      <c r="AM227" s="106"/>
      <c r="AN227" s="106"/>
      <c r="AO227" s="106"/>
      <c r="AP227" s="106"/>
      <c r="AQ227" s="183"/>
    </row>
    <row r="228" spans="1:43" s="107" customFormat="1" x14ac:dyDescent="0.25">
      <c r="A228" s="187"/>
      <c r="B228" s="188"/>
      <c r="C228" s="173" t="s">
        <v>35</v>
      </c>
      <c r="D228" s="172"/>
      <c r="E228" s="173"/>
      <c r="F228" s="106"/>
      <c r="G228" s="106"/>
      <c r="H228" s="105"/>
      <c r="I228" s="106"/>
      <c r="J228" s="106"/>
      <c r="K228" s="63"/>
      <c r="L228" s="105"/>
      <c r="M228" s="105"/>
      <c r="N228" s="105"/>
      <c r="O228" s="105"/>
      <c r="P228" s="105"/>
      <c r="Q228" s="105"/>
      <c r="R228" s="58"/>
      <c r="S228" s="106"/>
      <c r="T228" s="106"/>
      <c r="U228" s="106"/>
      <c r="V228" s="106"/>
      <c r="W228" s="106"/>
      <c r="X228" s="106"/>
      <c r="Y228" s="106"/>
      <c r="Z228" s="106"/>
      <c r="AA228" s="106"/>
      <c r="AB228" s="106"/>
      <c r="AC228" s="106"/>
      <c r="AD228" s="106"/>
      <c r="AE228" s="106"/>
      <c r="AF228" s="106"/>
      <c r="AG228" s="106"/>
      <c r="AH228" s="106"/>
      <c r="AI228" s="106"/>
      <c r="AJ228" s="106"/>
      <c r="AK228" s="106"/>
      <c r="AL228" s="106"/>
      <c r="AM228" s="106"/>
      <c r="AN228" s="106"/>
      <c r="AO228" s="106"/>
      <c r="AP228" s="106"/>
      <c r="AQ228" s="183"/>
    </row>
    <row r="229" spans="1:43" s="107" customFormat="1" ht="15.75" thickBot="1" x14ac:dyDescent="0.3">
      <c r="A229" s="187"/>
      <c r="B229" s="188"/>
      <c r="C229" s="173"/>
      <c r="D229" s="172"/>
      <c r="E229" s="173"/>
      <c r="F229" s="106"/>
      <c r="G229" s="106"/>
      <c r="H229" s="105"/>
      <c r="I229" s="106"/>
      <c r="J229" s="106"/>
      <c r="K229" s="63"/>
      <c r="L229" s="105"/>
      <c r="M229" s="105"/>
      <c r="N229" s="105"/>
      <c r="O229" s="105"/>
      <c r="P229" s="105"/>
      <c r="Q229" s="105"/>
      <c r="R229" s="58"/>
      <c r="S229" s="106"/>
      <c r="T229" s="106"/>
      <c r="U229" s="106"/>
      <c r="V229" s="106"/>
      <c r="W229" s="106"/>
      <c r="X229" s="106"/>
      <c r="Y229" s="106"/>
      <c r="Z229" s="106"/>
      <c r="AA229" s="106"/>
      <c r="AB229" s="106"/>
      <c r="AC229" s="106"/>
      <c r="AD229" s="106"/>
      <c r="AE229" s="106"/>
      <c r="AF229" s="106"/>
      <c r="AG229" s="106"/>
      <c r="AH229" s="106"/>
      <c r="AI229" s="106"/>
      <c r="AJ229" s="106"/>
      <c r="AK229" s="106"/>
      <c r="AL229" s="106"/>
      <c r="AM229" s="106"/>
      <c r="AN229" s="106"/>
      <c r="AO229" s="106"/>
      <c r="AP229" s="106"/>
      <c r="AQ229" s="183"/>
    </row>
    <row r="230" spans="1:43" s="117" customFormat="1" ht="30.75" thickBot="1" x14ac:dyDescent="0.3">
      <c r="A230" s="169"/>
      <c r="B230" s="170"/>
      <c r="C230" s="51" t="s">
        <v>15</v>
      </c>
      <c r="D230" s="52" t="s">
        <v>16</v>
      </c>
      <c r="E230" s="53" t="s">
        <v>17</v>
      </c>
      <c r="F230" s="54" t="s">
        <v>18</v>
      </c>
      <c r="G230" s="45" t="s">
        <v>19</v>
      </c>
      <c r="H230" s="45" t="s">
        <v>20</v>
      </c>
      <c r="I230" s="45" t="s">
        <v>21</v>
      </c>
      <c r="J230" s="46" t="s">
        <v>22</v>
      </c>
      <c r="K230" s="63"/>
      <c r="L230" s="44" t="str">
        <f t="shared" ref="L230:Q230" si="111">L$11</f>
        <v>2014 CWIP</v>
      </c>
      <c r="M230" s="45" t="str">
        <f t="shared" si="111"/>
        <v>2015 Total Expenditures</v>
      </c>
      <c r="N230" s="45" t="str">
        <f t="shared" si="111"/>
        <v>2016 Total Expenditures</v>
      </c>
      <c r="O230" s="45" t="str">
        <f t="shared" si="111"/>
        <v>2014 ISO CWIP Less Collectible</v>
      </c>
      <c r="P230" s="45" t="str">
        <f t="shared" si="111"/>
        <v>2015 ISO Expenditures Less Collectible</v>
      </c>
      <c r="Q230" s="46" t="str">
        <f t="shared" si="111"/>
        <v>2016 ISO Expenditures Less Collectible</v>
      </c>
      <c r="R230" s="58"/>
      <c r="S230" s="204">
        <f>$D$3</f>
        <v>42005</v>
      </c>
      <c r="T230" s="84">
        <f t="shared" ref="T230:AL230" si="112">DATE(YEAR(S230),MONTH(S230)+1,DAY(S230))</f>
        <v>42036</v>
      </c>
      <c r="U230" s="84">
        <f t="shared" si="112"/>
        <v>42064</v>
      </c>
      <c r="V230" s="84">
        <f t="shared" si="112"/>
        <v>42095</v>
      </c>
      <c r="W230" s="84">
        <f t="shared" si="112"/>
        <v>42125</v>
      </c>
      <c r="X230" s="84">
        <f t="shared" si="112"/>
        <v>42156</v>
      </c>
      <c r="Y230" s="84">
        <f t="shared" si="112"/>
        <v>42186</v>
      </c>
      <c r="Z230" s="84">
        <f t="shared" si="112"/>
        <v>42217</v>
      </c>
      <c r="AA230" s="84">
        <f t="shared" si="112"/>
        <v>42248</v>
      </c>
      <c r="AB230" s="84">
        <f t="shared" si="112"/>
        <v>42278</v>
      </c>
      <c r="AC230" s="84">
        <f t="shared" si="112"/>
        <v>42309</v>
      </c>
      <c r="AD230" s="205">
        <f t="shared" si="112"/>
        <v>42339</v>
      </c>
      <c r="AE230" s="84">
        <f>DATE(YEAR(AD230),MONTH(AD230)+1,DAY(AD230))</f>
        <v>42370</v>
      </c>
      <c r="AF230" s="84">
        <f t="shared" si="112"/>
        <v>42401</v>
      </c>
      <c r="AG230" s="84">
        <f t="shared" si="112"/>
        <v>42430</v>
      </c>
      <c r="AH230" s="84">
        <f t="shared" si="112"/>
        <v>42461</v>
      </c>
      <c r="AI230" s="84">
        <f t="shared" si="112"/>
        <v>42491</v>
      </c>
      <c r="AJ230" s="84">
        <f t="shared" si="112"/>
        <v>42522</v>
      </c>
      <c r="AK230" s="84">
        <f t="shared" si="112"/>
        <v>42552</v>
      </c>
      <c r="AL230" s="84">
        <f t="shared" si="112"/>
        <v>42583</v>
      </c>
      <c r="AM230" s="84">
        <f>DATE(YEAR(AL230),MONTH(AL230)+1,DAY(AL230))</f>
        <v>42614</v>
      </c>
      <c r="AN230" s="84">
        <f>DATE(YEAR(AM230),MONTH(AM230)+1,DAY(AM230))</f>
        <v>42644</v>
      </c>
      <c r="AO230" s="84">
        <f>DATE(YEAR(AN230),MONTH(AN230)+1,DAY(AN230))</f>
        <v>42675</v>
      </c>
      <c r="AP230" s="84">
        <f>DATE(YEAR(AO230),MONTH(AO230)+1,DAY(AO230))</f>
        <v>42705</v>
      </c>
      <c r="AQ230" s="196"/>
    </row>
    <row r="231" spans="1:43" s="183" customFormat="1" x14ac:dyDescent="0.25">
      <c r="A231" s="198" t="str">
        <f>+$C$212</f>
        <v>Eldorado - Ivanpah</v>
      </c>
      <c r="B231" s="179" t="s">
        <v>36</v>
      </c>
      <c r="C231" s="56" t="str">
        <f t="shared" ref="C231:J234" si="113">C218</f>
        <v>CET-ET-TP-RN-655101</v>
      </c>
      <c r="D231" s="57" t="str">
        <f t="shared" si="113"/>
        <v>Construct a New Ivanpah 220/115 kV Substation</v>
      </c>
      <c r="E231" s="58" t="str">
        <f t="shared" si="113"/>
        <v>6551</v>
      </c>
      <c r="F231" s="60" t="str">
        <f t="shared" si="113"/>
        <v>High</v>
      </c>
      <c r="G231" s="59">
        <f t="shared" si="113"/>
        <v>41456</v>
      </c>
      <c r="H231" s="60" t="str">
        <f t="shared" si="113"/>
        <v>TR-SUBINC</v>
      </c>
      <c r="I231" s="61">
        <f t="shared" si="113"/>
        <v>0</v>
      </c>
      <c r="J231" s="62">
        <f t="shared" si="113"/>
        <v>1</v>
      </c>
      <c r="K231" s="63"/>
      <c r="L231" s="234">
        <f t="shared" ref="L231:N234" si="114">L218</f>
        <v>0</v>
      </c>
      <c r="M231" s="64">
        <f t="shared" si="114"/>
        <v>2.6124200000000002</v>
      </c>
      <c r="N231" s="64">
        <f t="shared" si="114"/>
        <v>0</v>
      </c>
      <c r="O231" s="64">
        <f t="shared" ref="O231:O234" si="115">$L231*$J231*(1-$I231)</f>
        <v>0</v>
      </c>
      <c r="P231" s="64">
        <f t="shared" ref="P231:P234" si="116">$M231*$J231*(1-$I231)</f>
        <v>2.6124200000000002</v>
      </c>
      <c r="Q231" s="65">
        <f t="shared" ref="Q231:Q234" si="117">$N231*$J231*(1-$I231)</f>
        <v>0</v>
      </c>
      <c r="R231" s="59"/>
      <c r="S231" s="206">
        <v>-33.781179999999999</v>
      </c>
      <c r="T231" s="207">
        <v>0</v>
      </c>
      <c r="U231" s="207">
        <v>36.393599999999999</v>
      </c>
      <c r="V231" s="207">
        <v>0</v>
      </c>
      <c r="W231" s="207">
        <v>0</v>
      </c>
      <c r="X231" s="207">
        <v>0</v>
      </c>
      <c r="Y231" s="207">
        <v>0</v>
      </c>
      <c r="Z231" s="207">
        <v>0</v>
      </c>
      <c r="AA231" s="207">
        <v>0</v>
      </c>
      <c r="AB231" s="207">
        <v>0</v>
      </c>
      <c r="AC231" s="207">
        <v>0</v>
      </c>
      <c r="AD231" s="207">
        <v>0</v>
      </c>
      <c r="AE231" s="207">
        <v>0</v>
      </c>
      <c r="AF231" s="207">
        <v>0</v>
      </c>
      <c r="AG231" s="207">
        <v>0</v>
      </c>
      <c r="AH231" s="207">
        <v>0</v>
      </c>
      <c r="AI231" s="207">
        <v>0</v>
      </c>
      <c r="AJ231" s="207">
        <v>0</v>
      </c>
      <c r="AK231" s="207">
        <v>0</v>
      </c>
      <c r="AL231" s="207">
        <v>0</v>
      </c>
      <c r="AM231" s="207">
        <v>0</v>
      </c>
      <c r="AN231" s="207">
        <v>0</v>
      </c>
      <c r="AO231" s="207">
        <v>0</v>
      </c>
      <c r="AP231" s="197">
        <v>0</v>
      </c>
    </row>
    <row r="232" spans="1:43" s="183" customFormat="1" x14ac:dyDescent="0.25">
      <c r="A232" s="198" t="str">
        <f t="shared" ref="A232:A234" si="118">+$C$212</f>
        <v>Eldorado - Ivanpah</v>
      </c>
      <c r="B232" s="179" t="s">
        <v>36</v>
      </c>
      <c r="C232" s="56" t="str">
        <f t="shared" si="113"/>
        <v>CET-ET-TP-RN-655103</v>
      </c>
      <c r="D232" s="66" t="str">
        <f t="shared" si="113"/>
        <v>Eldorado 220 kV Substation: Upgrades</v>
      </c>
      <c r="E232" s="58" t="str">
        <f t="shared" si="113"/>
        <v>6551</v>
      </c>
      <c r="F232" s="60" t="str">
        <f t="shared" si="113"/>
        <v>High</v>
      </c>
      <c r="G232" s="59">
        <f t="shared" si="113"/>
        <v>41426</v>
      </c>
      <c r="H232" s="60" t="str">
        <f t="shared" si="113"/>
        <v>TR-SUBINC</v>
      </c>
      <c r="I232" s="61">
        <f t="shared" si="113"/>
        <v>0</v>
      </c>
      <c r="J232" s="62">
        <f t="shared" si="113"/>
        <v>1</v>
      </c>
      <c r="K232" s="63"/>
      <c r="L232" s="234">
        <f t="shared" si="114"/>
        <v>0</v>
      </c>
      <c r="M232" s="64">
        <f t="shared" si="114"/>
        <v>12.1212</v>
      </c>
      <c r="N232" s="64">
        <f t="shared" si="114"/>
        <v>0</v>
      </c>
      <c r="O232" s="64">
        <f t="shared" si="115"/>
        <v>0</v>
      </c>
      <c r="P232" s="64">
        <f t="shared" si="116"/>
        <v>12.1212</v>
      </c>
      <c r="Q232" s="65">
        <f t="shared" si="117"/>
        <v>0</v>
      </c>
      <c r="R232" s="59"/>
      <c r="S232" s="180">
        <v>-2.0160000000000001E-2</v>
      </c>
      <c r="T232" s="181">
        <v>0</v>
      </c>
      <c r="U232" s="181">
        <v>12.141360000000001</v>
      </c>
      <c r="V232" s="181">
        <v>0</v>
      </c>
      <c r="W232" s="181">
        <v>0</v>
      </c>
      <c r="X232" s="181">
        <v>0</v>
      </c>
      <c r="Y232" s="181">
        <v>0</v>
      </c>
      <c r="Z232" s="181">
        <v>0</v>
      </c>
      <c r="AA232" s="181">
        <v>0</v>
      </c>
      <c r="AB232" s="181">
        <v>0</v>
      </c>
      <c r="AC232" s="181">
        <v>0</v>
      </c>
      <c r="AD232" s="181">
        <v>0</v>
      </c>
      <c r="AE232" s="181">
        <v>0</v>
      </c>
      <c r="AF232" s="181">
        <v>0</v>
      </c>
      <c r="AG232" s="181">
        <v>0</v>
      </c>
      <c r="AH232" s="181">
        <v>0</v>
      </c>
      <c r="AI232" s="181">
        <v>0</v>
      </c>
      <c r="AJ232" s="181">
        <v>0</v>
      </c>
      <c r="AK232" s="181">
        <v>0</v>
      </c>
      <c r="AL232" s="181">
        <v>0</v>
      </c>
      <c r="AM232" s="181">
        <v>0</v>
      </c>
      <c r="AN232" s="181">
        <v>0</v>
      </c>
      <c r="AO232" s="181">
        <v>0</v>
      </c>
      <c r="AP232" s="182">
        <v>0</v>
      </c>
    </row>
    <row r="233" spans="1:43" s="183" customFormat="1" x14ac:dyDescent="0.25">
      <c r="A233" s="198" t="str">
        <f t="shared" si="118"/>
        <v>Eldorado - Ivanpah</v>
      </c>
      <c r="B233" s="179" t="s">
        <v>36</v>
      </c>
      <c r="C233" s="56" t="str">
        <f t="shared" si="113"/>
        <v>CET-ET-TP-RN-655104</v>
      </c>
      <c r="D233" s="66" t="str">
        <f t="shared" si="113"/>
        <v>Eldorado-Ivanpah 220 kV T/L (California): Construct California portion of new 35 to 39-mile double-circuit 220 kV T/L (2B-1590).</v>
      </c>
      <c r="E233" s="58" t="str">
        <f t="shared" si="113"/>
        <v>6551</v>
      </c>
      <c r="F233" s="60" t="str">
        <f t="shared" si="113"/>
        <v>High</v>
      </c>
      <c r="G233" s="59">
        <f t="shared" si="113"/>
        <v>41395</v>
      </c>
      <c r="H233" s="60" t="str">
        <f t="shared" si="113"/>
        <v>TR-LINEINC</v>
      </c>
      <c r="I233" s="61">
        <f t="shared" si="113"/>
        <v>0</v>
      </c>
      <c r="J233" s="62">
        <f t="shared" si="113"/>
        <v>1</v>
      </c>
      <c r="K233" s="63"/>
      <c r="L233" s="234">
        <f t="shared" si="114"/>
        <v>0</v>
      </c>
      <c r="M233" s="64">
        <f t="shared" si="114"/>
        <v>3.1948799999999999</v>
      </c>
      <c r="N233" s="64">
        <f t="shared" si="114"/>
        <v>0</v>
      </c>
      <c r="O233" s="64">
        <f t="shared" si="115"/>
        <v>0</v>
      </c>
      <c r="P233" s="64">
        <f t="shared" si="116"/>
        <v>3.1948799999999999</v>
      </c>
      <c r="Q233" s="65">
        <f t="shared" si="117"/>
        <v>0</v>
      </c>
      <c r="R233" s="59"/>
      <c r="S233" s="180">
        <v>0.98716999999999999</v>
      </c>
      <c r="T233" s="181">
        <v>1.4888299999999999</v>
      </c>
      <c r="U233" s="181">
        <v>0.71887999999999996</v>
      </c>
      <c r="V233" s="181">
        <v>0</v>
      </c>
      <c r="W233" s="181">
        <v>0</v>
      </c>
      <c r="X233" s="181">
        <v>0</v>
      </c>
      <c r="Y233" s="181">
        <v>0</v>
      </c>
      <c r="Z233" s="181">
        <v>0</v>
      </c>
      <c r="AA233" s="181">
        <v>0</v>
      </c>
      <c r="AB233" s="181">
        <v>0</v>
      </c>
      <c r="AC233" s="181">
        <v>0</v>
      </c>
      <c r="AD233" s="181">
        <v>0</v>
      </c>
      <c r="AE233" s="181">
        <v>0</v>
      </c>
      <c r="AF233" s="181">
        <v>0</v>
      </c>
      <c r="AG233" s="181">
        <v>0</v>
      </c>
      <c r="AH233" s="181">
        <v>0</v>
      </c>
      <c r="AI233" s="181">
        <v>0</v>
      </c>
      <c r="AJ233" s="181">
        <v>0</v>
      </c>
      <c r="AK233" s="181">
        <v>0</v>
      </c>
      <c r="AL233" s="181">
        <v>0</v>
      </c>
      <c r="AM233" s="181">
        <v>0</v>
      </c>
      <c r="AN233" s="181">
        <v>0</v>
      </c>
      <c r="AO233" s="181">
        <v>0</v>
      </c>
      <c r="AP233" s="182">
        <v>0</v>
      </c>
    </row>
    <row r="234" spans="1:43" s="183" customFormat="1" ht="15.75" thickBot="1" x14ac:dyDescent="0.3">
      <c r="A234" s="198" t="str">
        <f t="shared" si="118"/>
        <v>Eldorado - Ivanpah</v>
      </c>
      <c r="B234" s="179" t="s">
        <v>36</v>
      </c>
      <c r="C234" s="56" t="str">
        <f t="shared" si="113"/>
        <v>CET-ET-TP-RN-655105</v>
      </c>
      <c r="D234" s="66" t="str">
        <f t="shared" si="113"/>
        <v xml:space="preserve">Eldorado-Ivanpah 220 kV T/L (Nevada): Construct Nevada portion of new 35 to 39-mile double-circuit 220 kV T/L (2B-1590) </v>
      </c>
      <c r="E234" s="58" t="str">
        <f t="shared" si="113"/>
        <v>6551</v>
      </c>
      <c r="F234" s="60" t="str">
        <f t="shared" si="113"/>
        <v>High</v>
      </c>
      <c r="G234" s="59">
        <f t="shared" si="113"/>
        <v>41395</v>
      </c>
      <c r="H234" s="60" t="str">
        <f t="shared" si="113"/>
        <v>TR-LINEINC</v>
      </c>
      <c r="I234" s="61">
        <f t="shared" si="113"/>
        <v>0</v>
      </c>
      <c r="J234" s="62">
        <f t="shared" si="113"/>
        <v>1</v>
      </c>
      <c r="K234" s="63"/>
      <c r="L234" s="234">
        <f t="shared" si="114"/>
        <v>0</v>
      </c>
      <c r="M234" s="64">
        <f t="shared" si="114"/>
        <v>103.45723000000001</v>
      </c>
      <c r="N234" s="64">
        <f t="shared" si="114"/>
        <v>0</v>
      </c>
      <c r="O234" s="64">
        <f t="shared" si="115"/>
        <v>0</v>
      </c>
      <c r="P234" s="64">
        <f t="shared" si="116"/>
        <v>103.45723000000001</v>
      </c>
      <c r="Q234" s="65">
        <f t="shared" si="117"/>
        <v>0</v>
      </c>
      <c r="R234" s="59"/>
      <c r="S234" s="257">
        <v>-12.161899999999999</v>
      </c>
      <c r="T234" s="258">
        <v>0.47491</v>
      </c>
      <c r="U234" s="258">
        <v>115.14422</v>
      </c>
      <c r="V234" s="258">
        <v>0</v>
      </c>
      <c r="W234" s="258">
        <v>0</v>
      </c>
      <c r="X234" s="258">
        <v>0</v>
      </c>
      <c r="Y234" s="258">
        <v>0</v>
      </c>
      <c r="Z234" s="258">
        <v>0</v>
      </c>
      <c r="AA234" s="258">
        <v>0</v>
      </c>
      <c r="AB234" s="258">
        <v>0</v>
      </c>
      <c r="AC234" s="258">
        <v>0</v>
      </c>
      <c r="AD234" s="258">
        <v>0</v>
      </c>
      <c r="AE234" s="258">
        <v>0</v>
      </c>
      <c r="AF234" s="258">
        <v>0</v>
      </c>
      <c r="AG234" s="258">
        <v>0</v>
      </c>
      <c r="AH234" s="258">
        <v>0</v>
      </c>
      <c r="AI234" s="258">
        <v>0</v>
      </c>
      <c r="AJ234" s="258">
        <v>0</v>
      </c>
      <c r="AK234" s="258">
        <v>0</v>
      </c>
      <c r="AL234" s="258">
        <v>0</v>
      </c>
      <c r="AM234" s="258">
        <v>0</v>
      </c>
      <c r="AN234" s="258">
        <v>0</v>
      </c>
      <c r="AO234" s="258">
        <v>0</v>
      </c>
      <c r="AP234" s="259">
        <v>0</v>
      </c>
    </row>
    <row r="235" spans="1:43" ht="15.75" thickBot="1" x14ac:dyDescent="0.3">
      <c r="C235" s="226" t="s">
        <v>37</v>
      </c>
      <c r="D235" s="227"/>
      <c r="E235" s="227"/>
      <c r="F235" s="227"/>
      <c r="G235" s="227"/>
      <c r="H235" s="227"/>
      <c r="I235" s="227"/>
      <c r="J235" s="228"/>
      <c r="K235" s="63"/>
      <c r="L235" s="125">
        <f t="shared" ref="L235:Q235" si="119">SUM(L231:L234)</f>
        <v>0</v>
      </c>
      <c r="M235" s="126">
        <f t="shared" si="119"/>
        <v>121.38573000000001</v>
      </c>
      <c r="N235" s="126">
        <f t="shared" si="119"/>
        <v>0</v>
      </c>
      <c r="O235" s="126">
        <f t="shared" si="119"/>
        <v>0</v>
      </c>
      <c r="P235" s="126">
        <f t="shared" si="119"/>
        <v>121.38573000000001</v>
      </c>
      <c r="Q235" s="127">
        <f t="shared" si="119"/>
        <v>0</v>
      </c>
      <c r="R235" s="58"/>
      <c r="S235" s="208">
        <f t="shared" ref="S235:AP235" si="120">SUM(S231:S234)</f>
        <v>-44.976069999999993</v>
      </c>
      <c r="T235" s="209">
        <f t="shared" si="120"/>
        <v>1.9637399999999998</v>
      </c>
      <c r="U235" s="209">
        <f t="shared" si="120"/>
        <v>164.39805999999999</v>
      </c>
      <c r="V235" s="209">
        <f t="shared" si="120"/>
        <v>0</v>
      </c>
      <c r="W235" s="209">
        <f t="shared" si="120"/>
        <v>0</v>
      </c>
      <c r="X235" s="209">
        <f t="shared" si="120"/>
        <v>0</v>
      </c>
      <c r="Y235" s="209">
        <f t="shared" si="120"/>
        <v>0</v>
      </c>
      <c r="Z235" s="209">
        <f t="shared" si="120"/>
        <v>0</v>
      </c>
      <c r="AA235" s="209">
        <f t="shared" si="120"/>
        <v>0</v>
      </c>
      <c r="AB235" s="209">
        <f t="shared" si="120"/>
        <v>0</v>
      </c>
      <c r="AC235" s="209">
        <f t="shared" si="120"/>
        <v>0</v>
      </c>
      <c r="AD235" s="210">
        <f t="shared" si="120"/>
        <v>0</v>
      </c>
      <c r="AE235" s="209">
        <f t="shared" si="120"/>
        <v>0</v>
      </c>
      <c r="AF235" s="209">
        <f t="shared" si="120"/>
        <v>0</v>
      </c>
      <c r="AG235" s="209">
        <f t="shared" si="120"/>
        <v>0</v>
      </c>
      <c r="AH235" s="209">
        <f t="shared" si="120"/>
        <v>0</v>
      </c>
      <c r="AI235" s="209">
        <f t="shared" si="120"/>
        <v>0</v>
      </c>
      <c r="AJ235" s="209">
        <f t="shared" si="120"/>
        <v>0</v>
      </c>
      <c r="AK235" s="209">
        <f t="shared" si="120"/>
        <v>0</v>
      </c>
      <c r="AL235" s="209">
        <f t="shared" si="120"/>
        <v>0</v>
      </c>
      <c r="AM235" s="209">
        <f t="shared" si="120"/>
        <v>0</v>
      </c>
      <c r="AN235" s="209">
        <f t="shared" si="120"/>
        <v>0</v>
      </c>
      <c r="AO235" s="209">
        <f t="shared" si="120"/>
        <v>0</v>
      </c>
      <c r="AP235" s="210">
        <f t="shared" si="120"/>
        <v>0</v>
      </c>
      <c r="AQ235" s="183"/>
    </row>
    <row r="236" spans="1:43" s="118" customFormat="1" ht="15.75" thickTop="1" x14ac:dyDescent="0.25">
      <c r="A236" s="187"/>
      <c r="B236" s="188"/>
      <c r="C236" s="173"/>
      <c r="D236" s="172"/>
      <c r="E236" s="173"/>
      <c r="F236" s="106"/>
      <c r="G236" s="106"/>
      <c r="H236" s="105"/>
      <c r="I236" s="106"/>
      <c r="J236" s="106"/>
      <c r="K236" s="63"/>
      <c r="L236" s="105"/>
      <c r="M236" s="105"/>
      <c r="N236" s="105"/>
      <c r="O236" s="105"/>
      <c r="P236" s="105"/>
      <c r="Q236" s="105"/>
      <c r="R236" s="58"/>
      <c r="S236" s="106"/>
      <c r="T236" s="106"/>
      <c r="U236" s="106"/>
      <c r="V236" s="106"/>
      <c r="W236" s="106"/>
      <c r="X236" s="106"/>
      <c r="Y236" s="106"/>
      <c r="Z236" s="106"/>
      <c r="AA236" s="106"/>
      <c r="AB236" s="106"/>
      <c r="AC236" s="106"/>
      <c r="AD236" s="106"/>
      <c r="AE236" s="106"/>
      <c r="AF236" s="106"/>
      <c r="AG236" s="106"/>
      <c r="AH236" s="106"/>
      <c r="AI236" s="106"/>
      <c r="AJ236" s="106"/>
      <c r="AK236" s="106"/>
      <c r="AL236" s="106"/>
      <c r="AM236" s="106"/>
      <c r="AN236" s="106"/>
      <c r="AO236" s="106"/>
      <c r="AP236" s="106"/>
      <c r="AQ236" s="183"/>
    </row>
    <row r="237" spans="1:43" x14ac:dyDescent="0.25">
      <c r="K237" s="63"/>
      <c r="R237" s="58"/>
      <c r="S237" s="212"/>
      <c r="T237" s="212"/>
      <c r="U237" s="212"/>
      <c r="V237" s="212"/>
      <c r="W237" s="212"/>
      <c r="X237" s="212"/>
      <c r="Y237" s="212"/>
      <c r="Z237" s="212"/>
      <c r="AA237" s="212"/>
      <c r="AB237" s="212"/>
      <c r="AC237" s="212"/>
      <c r="AD237" s="212"/>
      <c r="AE237" s="212"/>
      <c r="AF237" s="212"/>
      <c r="AG237" s="212"/>
      <c r="AH237" s="212"/>
      <c r="AI237" s="212"/>
      <c r="AJ237" s="212"/>
      <c r="AK237" s="212"/>
      <c r="AL237" s="212"/>
      <c r="AM237" s="212"/>
      <c r="AN237" s="212"/>
      <c r="AO237" s="212"/>
      <c r="AP237" s="212"/>
      <c r="AQ237" s="183"/>
    </row>
    <row r="238" spans="1:43" x14ac:dyDescent="0.25">
      <c r="K238" s="63"/>
      <c r="R238" s="58"/>
      <c r="S238" s="212"/>
      <c r="T238" s="212"/>
      <c r="U238" s="212"/>
      <c r="V238" s="212"/>
      <c r="W238" s="212"/>
      <c r="X238" s="212"/>
      <c r="Y238" s="212"/>
      <c r="Z238" s="212"/>
      <c r="AA238" s="212"/>
      <c r="AB238" s="212"/>
      <c r="AC238" s="212"/>
      <c r="AD238" s="212"/>
      <c r="AE238" s="212"/>
      <c r="AF238" s="212"/>
      <c r="AG238" s="212"/>
      <c r="AH238" s="212"/>
      <c r="AI238" s="212"/>
      <c r="AJ238" s="212"/>
      <c r="AK238" s="212"/>
      <c r="AL238" s="212"/>
      <c r="AM238" s="212"/>
      <c r="AN238" s="212"/>
      <c r="AO238" s="212"/>
      <c r="AP238" s="212"/>
      <c r="AQ238" s="183"/>
    </row>
    <row r="239" spans="1:43" ht="18.75" x14ac:dyDescent="0.25">
      <c r="C239" s="275" t="s">
        <v>42</v>
      </c>
      <c r="D239" s="276"/>
      <c r="E239" s="276"/>
      <c r="F239" s="277"/>
      <c r="G239" s="277"/>
      <c r="H239" s="277"/>
      <c r="I239" s="277"/>
      <c r="J239" s="277"/>
      <c r="K239" s="63"/>
      <c r="R239" s="58"/>
      <c r="AQ239" s="183"/>
    </row>
    <row r="240" spans="1:43" x14ac:dyDescent="0.25">
      <c r="K240" s="63"/>
      <c r="R240" s="58"/>
      <c r="AQ240" s="183"/>
    </row>
    <row r="241" spans="1:43" x14ac:dyDescent="0.25">
      <c r="C241" s="176" t="s">
        <v>31</v>
      </c>
      <c r="K241" s="63"/>
      <c r="R241" s="58"/>
      <c r="AQ241" s="183"/>
    </row>
    <row r="242" spans="1:43" ht="15" customHeight="1" x14ac:dyDescent="0.25">
      <c r="C242" s="225" t="s">
        <v>32</v>
      </c>
      <c r="D242" s="225"/>
      <c r="E242" s="225"/>
      <c r="F242" s="225"/>
      <c r="G242" s="225"/>
      <c r="H242" s="225"/>
      <c r="I242" s="225"/>
      <c r="J242" s="225"/>
      <c r="K242" s="63"/>
      <c r="R242" s="58"/>
      <c r="AQ242" s="183"/>
    </row>
    <row r="243" spans="1:43" ht="15.75" thickBot="1" x14ac:dyDescent="0.3">
      <c r="K243" s="63"/>
      <c r="R243" s="58"/>
      <c r="AQ243" s="183"/>
    </row>
    <row r="244" spans="1:43" s="117" customFormat="1" ht="30.75" thickBot="1" x14ac:dyDescent="0.3">
      <c r="A244" s="169"/>
      <c r="B244" s="170"/>
      <c r="C244" s="51" t="s">
        <v>15</v>
      </c>
      <c r="D244" s="52" t="s">
        <v>16</v>
      </c>
      <c r="E244" s="53" t="s">
        <v>17</v>
      </c>
      <c r="F244" s="54" t="s">
        <v>18</v>
      </c>
      <c r="G244" s="45" t="s">
        <v>19</v>
      </c>
      <c r="H244" s="45" t="s">
        <v>20</v>
      </c>
      <c r="I244" s="45" t="s">
        <v>21</v>
      </c>
      <c r="J244" s="46" t="s">
        <v>22</v>
      </c>
      <c r="K244" s="63"/>
      <c r="L244" s="44" t="str">
        <f t="shared" ref="L244:Q244" si="121">L$11</f>
        <v>2014 CWIP</v>
      </c>
      <c r="M244" s="45" t="str">
        <f t="shared" si="121"/>
        <v>2015 Total Expenditures</v>
      </c>
      <c r="N244" s="45" t="str">
        <f t="shared" si="121"/>
        <v>2016 Total Expenditures</v>
      </c>
      <c r="O244" s="45" t="str">
        <f t="shared" si="121"/>
        <v>2014 ISO CWIP Less Collectible</v>
      </c>
      <c r="P244" s="45" t="str">
        <f t="shared" si="121"/>
        <v>2015 ISO Expenditures Less Collectible</v>
      </c>
      <c r="Q244" s="46" t="str">
        <f t="shared" si="121"/>
        <v>2016 ISO Expenditures Less Collectible</v>
      </c>
      <c r="R244" s="58"/>
      <c r="S244" s="69">
        <f>$D$3</f>
        <v>42005</v>
      </c>
      <c r="T244" s="54">
        <f t="shared" ref="T244:AL244" si="122">DATE(YEAR(S244),MONTH(S244)+1,DAY(S244))</f>
        <v>42036</v>
      </c>
      <c r="U244" s="54">
        <f t="shared" si="122"/>
        <v>42064</v>
      </c>
      <c r="V244" s="54">
        <f t="shared" si="122"/>
        <v>42095</v>
      </c>
      <c r="W244" s="54">
        <f t="shared" si="122"/>
        <v>42125</v>
      </c>
      <c r="X244" s="54">
        <f t="shared" si="122"/>
        <v>42156</v>
      </c>
      <c r="Y244" s="54">
        <f t="shared" si="122"/>
        <v>42186</v>
      </c>
      <c r="Z244" s="54">
        <f t="shared" si="122"/>
        <v>42217</v>
      </c>
      <c r="AA244" s="54">
        <f t="shared" si="122"/>
        <v>42248</v>
      </c>
      <c r="AB244" s="54">
        <f t="shared" si="122"/>
        <v>42278</v>
      </c>
      <c r="AC244" s="54">
        <f t="shared" si="122"/>
        <v>42309</v>
      </c>
      <c r="AD244" s="177">
        <f t="shared" si="122"/>
        <v>42339</v>
      </c>
      <c r="AE244" s="54">
        <f>DATE(YEAR(AD244),MONTH(AD244)+1,DAY(AD244))</f>
        <v>42370</v>
      </c>
      <c r="AF244" s="54">
        <f t="shared" si="122"/>
        <v>42401</v>
      </c>
      <c r="AG244" s="54">
        <f t="shared" si="122"/>
        <v>42430</v>
      </c>
      <c r="AH244" s="54">
        <f t="shared" si="122"/>
        <v>42461</v>
      </c>
      <c r="AI244" s="54">
        <f t="shared" si="122"/>
        <v>42491</v>
      </c>
      <c r="AJ244" s="54">
        <f t="shared" si="122"/>
        <v>42522</v>
      </c>
      <c r="AK244" s="54">
        <f t="shared" si="122"/>
        <v>42552</v>
      </c>
      <c r="AL244" s="54">
        <f t="shared" si="122"/>
        <v>42583</v>
      </c>
      <c r="AM244" s="54">
        <f>DATE(YEAR(AL244),MONTH(AL244)+1,DAY(AL244))</f>
        <v>42614</v>
      </c>
      <c r="AN244" s="54">
        <f>DATE(YEAR(AM244),MONTH(AM244)+1,DAY(AM244))</f>
        <v>42644</v>
      </c>
      <c r="AO244" s="54">
        <f>DATE(YEAR(AN244),MONTH(AN244)+1,DAY(AN244))</f>
        <v>42675</v>
      </c>
      <c r="AP244" s="177">
        <f>DATE(YEAR(AO244),MONTH(AO244)+1,DAY(AO244))</f>
        <v>42705</v>
      </c>
      <c r="AQ244" s="183"/>
    </row>
    <row r="245" spans="1:43" s="183" customFormat="1" x14ac:dyDescent="0.25">
      <c r="A245" s="178" t="str">
        <f>+$C$239</f>
        <v>Lugo-Pisgah</v>
      </c>
      <c r="B245" s="179" t="s">
        <v>33</v>
      </c>
      <c r="C245" s="56" t="s">
        <v>239</v>
      </c>
      <c r="D245" s="57" t="s">
        <v>240</v>
      </c>
      <c r="E245" s="58">
        <v>7018</v>
      </c>
      <c r="F245" s="155" t="s">
        <v>70</v>
      </c>
      <c r="G245" s="59" t="s">
        <v>241</v>
      </c>
      <c r="H245" s="60" t="s">
        <v>288</v>
      </c>
      <c r="I245" s="61">
        <v>0</v>
      </c>
      <c r="J245" s="62">
        <v>1</v>
      </c>
      <c r="K245" s="63"/>
      <c r="L245" s="238">
        <v>0</v>
      </c>
      <c r="M245" s="64">
        <f>SUM($S255:$AD255)</f>
        <v>0</v>
      </c>
      <c r="N245" s="64">
        <f>SUM($AE255:$AP255)</f>
        <v>0</v>
      </c>
      <c r="O245" s="64">
        <f>$L245*$J245*(1-$I245)</f>
        <v>0</v>
      </c>
      <c r="P245" s="64">
        <f>$M245*$J245*(1-$I245)</f>
        <v>0</v>
      </c>
      <c r="Q245" s="65">
        <f>$N245*$J245*(1-$I245)</f>
        <v>0</v>
      </c>
      <c r="R245" s="58"/>
      <c r="S245" s="180">
        <f>IF(OR(RIGHT($H245,3)="RGT",RIGHT($H245,3)="INC"),IF($G245=S$244,SUM($S255:S255)+$O245,IF(S$244&gt;$G245,S255,0)),0)</f>
        <v>0</v>
      </c>
      <c r="T245" s="181">
        <f>IF(OR(RIGHT($H245,3)="RGT",RIGHT($H245,3)="INC"),IF($G245=T$244,SUM($S255:T255)+$O245,IF(T$244&gt;$G245,T255,0)),0)</f>
        <v>0</v>
      </c>
      <c r="U245" s="181">
        <f>IF(OR(RIGHT($H245,3)="RGT",RIGHT($H245,3)="INC"),IF($G245=U$244,SUM($S255:U255)+$O245,IF(U$244&gt;$G245,U255,0)),0)</f>
        <v>0</v>
      </c>
      <c r="V245" s="181">
        <f>IF(OR(RIGHT($H245,3)="RGT",RIGHT($H245,3)="INC"),IF($G245=V$244,SUM($S255:V255)+$O245,IF(V$244&gt;$G245,V255,0)),0)</f>
        <v>0</v>
      </c>
      <c r="W245" s="181">
        <f>IF(OR(RIGHT($H245,3)="RGT",RIGHT($H245,3)="INC"),IF($G245=W$244,SUM($S255:W255)+$O245,IF(W$244&gt;$G245,W255,0)),0)</f>
        <v>0</v>
      </c>
      <c r="X245" s="181">
        <f>IF(OR(RIGHT($H245,3)="RGT",RIGHT($H245,3)="INC"),IF($G245=X$244,SUM($S255:X255)+$O245,IF(X$244&gt;$G245,X255,0)),0)</f>
        <v>0</v>
      </c>
      <c r="Y245" s="181">
        <f>IF(OR(RIGHT($H245,3)="RGT",RIGHT($H245,3)="INC"),IF($G245=Y$244,SUM($S255:Y255)+$O245,IF(Y$244&gt;$G245,Y255,0)),0)</f>
        <v>0</v>
      </c>
      <c r="Z245" s="181">
        <f>IF(OR(RIGHT($H245,3)="RGT",RIGHT($H245,3)="INC"),IF($G245=Z$244,SUM($S255:Z255)+$O245,IF(Z$244&gt;$G245,Z255,0)),0)</f>
        <v>0</v>
      </c>
      <c r="AA245" s="181">
        <f>IF(OR(RIGHT($H245,3)="RGT",RIGHT($H245,3)="INC"),IF($G245=AA$244,SUM($S255:AA255)+$O245,IF(AA$244&gt;$G245,AA255,0)),0)</f>
        <v>0</v>
      </c>
      <c r="AB245" s="181">
        <f>IF(OR(RIGHT($H245,3)="RGT",RIGHT($H245,3)="INC"),IF($G245=AB$244,SUM($S255:AB255)+$O245,IF(AB$244&gt;$G245,AB255,0)),0)</f>
        <v>0</v>
      </c>
      <c r="AC245" s="181">
        <f>IF(OR(RIGHT($H245,3)="RGT",RIGHT($H245,3)="INC"),IF($G245=AC$244,SUM($S255:AC255)+$O245,IF(AC$244&gt;$G245,AC255,0)),0)</f>
        <v>0</v>
      </c>
      <c r="AD245" s="182">
        <f>IF(OR(RIGHT($H245,3)="RGT",RIGHT($H245,3)="INC"),IF($G245=AD$244,SUM($S255:AD255)+$O245,IF(AD$244&gt;$G245,AD255,0)),0)</f>
        <v>0</v>
      </c>
      <c r="AE245" s="181">
        <f>IF(OR(RIGHT($H245,3)="RGT",RIGHT($H245,3)="INC"),IF($G245=AE$244,SUM($S255:AE255)+$O245,IF(AE$244&gt;$G245,AE255,0)),0)</f>
        <v>0</v>
      </c>
      <c r="AF245" s="181">
        <f>IF(OR(RIGHT($H245,3)="RGT",RIGHT($H245,3)="INC"),IF($G245=AF$244,SUM($S255:AF255)+$O245,IF(AF$244&gt;$G245,AF255,0)),0)</f>
        <v>0</v>
      </c>
      <c r="AG245" s="181">
        <f>IF(OR(RIGHT($H245,3)="RGT",RIGHT($H245,3)="INC"),IF($G245=AG$244,SUM($S255:AG255)+$O245,IF(AG$244&gt;$G245,AG255,0)),0)</f>
        <v>0</v>
      </c>
      <c r="AH245" s="181">
        <f>IF(OR(RIGHT($H245,3)="RGT",RIGHT($H245,3)="INC"),IF($G245=AH$244,SUM($S255:AH255)+$O245,IF(AH$244&gt;$G245,AH255,0)),0)</f>
        <v>0</v>
      </c>
      <c r="AI245" s="181">
        <f>IF(OR(RIGHT($H245,3)="RGT",RIGHT($H245,3)="INC"),IF($G245=AI$244,SUM($S255:AI255)+$O245,IF(AI$244&gt;$G245,AI255,0)),0)</f>
        <v>0</v>
      </c>
      <c r="AJ245" s="181">
        <f>IF(OR(RIGHT($H245,3)="RGT",RIGHT($H245,3)="INC"),IF($G245=AJ$244,SUM($S255:AJ255)+$O245,IF(AJ$244&gt;$G245,AJ255,0)),0)</f>
        <v>0</v>
      </c>
      <c r="AK245" s="181">
        <f>IF(OR(RIGHT($H245,3)="RGT",RIGHT($H245,3)="INC"),IF($G245=AK$244,SUM($S255:AK255)+$O245,IF(AK$244&gt;$G245,AK255,0)),0)</f>
        <v>0</v>
      </c>
      <c r="AL245" s="181">
        <f>IF(OR(RIGHT($H245,3)="RGT",RIGHT($H245,3)="INC"),IF($G245=AL$244,SUM($S255:AL255)+$O245,IF(AL$244&gt;$G245,AL255,0)),0)</f>
        <v>0</v>
      </c>
      <c r="AM245" s="181">
        <f>IF(OR(RIGHT($H245,3)="RGT",RIGHT($H245,3)="INC"),IF($G245=AM$244,SUM($S255:AM255)+$O245,IF(AM$244&gt;$G245,AM255,0)),0)</f>
        <v>0</v>
      </c>
      <c r="AN245" s="181">
        <f>IF(OR(RIGHT($H245,3)="RGT",RIGHT($H245,3)="INC"),IF($G245=AN$244,SUM($S255:AN255)+$O245,IF(AN$244&gt;$G245,AN255,0)),0)</f>
        <v>0</v>
      </c>
      <c r="AO245" s="181">
        <f>IF(OR(RIGHT($H245,3)="RGT",RIGHT($H245,3)="INC"),IF($G245=AO$244,SUM($S255:AO255)+$O245,IF(AO$244&gt;$G245,AO255,0)),0)</f>
        <v>0</v>
      </c>
      <c r="AP245" s="182">
        <f>IF(OR(RIGHT($H245,3)="RGT",RIGHT($H245,3)="INC"),IF($G245=AP$244,SUM($S255:AP255)+$O245,IF(AP$244&gt;$G245,AP255,0)),0)</f>
        <v>0</v>
      </c>
    </row>
    <row r="246" spans="1:43" ht="15.75" thickBot="1" x14ac:dyDescent="0.3">
      <c r="B246" s="170" t="s">
        <v>42</v>
      </c>
      <c r="C246" s="226" t="s">
        <v>26</v>
      </c>
      <c r="D246" s="227"/>
      <c r="E246" s="227"/>
      <c r="F246" s="227"/>
      <c r="G246" s="227"/>
      <c r="H246" s="227"/>
      <c r="I246" s="227"/>
      <c r="J246" s="228"/>
      <c r="K246" s="63"/>
      <c r="L246" s="125">
        <f t="shared" ref="L246:Q246" si="123">SUM(L245:L245)</f>
        <v>0</v>
      </c>
      <c r="M246" s="126">
        <f t="shared" si="123"/>
        <v>0</v>
      </c>
      <c r="N246" s="126">
        <f t="shared" si="123"/>
        <v>0</v>
      </c>
      <c r="O246" s="126">
        <f t="shared" si="123"/>
        <v>0</v>
      </c>
      <c r="P246" s="126">
        <f t="shared" si="123"/>
        <v>0</v>
      </c>
      <c r="Q246" s="127">
        <f t="shared" si="123"/>
        <v>0</v>
      </c>
      <c r="R246" s="58"/>
      <c r="S246" s="184">
        <f t="shared" ref="S246:AP246" si="124">SUM(S245:S245)</f>
        <v>0</v>
      </c>
      <c r="T246" s="185">
        <f t="shared" si="124"/>
        <v>0</v>
      </c>
      <c r="U246" s="185">
        <f t="shared" si="124"/>
        <v>0</v>
      </c>
      <c r="V246" s="185">
        <f t="shared" si="124"/>
        <v>0</v>
      </c>
      <c r="W246" s="185">
        <f t="shared" si="124"/>
        <v>0</v>
      </c>
      <c r="X246" s="185">
        <f t="shared" si="124"/>
        <v>0</v>
      </c>
      <c r="Y246" s="185">
        <f t="shared" si="124"/>
        <v>0</v>
      </c>
      <c r="Z246" s="185">
        <f t="shared" si="124"/>
        <v>0</v>
      </c>
      <c r="AA246" s="185">
        <f t="shared" si="124"/>
        <v>0</v>
      </c>
      <c r="AB246" s="185">
        <f t="shared" si="124"/>
        <v>0</v>
      </c>
      <c r="AC246" s="185">
        <f t="shared" si="124"/>
        <v>0</v>
      </c>
      <c r="AD246" s="186">
        <f t="shared" si="124"/>
        <v>0</v>
      </c>
      <c r="AE246" s="185">
        <f t="shared" si="124"/>
        <v>0</v>
      </c>
      <c r="AF246" s="185">
        <f t="shared" si="124"/>
        <v>0</v>
      </c>
      <c r="AG246" s="185">
        <f t="shared" si="124"/>
        <v>0</v>
      </c>
      <c r="AH246" s="185">
        <f t="shared" si="124"/>
        <v>0</v>
      </c>
      <c r="AI246" s="185">
        <f t="shared" si="124"/>
        <v>0</v>
      </c>
      <c r="AJ246" s="185">
        <f t="shared" si="124"/>
        <v>0</v>
      </c>
      <c r="AK246" s="185">
        <f t="shared" si="124"/>
        <v>0</v>
      </c>
      <c r="AL246" s="185">
        <f t="shared" si="124"/>
        <v>0</v>
      </c>
      <c r="AM246" s="185">
        <f t="shared" si="124"/>
        <v>0</v>
      </c>
      <c r="AN246" s="185">
        <f t="shared" si="124"/>
        <v>0</v>
      </c>
      <c r="AO246" s="185">
        <f t="shared" si="124"/>
        <v>0</v>
      </c>
      <c r="AP246" s="186">
        <f t="shared" si="124"/>
        <v>0</v>
      </c>
      <c r="AQ246" s="183"/>
    </row>
    <row r="247" spans="1:43" s="107" customFormat="1" ht="15.75" thickTop="1" x14ac:dyDescent="0.25">
      <c r="A247" s="187"/>
      <c r="B247" s="188"/>
      <c r="C247" s="189"/>
      <c r="D247" s="190"/>
      <c r="E247" s="191"/>
      <c r="F247" s="192"/>
      <c r="G247" s="192"/>
      <c r="I247" s="192"/>
      <c r="J247" s="192"/>
      <c r="K247" s="63"/>
      <c r="R247" s="58"/>
      <c r="S247" s="192"/>
      <c r="T247" s="192"/>
      <c r="U247" s="192"/>
      <c r="V247" s="192"/>
      <c r="W247" s="192"/>
      <c r="X247" s="192"/>
      <c r="Y247" s="192"/>
      <c r="Z247" s="192"/>
      <c r="AA247" s="192"/>
      <c r="AB247" s="192"/>
      <c r="AC247" s="192"/>
      <c r="AD247" s="192"/>
      <c r="AE247" s="192"/>
      <c r="AF247" s="192"/>
      <c r="AG247" s="192"/>
      <c r="AH247" s="192"/>
      <c r="AI247" s="192"/>
      <c r="AJ247" s="192"/>
      <c r="AK247" s="192"/>
      <c r="AL247" s="192"/>
      <c r="AM247" s="192"/>
      <c r="AN247" s="192"/>
      <c r="AO247" s="192"/>
      <c r="AP247" s="192"/>
      <c r="AQ247" s="183"/>
    </row>
    <row r="248" spans="1:43" ht="15.75" thickBot="1" x14ac:dyDescent="0.3">
      <c r="C248" s="226" t="str">
        <f>"Total Incremental Plant Balance - "&amp;C239</f>
        <v>Total Incremental Plant Balance - Lugo-Pisgah</v>
      </c>
      <c r="D248" s="227"/>
      <c r="E248" s="227"/>
      <c r="F248" s="227"/>
      <c r="G248" s="227"/>
      <c r="H248" s="227"/>
      <c r="I248" s="227"/>
      <c r="J248" s="228"/>
      <c r="K248" s="63"/>
      <c r="L248" s="125"/>
      <c r="M248" s="126"/>
      <c r="N248" s="126"/>
      <c r="O248" s="126"/>
      <c r="P248" s="126"/>
      <c r="Q248" s="127"/>
      <c r="R248" s="58"/>
      <c r="S248" s="184">
        <f>S246</f>
        <v>0</v>
      </c>
      <c r="T248" s="185">
        <f t="shared" ref="T248:AL248" si="125">T246+S248</f>
        <v>0</v>
      </c>
      <c r="U248" s="185">
        <f t="shared" si="125"/>
        <v>0</v>
      </c>
      <c r="V248" s="185">
        <f t="shared" si="125"/>
        <v>0</v>
      </c>
      <c r="W248" s="185">
        <f t="shared" si="125"/>
        <v>0</v>
      </c>
      <c r="X248" s="185">
        <f t="shared" si="125"/>
        <v>0</v>
      </c>
      <c r="Y248" s="185">
        <f t="shared" si="125"/>
        <v>0</v>
      </c>
      <c r="Z248" s="185">
        <f t="shared" si="125"/>
        <v>0</v>
      </c>
      <c r="AA248" s="185">
        <f t="shared" si="125"/>
        <v>0</v>
      </c>
      <c r="AB248" s="185">
        <f t="shared" si="125"/>
        <v>0</v>
      </c>
      <c r="AC248" s="185">
        <f t="shared" si="125"/>
        <v>0</v>
      </c>
      <c r="AD248" s="186">
        <f t="shared" si="125"/>
        <v>0</v>
      </c>
      <c r="AE248" s="185">
        <f>AE246+AD248</f>
        <v>0</v>
      </c>
      <c r="AF248" s="185">
        <f t="shared" si="125"/>
        <v>0</v>
      </c>
      <c r="AG248" s="185">
        <f t="shared" si="125"/>
        <v>0</v>
      </c>
      <c r="AH248" s="185">
        <f t="shared" si="125"/>
        <v>0</v>
      </c>
      <c r="AI248" s="185">
        <f t="shared" si="125"/>
        <v>0</v>
      </c>
      <c r="AJ248" s="185">
        <f t="shared" si="125"/>
        <v>0</v>
      </c>
      <c r="AK248" s="185">
        <f t="shared" si="125"/>
        <v>0</v>
      </c>
      <c r="AL248" s="185">
        <f t="shared" si="125"/>
        <v>0</v>
      </c>
      <c r="AM248" s="185">
        <f>AM246+AL248</f>
        <v>0</v>
      </c>
      <c r="AN248" s="185">
        <f>AN246+AM248</f>
        <v>0</v>
      </c>
      <c r="AO248" s="185">
        <f>AO246+AN248</f>
        <v>0</v>
      </c>
      <c r="AP248" s="186">
        <f>AP246+AO248</f>
        <v>0</v>
      </c>
      <c r="AQ248" s="183"/>
    </row>
    <row r="249" spans="1:43" ht="15.75" thickTop="1" x14ac:dyDescent="0.25">
      <c r="C249" s="67"/>
      <c r="D249" s="68"/>
      <c r="E249" s="67"/>
      <c r="F249" s="273"/>
      <c r="G249" s="273"/>
      <c r="H249" s="273"/>
      <c r="I249" s="273"/>
      <c r="J249" s="273"/>
      <c r="K249" s="63"/>
      <c r="L249" s="129"/>
      <c r="M249" s="129"/>
      <c r="N249" s="129"/>
      <c r="O249" s="129"/>
      <c r="P249" s="129"/>
      <c r="Q249" s="129"/>
      <c r="R249" s="58"/>
      <c r="S249" s="193"/>
      <c r="T249" s="193"/>
      <c r="U249" s="193"/>
      <c r="V249" s="193"/>
      <c r="W249" s="193"/>
      <c r="X249" s="193"/>
      <c r="Y249" s="193"/>
      <c r="Z249" s="193"/>
      <c r="AA249" s="193"/>
      <c r="AB249" s="193"/>
      <c r="AC249" s="193"/>
      <c r="AD249" s="193"/>
      <c r="AE249" s="193"/>
      <c r="AF249" s="193"/>
      <c r="AG249" s="193"/>
      <c r="AH249" s="193"/>
      <c r="AI249" s="193"/>
      <c r="AJ249" s="193"/>
      <c r="AK249" s="193"/>
      <c r="AL249" s="193"/>
      <c r="AM249" s="193"/>
      <c r="AN249" s="193"/>
      <c r="AO249" s="193"/>
      <c r="AP249" s="193"/>
      <c r="AQ249" s="183"/>
    </row>
    <row r="250" spans="1:43" s="107" customFormat="1" x14ac:dyDescent="0.25">
      <c r="A250" s="187"/>
      <c r="B250" s="188"/>
      <c r="C250" s="189"/>
      <c r="D250" s="190"/>
      <c r="E250" s="191"/>
      <c r="F250" s="192"/>
      <c r="G250" s="192"/>
      <c r="I250" s="192"/>
      <c r="J250" s="192"/>
      <c r="K250" s="63"/>
      <c r="R250" s="58"/>
      <c r="S250" s="192"/>
      <c r="T250" s="192"/>
      <c r="U250" s="192"/>
      <c r="V250" s="192"/>
      <c r="W250" s="192"/>
      <c r="X250" s="192"/>
      <c r="Y250" s="192"/>
      <c r="Z250" s="192"/>
      <c r="AA250" s="192"/>
      <c r="AB250" s="192"/>
      <c r="AC250" s="192"/>
      <c r="AD250" s="192"/>
      <c r="AE250" s="192"/>
      <c r="AF250" s="192"/>
      <c r="AG250" s="192"/>
      <c r="AH250" s="192"/>
      <c r="AI250" s="192"/>
      <c r="AJ250" s="192"/>
      <c r="AK250" s="192"/>
      <c r="AL250" s="192"/>
      <c r="AM250" s="192"/>
      <c r="AN250" s="192"/>
      <c r="AO250" s="192"/>
      <c r="AP250" s="192"/>
      <c r="AQ250" s="183"/>
    </row>
    <row r="251" spans="1:43" s="107" customFormat="1" x14ac:dyDescent="0.25">
      <c r="A251" s="187"/>
      <c r="B251" s="188"/>
      <c r="C251" s="176" t="s">
        <v>34</v>
      </c>
      <c r="D251" s="172"/>
      <c r="E251" s="173"/>
      <c r="F251" s="106"/>
      <c r="G251" s="106"/>
      <c r="H251" s="105"/>
      <c r="I251" s="106"/>
      <c r="J251" s="106"/>
      <c r="K251" s="63"/>
      <c r="L251" s="105"/>
      <c r="M251" s="105"/>
      <c r="N251" s="105"/>
      <c r="O251" s="105"/>
      <c r="P251" s="105"/>
      <c r="Q251" s="105"/>
      <c r="R251" s="58"/>
      <c r="S251" s="106"/>
      <c r="T251" s="106"/>
      <c r="U251" s="106"/>
      <c r="V251" s="106"/>
      <c r="W251" s="106"/>
      <c r="X251" s="106"/>
      <c r="Y251" s="106"/>
      <c r="Z251" s="106"/>
      <c r="AA251" s="106"/>
      <c r="AB251" s="106"/>
      <c r="AC251" s="106"/>
      <c r="AD251" s="106"/>
      <c r="AE251" s="106"/>
      <c r="AF251" s="106"/>
      <c r="AG251" s="106"/>
      <c r="AH251" s="106"/>
      <c r="AI251" s="106"/>
      <c r="AJ251" s="106"/>
      <c r="AK251" s="106"/>
      <c r="AL251" s="106"/>
      <c r="AM251" s="106"/>
      <c r="AN251" s="106"/>
      <c r="AO251" s="106"/>
      <c r="AP251" s="106"/>
      <c r="AQ251" s="183"/>
    </row>
    <row r="252" spans="1:43" s="107" customFormat="1" x14ac:dyDescent="0.25">
      <c r="A252" s="187"/>
      <c r="B252" s="188"/>
      <c r="C252" s="173" t="s">
        <v>35</v>
      </c>
      <c r="D252" s="172"/>
      <c r="E252" s="173"/>
      <c r="F252" s="106"/>
      <c r="G252" s="106"/>
      <c r="H252" s="105"/>
      <c r="I252" s="106"/>
      <c r="J252" s="106"/>
      <c r="K252" s="63"/>
      <c r="L252" s="105"/>
      <c r="M252" s="105"/>
      <c r="N252" s="105"/>
      <c r="O252" s="105"/>
      <c r="P252" s="105"/>
      <c r="Q252" s="105"/>
      <c r="R252" s="58"/>
      <c r="S252" s="106"/>
      <c r="T252" s="106"/>
      <c r="U252" s="106"/>
      <c r="V252" s="106"/>
      <c r="W252" s="106"/>
      <c r="X252" s="106"/>
      <c r="Y252" s="106"/>
      <c r="Z252" s="106"/>
      <c r="AA252" s="106"/>
      <c r="AB252" s="106"/>
      <c r="AC252" s="106"/>
      <c r="AD252" s="106"/>
      <c r="AE252" s="106"/>
      <c r="AF252" s="106"/>
      <c r="AG252" s="106"/>
      <c r="AH252" s="106"/>
      <c r="AI252" s="106"/>
      <c r="AJ252" s="106"/>
      <c r="AK252" s="106"/>
      <c r="AL252" s="106"/>
      <c r="AM252" s="106"/>
      <c r="AN252" s="106"/>
      <c r="AO252" s="106"/>
      <c r="AP252" s="106"/>
      <c r="AQ252" s="183"/>
    </row>
    <row r="253" spans="1:43" s="107" customFormat="1" ht="15.75" thickBot="1" x14ac:dyDescent="0.3">
      <c r="A253" s="187"/>
      <c r="B253" s="188"/>
      <c r="C253" s="173"/>
      <c r="D253" s="172"/>
      <c r="E253" s="173"/>
      <c r="F253" s="106"/>
      <c r="G253" s="106"/>
      <c r="H253" s="105"/>
      <c r="I253" s="106"/>
      <c r="J253" s="106"/>
      <c r="K253" s="63"/>
      <c r="L253" s="105"/>
      <c r="M253" s="105"/>
      <c r="N253" s="105"/>
      <c r="O253" s="105"/>
      <c r="P253" s="105"/>
      <c r="Q253" s="105"/>
      <c r="R253" s="58"/>
      <c r="S253" s="106"/>
      <c r="T253" s="106"/>
      <c r="U253" s="106"/>
      <c r="V253" s="106"/>
      <c r="W253" s="106"/>
      <c r="X253" s="106"/>
      <c r="Y253" s="106"/>
      <c r="Z253" s="106"/>
      <c r="AA253" s="106"/>
      <c r="AB253" s="106"/>
      <c r="AC253" s="106"/>
      <c r="AD253" s="106"/>
      <c r="AE253" s="106"/>
      <c r="AF253" s="106"/>
      <c r="AG253" s="106"/>
      <c r="AH253" s="106"/>
      <c r="AI253" s="106"/>
      <c r="AJ253" s="106"/>
      <c r="AK253" s="106"/>
      <c r="AL253" s="106"/>
      <c r="AM253" s="106"/>
      <c r="AN253" s="106"/>
      <c r="AO253" s="106"/>
      <c r="AP253" s="106"/>
      <c r="AQ253" s="183"/>
    </row>
    <row r="254" spans="1:43" s="117" customFormat="1" ht="30.75" thickBot="1" x14ac:dyDescent="0.3">
      <c r="A254" s="169"/>
      <c r="B254" s="170"/>
      <c r="C254" s="51" t="s">
        <v>15</v>
      </c>
      <c r="D254" s="52" t="s">
        <v>16</v>
      </c>
      <c r="E254" s="53" t="s">
        <v>17</v>
      </c>
      <c r="F254" s="54" t="s">
        <v>18</v>
      </c>
      <c r="G254" s="45" t="s">
        <v>19</v>
      </c>
      <c r="H254" s="45" t="s">
        <v>20</v>
      </c>
      <c r="I254" s="45" t="s">
        <v>21</v>
      </c>
      <c r="J254" s="46" t="s">
        <v>22</v>
      </c>
      <c r="K254" s="63"/>
      <c r="L254" s="44" t="str">
        <f t="shared" ref="L254:Q254" si="126">L$11</f>
        <v>2014 CWIP</v>
      </c>
      <c r="M254" s="45" t="str">
        <f t="shared" si="126"/>
        <v>2015 Total Expenditures</v>
      </c>
      <c r="N254" s="45" t="str">
        <f t="shared" si="126"/>
        <v>2016 Total Expenditures</v>
      </c>
      <c r="O254" s="45" t="str">
        <f t="shared" si="126"/>
        <v>2014 ISO CWIP Less Collectible</v>
      </c>
      <c r="P254" s="45" t="str">
        <f t="shared" si="126"/>
        <v>2015 ISO Expenditures Less Collectible</v>
      </c>
      <c r="Q254" s="46" t="str">
        <f t="shared" si="126"/>
        <v>2016 ISO Expenditures Less Collectible</v>
      </c>
      <c r="R254" s="58"/>
      <c r="S254" s="204">
        <f>$D$3</f>
        <v>42005</v>
      </c>
      <c r="T254" s="84">
        <f t="shared" ref="T254:AL254" si="127">DATE(YEAR(S254),MONTH(S254)+1,DAY(S254))</f>
        <v>42036</v>
      </c>
      <c r="U254" s="84">
        <f t="shared" si="127"/>
        <v>42064</v>
      </c>
      <c r="V254" s="84">
        <f t="shared" si="127"/>
        <v>42095</v>
      </c>
      <c r="W254" s="84">
        <f t="shared" si="127"/>
        <v>42125</v>
      </c>
      <c r="X254" s="84">
        <f t="shared" si="127"/>
        <v>42156</v>
      </c>
      <c r="Y254" s="84">
        <f t="shared" si="127"/>
        <v>42186</v>
      </c>
      <c r="Z254" s="84">
        <f t="shared" si="127"/>
        <v>42217</v>
      </c>
      <c r="AA254" s="84">
        <f t="shared" si="127"/>
        <v>42248</v>
      </c>
      <c r="AB254" s="84">
        <f t="shared" si="127"/>
        <v>42278</v>
      </c>
      <c r="AC254" s="84">
        <f t="shared" si="127"/>
        <v>42309</v>
      </c>
      <c r="AD254" s="205">
        <f t="shared" si="127"/>
        <v>42339</v>
      </c>
      <c r="AE254" s="84">
        <f>DATE(YEAR(AD254),MONTH(AD254)+1,DAY(AD254))</f>
        <v>42370</v>
      </c>
      <c r="AF254" s="84">
        <f t="shared" si="127"/>
        <v>42401</v>
      </c>
      <c r="AG254" s="84">
        <f t="shared" si="127"/>
        <v>42430</v>
      </c>
      <c r="AH254" s="84">
        <f t="shared" si="127"/>
        <v>42461</v>
      </c>
      <c r="AI254" s="84">
        <f t="shared" si="127"/>
        <v>42491</v>
      </c>
      <c r="AJ254" s="84">
        <f t="shared" si="127"/>
        <v>42522</v>
      </c>
      <c r="AK254" s="84">
        <f t="shared" si="127"/>
        <v>42552</v>
      </c>
      <c r="AL254" s="84">
        <f t="shared" si="127"/>
        <v>42583</v>
      </c>
      <c r="AM254" s="84">
        <f>DATE(YEAR(AL254),MONTH(AL254)+1,DAY(AL254))</f>
        <v>42614</v>
      </c>
      <c r="AN254" s="84">
        <f>DATE(YEAR(AM254),MONTH(AM254)+1,DAY(AM254))</f>
        <v>42644</v>
      </c>
      <c r="AO254" s="84">
        <f>DATE(YEAR(AN254),MONTH(AN254)+1,DAY(AN254))</f>
        <v>42675</v>
      </c>
      <c r="AP254" s="205">
        <f>DATE(YEAR(AO254),MONTH(AO254)+1,DAY(AO254))</f>
        <v>42705</v>
      </c>
      <c r="AQ254" s="183"/>
    </row>
    <row r="255" spans="1:43" s="183" customFormat="1" ht="15.75" thickBot="1" x14ac:dyDescent="0.3">
      <c r="A255" s="178" t="str">
        <f>+A245</f>
        <v>Lugo-Pisgah</v>
      </c>
      <c r="B255" s="179" t="s">
        <v>36</v>
      </c>
      <c r="C255" s="56" t="str">
        <f t="shared" ref="C255:J255" si="128">C245</f>
        <v>CET-ET-TP-RL-701800</v>
      </c>
      <c r="D255" s="57" t="str">
        <f t="shared" si="128"/>
        <v>Pisgah Sub: Siting Study for New Substation</v>
      </c>
      <c r="E255" s="58">
        <f t="shared" si="128"/>
        <v>7018</v>
      </c>
      <c r="F255" s="60" t="str">
        <f t="shared" si="128"/>
        <v>High</v>
      </c>
      <c r="G255" s="59" t="str">
        <f t="shared" si="128"/>
        <v>Suspended</v>
      </c>
      <c r="H255" s="60" t="str">
        <f t="shared" si="128"/>
        <v>TR-SUBINC</v>
      </c>
      <c r="I255" s="61">
        <f t="shared" si="128"/>
        <v>0</v>
      </c>
      <c r="J255" s="62">
        <f t="shared" si="128"/>
        <v>1</v>
      </c>
      <c r="K255" s="63"/>
      <c r="L255" s="234">
        <f>L245</f>
        <v>0</v>
      </c>
      <c r="M255" s="64">
        <f>M245</f>
        <v>0</v>
      </c>
      <c r="N255" s="64">
        <f>N245</f>
        <v>0</v>
      </c>
      <c r="O255" s="64">
        <f>$L255*$J255*(1-$I255)</f>
        <v>0</v>
      </c>
      <c r="P255" s="64">
        <f>$M255*$J255*(1-$I255)</f>
        <v>0</v>
      </c>
      <c r="Q255" s="65">
        <f>$N255*$J255*(1-$I255)</f>
        <v>0</v>
      </c>
      <c r="R255" s="58"/>
      <c r="S255" s="260">
        <v>0</v>
      </c>
      <c r="T255" s="261">
        <v>0</v>
      </c>
      <c r="U255" s="261">
        <v>0</v>
      </c>
      <c r="V255" s="261">
        <v>0</v>
      </c>
      <c r="W255" s="261">
        <v>0</v>
      </c>
      <c r="X255" s="261">
        <v>0</v>
      </c>
      <c r="Y255" s="261">
        <v>0</v>
      </c>
      <c r="Z255" s="261">
        <v>0</v>
      </c>
      <c r="AA255" s="261">
        <v>0</v>
      </c>
      <c r="AB255" s="261">
        <v>0</v>
      </c>
      <c r="AC255" s="261">
        <v>0</v>
      </c>
      <c r="AD255" s="261">
        <v>0</v>
      </c>
      <c r="AE255" s="261">
        <v>0</v>
      </c>
      <c r="AF255" s="261">
        <v>0</v>
      </c>
      <c r="AG255" s="261">
        <v>0</v>
      </c>
      <c r="AH255" s="261">
        <v>0</v>
      </c>
      <c r="AI255" s="261">
        <v>0</v>
      </c>
      <c r="AJ255" s="261">
        <v>0</v>
      </c>
      <c r="AK255" s="261">
        <v>0</v>
      </c>
      <c r="AL255" s="261">
        <v>0</v>
      </c>
      <c r="AM255" s="261">
        <v>0</v>
      </c>
      <c r="AN255" s="261">
        <v>0</v>
      </c>
      <c r="AO255" s="261">
        <v>0</v>
      </c>
      <c r="AP255" s="262">
        <v>0</v>
      </c>
    </row>
    <row r="256" spans="1:43" ht="15.75" thickBot="1" x14ac:dyDescent="0.3">
      <c r="C256" s="226" t="s">
        <v>37</v>
      </c>
      <c r="D256" s="227"/>
      <c r="E256" s="227"/>
      <c r="F256" s="227"/>
      <c r="G256" s="227"/>
      <c r="H256" s="227"/>
      <c r="I256" s="227"/>
      <c r="J256" s="228"/>
      <c r="K256" s="63"/>
      <c r="L256" s="125">
        <f t="shared" ref="L256:Q256" si="129">SUM(L255:L255)</f>
        <v>0</v>
      </c>
      <c r="M256" s="126">
        <f t="shared" si="129"/>
        <v>0</v>
      </c>
      <c r="N256" s="126">
        <f t="shared" si="129"/>
        <v>0</v>
      </c>
      <c r="O256" s="126">
        <f t="shared" si="129"/>
        <v>0</v>
      </c>
      <c r="P256" s="126">
        <f t="shared" si="129"/>
        <v>0</v>
      </c>
      <c r="Q256" s="127">
        <f t="shared" si="129"/>
        <v>0</v>
      </c>
      <c r="R256" s="58"/>
      <c r="S256" s="208">
        <f t="shared" ref="S256:AP256" si="130">SUM(S255:S255)</f>
        <v>0</v>
      </c>
      <c r="T256" s="209">
        <f t="shared" si="130"/>
        <v>0</v>
      </c>
      <c r="U256" s="209">
        <f t="shared" si="130"/>
        <v>0</v>
      </c>
      <c r="V256" s="209">
        <f t="shared" si="130"/>
        <v>0</v>
      </c>
      <c r="W256" s="209">
        <f t="shared" si="130"/>
        <v>0</v>
      </c>
      <c r="X256" s="209">
        <f t="shared" si="130"/>
        <v>0</v>
      </c>
      <c r="Y256" s="209">
        <f t="shared" si="130"/>
        <v>0</v>
      </c>
      <c r="Z256" s="209">
        <f t="shared" si="130"/>
        <v>0</v>
      </c>
      <c r="AA256" s="209">
        <f t="shared" si="130"/>
        <v>0</v>
      </c>
      <c r="AB256" s="209">
        <f t="shared" si="130"/>
        <v>0</v>
      </c>
      <c r="AC256" s="209">
        <f t="shared" si="130"/>
        <v>0</v>
      </c>
      <c r="AD256" s="210">
        <f t="shared" si="130"/>
        <v>0</v>
      </c>
      <c r="AE256" s="209">
        <f t="shared" si="130"/>
        <v>0</v>
      </c>
      <c r="AF256" s="209">
        <f t="shared" si="130"/>
        <v>0</v>
      </c>
      <c r="AG256" s="209">
        <f t="shared" si="130"/>
        <v>0</v>
      </c>
      <c r="AH256" s="209">
        <f t="shared" si="130"/>
        <v>0</v>
      </c>
      <c r="AI256" s="209">
        <f t="shared" si="130"/>
        <v>0</v>
      </c>
      <c r="AJ256" s="209">
        <f t="shared" si="130"/>
        <v>0</v>
      </c>
      <c r="AK256" s="209">
        <f t="shared" si="130"/>
        <v>0</v>
      </c>
      <c r="AL256" s="209">
        <f t="shared" si="130"/>
        <v>0</v>
      </c>
      <c r="AM256" s="209">
        <f t="shared" si="130"/>
        <v>0</v>
      </c>
      <c r="AN256" s="209">
        <f t="shared" si="130"/>
        <v>0</v>
      </c>
      <c r="AO256" s="209">
        <f t="shared" si="130"/>
        <v>0</v>
      </c>
      <c r="AP256" s="210">
        <f t="shared" si="130"/>
        <v>0</v>
      </c>
      <c r="AQ256" s="183"/>
    </row>
    <row r="257" spans="1:43" s="118" customFormat="1" ht="15.75" thickTop="1" x14ac:dyDescent="0.25">
      <c r="A257" s="187"/>
      <c r="B257" s="188"/>
      <c r="C257" s="173"/>
      <c r="D257" s="172"/>
      <c r="E257" s="173"/>
      <c r="F257" s="106"/>
      <c r="G257" s="106"/>
      <c r="H257" s="105"/>
      <c r="I257" s="106"/>
      <c r="J257" s="106"/>
      <c r="K257" s="63"/>
      <c r="L257" s="105"/>
      <c r="M257" s="105"/>
      <c r="N257" s="105"/>
      <c r="O257" s="105"/>
      <c r="P257" s="105"/>
      <c r="Q257" s="105"/>
      <c r="R257" s="58"/>
      <c r="S257" s="106"/>
      <c r="T257" s="106"/>
      <c r="U257" s="106"/>
      <c r="V257" s="106"/>
      <c r="W257" s="106"/>
      <c r="X257" s="106"/>
      <c r="Y257" s="106"/>
      <c r="Z257" s="106"/>
      <c r="AA257" s="106"/>
      <c r="AB257" s="106"/>
      <c r="AC257" s="106"/>
      <c r="AD257" s="106"/>
      <c r="AE257" s="106"/>
      <c r="AF257" s="106"/>
      <c r="AG257" s="106"/>
      <c r="AH257" s="106"/>
      <c r="AI257" s="106"/>
      <c r="AJ257" s="106"/>
      <c r="AK257" s="106"/>
      <c r="AL257" s="106"/>
      <c r="AM257" s="106"/>
      <c r="AN257" s="106"/>
      <c r="AO257" s="106"/>
      <c r="AP257" s="106"/>
      <c r="AQ257" s="183"/>
    </row>
    <row r="258" spans="1:43" x14ac:dyDescent="0.25">
      <c r="K258" s="63"/>
      <c r="R258" s="58"/>
      <c r="AQ258" s="183"/>
    </row>
    <row r="259" spans="1:43" x14ac:dyDescent="0.25">
      <c r="K259" s="63"/>
      <c r="R259" s="58"/>
      <c r="AQ259" s="183"/>
    </row>
    <row r="260" spans="1:43" ht="18.75" x14ac:dyDescent="0.25">
      <c r="C260" s="275" t="s">
        <v>66</v>
      </c>
      <c r="D260" s="276"/>
      <c r="E260" s="276"/>
      <c r="F260" s="277"/>
      <c r="G260" s="277"/>
      <c r="H260" s="277"/>
      <c r="I260" s="277"/>
      <c r="J260" s="277"/>
      <c r="K260" s="63"/>
      <c r="R260" s="58"/>
      <c r="AQ260" s="183"/>
    </row>
    <row r="261" spans="1:43" x14ac:dyDescent="0.25">
      <c r="K261" s="63"/>
      <c r="R261" s="58"/>
      <c r="AQ261" s="183"/>
    </row>
    <row r="262" spans="1:43" x14ac:dyDescent="0.25">
      <c r="C262" s="176" t="s">
        <v>31</v>
      </c>
      <c r="K262" s="63"/>
      <c r="R262" s="58"/>
      <c r="AQ262" s="183"/>
    </row>
    <row r="263" spans="1:43" ht="15" customHeight="1" x14ac:dyDescent="0.25">
      <c r="C263" s="225" t="s">
        <v>32</v>
      </c>
      <c r="D263" s="225"/>
      <c r="E263" s="225"/>
      <c r="F263" s="225"/>
      <c r="G263" s="225"/>
      <c r="H263" s="225"/>
      <c r="I263" s="225"/>
      <c r="J263" s="225"/>
      <c r="K263" s="63"/>
      <c r="R263" s="58"/>
      <c r="AQ263" s="183"/>
    </row>
    <row r="264" spans="1:43" ht="15.75" thickBot="1" x14ac:dyDescent="0.3">
      <c r="K264" s="63"/>
      <c r="R264" s="58"/>
      <c r="AQ264" s="183"/>
    </row>
    <row r="265" spans="1:43" ht="30.75" thickBot="1" x14ac:dyDescent="0.3">
      <c r="C265" s="51" t="s">
        <v>15</v>
      </c>
      <c r="D265" s="52" t="s">
        <v>16</v>
      </c>
      <c r="E265" s="53" t="s">
        <v>17</v>
      </c>
      <c r="F265" s="54" t="s">
        <v>18</v>
      </c>
      <c r="G265" s="45" t="s">
        <v>19</v>
      </c>
      <c r="H265" s="45" t="s">
        <v>20</v>
      </c>
      <c r="I265" s="45" t="s">
        <v>21</v>
      </c>
      <c r="J265" s="46" t="s">
        <v>22</v>
      </c>
      <c r="K265" s="63"/>
      <c r="L265" s="44" t="str">
        <f t="shared" ref="L265:Q265" si="131">L$11</f>
        <v>2014 CWIP</v>
      </c>
      <c r="M265" s="45" t="str">
        <f t="shared" si="131"/>
        <v>2015 Total Expenditures</v>
      </c>
      <c r="N265" s="45" t="str">
        <f t="shared" si="131"/>
        <v>2016 Total Expenditures</v>
      </c>
      <c r="O265" s="45" t="str">
        <f t="shared" si="131"/>
        <v>2014 ISO CWIP Less Collectible</v>
      </c>
      <c r="P265" s="45" t="str">
        <f t="shared" si="131"/>
        <v>2015 ISO Expenditures Less Collectible</v>
      </c>
      <c r="Q265" s="46" t="str">
        <f t="shared" si="131"/>
        <v>2016 ISO Expenditures Less Collectible</v>
      </c>
      <c r="R265" s="58"/>
      <c r="S265" s="69">
        <f>$D$3</f>
        <v>42005</v>
      </c>
      <c r="T265" s="54">
        <f t="shared" ref="T265:AL265" si="132">DATE(YEAR(S265),MONTH(S265)+1,DAY(S265))</f>
        <v>42036</v>
      </c>
      <c r="U265" s="54">
        <f t="shared" si="132"/>
        <v>42064</v>
      </c>
      <c r="V265" s="54">
        <f t="shared" si="132"/>
        <v>42095</v>
      </c>
      <c r="W265" s="54">
        <f t="shared" si="132"/>
        <v>42125</v>
      </c>
      <c r="X265" s="54">
        <f t="shared" si="132"/>
        <v>42156</v>
      </c>
      <c r="Y265" s="54">
        <f t="shared" si="132"/>
        <v>42186</v>
      </c>
      <c r="Z265" s="54">
        <f t="shared" si="132"/>
        <v>42217</v>
      </c>
      <c r="AA265" s="54">
        <f t="shared" si="132"/>
        <v>42248</v>
      </c>
      <c r="AB265" s="54">
        <f t="shared" si="132"/>
        <v>42278</v>
      </c>
      <c r="AC265" s="54">
        <f t="shared" si="132"/>
        <v>42309</v>
      </c>
      <c r="AD265" s="177">
        <f t="shared" si="132"/>
        <v>42339</v>
      </c>
      <c r="AE265" s="54">
        <f>DATE(YEAR(AD265),MONTH(AD265)+1,DAY(AD265))</f>
        <v>42370</v>
      </c>
      <c r="AF265" s="54">
        <f t="shared" si="132"/>
        <v>42401</v>
      </c>
      <c r="AG265" s="54">
        <f t="shared" si="132"/>
        <v>42430</v>
      </c>
      <c r="AH265" s="54">
        <f t="shared" si="132"/>
        <v>42461</v>
      </c>
      <c r="AI265" s="54">
        <f t="shared" si="132"/>
        <v>42491</v>
      </c>
      <c r="AJ265" s="54">
        <f t="shared" si="132"/>
        <v>42522</v>
      </c>
      <c r="AK265" s="54">
        <f t="shared" si="132"/>
        <v>42552</v>
      </c>
      <c r="AL265" s="54">
        <f t="shared" si="132"/>
        <v>42583</v>
      </c>
      <c r="AM265" s="54">
        <f>DATE(YEAR(AL265),MONTH(AL265)+1,DAY(AL265))</f>
        <v>42614</v>
      </c>
      <c r="AN265" s="54">
        <f>DATE(YEAR(AM265),MONTH(AM265)+1,DAY(AM265))</f>
        <v>42644</v>
      </c>
      <c r="AO265" s="54">
        <f>DATE(YEAR(AN265),MONTH(AN265)+1,DAY(AN265))</f>
        <v>42675</v>
      </c>
      <c r="AP265" s="177">
        <f>DATE(YEAR(AO265),MONTH(AO265)+1,DAY(AO265))</f>
        <v>42705</v>
      </c>
      <c r="AQ265" s="183"/>
    </row>
    <row r="266" spans="1:43" x14ac:dyDescent="0.25">
      <c r="A266" s="169" t="str">
        <f>+$C$260</f>
        <v>South of Kramer</v>
      </c>
      <c r="B266" s="179" t="s">
        <v>33</v>
      </c>
      <c r="C266" s="56" t="s">
        <v>242</v>
      </c>
      <c r="D266" s="57" t="s">
        <v>289</v>
      </c>
      <c r="E266" s="58" t="s">
        <v>302</v>
      </c>
      <c r="F266" s="155" t="s">
        <v>70</v>
      </c>
      <c r="G266" s="59" t="s">
        <v>241</v>
      </c>
      <c r="H266" s="60" t="s">
        <v>264</v>
      </c>
      <c r="I266" s="61">
        <v>0</v>
      </c>
      <c r="J266" s="62">
        <v>1</v>
      </c>
      <c r="K266" s="63"/>
      <c r="L266" s="233">
        <v>32314.561039999997</v>
      </c>
      <c r="M266" s="64">
        <f>SUM($S281:$AD281)</f>
        <v>3350.9419600000001</v>
      </c>
      <c r="N266" s="64">
        <f>SUM($AE281:$AP281)</f>
        <v>0</v>
      </c>
      <c r="O266" s="64">
        <f t="shared" ref="O266:O271" si="133">$L266*$J266*(1-$I266)</f>
        <v>32314.561039999997</v>
      </c>
      <c r="P266" s="64">
        <f t="shared" ref="P266:P271" si="134">$M266*$J266*(1-$I266)</f>
        <v>3350.9419600000001</v>
      </c>
      <c r="Q266" s="65">
        <f t="shared" ref="Q266:Q271" si="135">$N266*$J266*(1-$I266)</f>
        <v>0</v>
      </c>
      <c r="R266" s="58"/>
      <c r="S266" s="180">
        <f>IF(OR(RIGHT($H266,3)="RGT",RIGHT($H266,3)="INC"),IF($G266=S$244,SUM($S281:S281)+$O266,IF(S$244&gt;$G266,S281,0)),0)</f>
        <v>0</v>
      </c>
      <c r="T266" s="181">
        <f>IF(OR(RIGHT($H266,3)="RGT",RIGHT($H266,3)="INC"),IF($G266=T$244,SUM($S281:T281)+$O266,IF(T$244&gt;$G266,T281,0)),0)</f>
        <v>0</v>
      </c>
      <c r="U266" s="181">
        <f>IF(OR(RIGHT($H266,3)="RGT",RIGHT($H266,3)="INC"),IF($G266=U$244,SUM($S281:U281)+$O266,IF(U$244&gt;$G266,U281,0)),0)</f>
        <v>0</v>
      </c>
      <c r="V266" s="181">
        <f>IF(OR(RIGHT($H266,3)="RGT",RIGHT($H266,3)="INC"),IF($G266=V$244,SUM($S281:V281)+$O266,IF(V$244&gt;$G266,V281,0)),0)</f>
        <v>0</v>
      </c>
      <c r="W266" s="181">
        <f>IF(OR(RIGHT($H266,3)="RGT",RIGHT($H266,3)="INC"),IF($G266=W$244,SUM($S281:W281)+$O266,IF(W$244&gt;$G266,W281,0)),0)</f>
        <v>0</v>
      </c>
      <c r="X266" s="181">
        <f>IF(OR(RIGHT($H266,3)="RGT",RIGHT($H266,3)="INC"),IF($G266=X$244,SUM($S281:X281)+$O266,IF(X$244&gt;$G266,X281,0)),0)</f>
        <v>0</v>
      </c>
      <c r="Y266" s="181">
        <f>IF(OR(RIGHT($H266,3)="RGT",RIGHT($H266,3)="INC"),IF($G266=Y$244,SUM($S281:Y281)+$O266,IF(Y$244&gt;$G266,Y281,0)),0)</f>
        <v>0</v>
      </c>
      <c r="Z266" s="181">
        <f>IF(OR(RIGHT($H266,3)="RGT",RIGHT($H266,3)="INC"),IF($G266=Z$244,SUM($S281:Z281)+$O266,IF(Z$244&gt;$G266,Z281,0)),0)</f>
        <v>0</v>
      </c>
      <c r="AA266" s="181">
        <f>IF(OR(RIGHT($H266,3)="RGT",RIGHT($H266,3)="INC"),IF($G266=AA$244,SUM($S281:AA281)+$O266,IF(AA$244&gt;$G266,AA281,0)),0)</f>
        <v>0</v>
      </c>
      <c r="AB266" s="181">
        <f>IF(OR(RIGHT($H266,3)="RGT",RIGHT($H266,3)="INC"),IF($G266=AB$244,SUM($S281:AB281)+$O266,IF(AB$244&gt;$G266,AB281,0)),0)</f>
        <v>0</v>
      </c>
      <c r="AC266" s="181">
        <f>IF(OR(RIGHT($H266,3)="RGT",RIGHT($H266,3)="INC"),IF($G266=AC$244,SUM($S281:AC281)+$O266,IF(AC$244&gt;$G266,AC281,0)),0)</f>
        <v>0</v>
      </c>
      <c r="AD266" s="182">
        <f>IF(OR(RIGHT($H266,3)="RGT",RIGHT($H266,3)="INC"),IF($G266=AD$244,SUM($S281:AD281)+$O266,IF(AD$244&gt;$G266,AD281,0)),0)</f>
        <v>0</v>
      </c>
      <c r="AE266" s="181">
        <f>IF(OR(RIGHT($H266,3)="RGT",RIGHT($H266,3)="INC"),IF($G266=AE$244,SUM($S281:AE281)+$O266,IF(AE$244&gt;$G266,AE281,0)),0)</f>
        <v>0</v>
      </c>
      <c r="AF266" s="181">
        <f>IF(OR(RIGHT($H266,3)="RGT",RIGHT($H266,3)="INC"),IF($G266=AF$244,SUM($S281:AF281)+$O266,IF(AF$244&gt;$G266,AF281,0)),0)</f>
        <v>0</v>
      </c>
      <c r="AG266" s="181">
        <f>IF(OR(RIGHT($H266,3)="RGT",RIGHT($H266,3)="INC"),IF($G266=AG$244,SUM($S281:AG281)+$O266,IF(AG$244&gt;$G266,AG281,0)),0)</f>
        <v>0</v>
      </c>
      <c r="AH266" s="181">
        <f>IF(OR(RIGHT($H266,3)="RGT",RIGHT($H266,3)="INC"),IF($G266=AH$244,SUM($S281:AH281)+$O266,IF(AH$244&gt;$G266,AH281,0)),0)</f>
        <v>0</v>
      </c>
      <c r="AI266" s="181">
        <f>IF(OR(RIGHT($H266,3)="RGT",RIGHT($H266,3)="INC"),IF($G266=AI$244,SUM($S281:AI281)+$O266,IF(AI$244&gt;$G266,AI281,0)),0)</f>
        <v>0</v>
      </c>
      <c r="AJ266" s="181">
        <f>IF(OR(RIGHT($H266,3)="RGT",RIGHT($H266,3)="INC"),IF($G266=AJ$244,SUM($S281:AJ281)+$O266,IF(AJ$244&gt;$G266,AJ281,0)),0)</f>
        <v>0</v>
      </c>
      <c r="AK266" s="181">
        <f>IF(OR(RIGHT($H266,3)="RGT",RIGHT($H266,3)="INC"),IF($G266=AK$244,SUM($S281:AK281)+$O266,IF(AK$244&gt;$G266,AK281,0)),0)</f>
        <v>0</v>
      </c>
      <c r="AL266" s="181">
        <f>IF(OR(RIGHT($H266,3)="RGT",RIGHT($H266,3)="INC"),IF($G266=AL$244,SUM($S281:AL281)+$O266,IF(AL$244&gt;$G266,AL281,0)),0)</f>
        <v>0</v>
      </c>
      <c r="AM266" s="181">
        <f>IF(OR(RIGHT($H266,3)="RGT",RIGHT($H266,3)="INC"),IF($G266=AM$244,SUM($S281:AM281)+$O266,IF(AM$244&gt;$G266,AM281,0)),0)</f>
        <v>0</v>
      </c>
      <c r="AN266" s="181">
        <f>IF(OR(RIGHT($H266,3)="RGT",RIGHT($H266,3)="INC"),IF($G266=AN$244,SUM($S281:AN281)+$O266,IF(AN$244&gt;$G266,AN281,0)),0)</f>
        <v>0</v>
      </c>
      <c r="AO266" s="181">
        <f>IF(OR(RIGHT($H266,3)="RGT",RIGHT($H266,3)="INC"),IF($G266=AO$244,SUM($S281:AO281)+$O266,IF(AO$244&gt;$G266,AO281,0)),0)</f>
        <v>0</v>
      </c>
      <c r="AP266" s="182">
        <f>IF(OR(RIGHT($H266,3)="RGT",RIGHT($H266,3)="INC"),IF($G266=AP$244,SUM($S281:AP281)+$O266,IF(AP$244&gt;$G266,AP281,0)),0)</f>
        <v>0</v>
      </c>
      <c r="AQ266" s="183"/>
    </row>
    <row r="267" spans="1:43" x14ac:dyDescent="0.25">
      <c r="A267" s="169" t="str">
        <f t="shared" ref="A267:A271" si="136">+$C$260</f>
        <v>South of Kramer</v>
      </c>
      <c r="B267" s="179" t="s">
        <v>33</v>
      </c>
      <c r="C267" s="56" t="s">
        <v>303</v>
      </c>
      <c r="D267" s="66" t="s">
        <v>304</v>
      </c>
      <c r="E267" s="58" t="s">
        <v>302</v>
      </c>
      <c r="F267" s="60" t="s">
        <v>70</v>
      </c>
      <c r="G267" s="59" t="s">
        <v>241</v>
      </c>
      <c r="H267" s="60" t="s">
        <v>264</v>
      </c>
      <c r="I267" s="61">
        <v>0</v>
      </c>
      <c r="J267" s="62">
        <v>1</v>
      </c>
      <c r="K267" s="63"/>
      <c r="L267" s="234">
        <v>71.286010000000005</v>
      </c>
      <c r="M267" s="64">
        <f>SUM($S282:$AD282)</f>
        <v>385.90537999999998</v>
      </c>
      <c r="N267" s="64">
        <f>SUM($AE282:$AP282)</f>
        <v>0</v>
      </c>
      <c r="O267" s="64">
        <f t="shared" si="133"/>
        <v>71.286010000000005</v>
      </c>
      <c r="P267" s="64">
        <f t="shared" si="134"/>
        <v>385.90537999999998</v>
      </c>
      <c r="Q267" s="65">
        <f t="shared" si="135"/>
        <v>0</v>
      </c>
      <c r="R267" s="58"/>
      <c r="S267" s="180">
        <f>IF(OR(RIGHT($H267,3)="RGT",RIGHT($H267,3)="INC"),IF($G267=S$244,SUM($S282:S282)+$O267,IF(S$244&gt;$G267,S282,0)),0)</f>
        <v>0</v>
      </c>
      <c r="T267" s="181">
        <f>IF(OR(RIGHT($H267,3)="RGT",RIGHT($H267,3)="INC"),IF($G267=T$244,SUM($S282:T282)+$O267,IF(T$244&gt;$G267,T282,0)),0)</f>
        <v>0</v>
      </c>
      <c r="U267" s="181">
        <f>IF(OR(RIGHT($H267,3)="RGT",RIGHT($H267,3)="INC"),IF($G267=U$244,SUM($S282:U282)+$O267,IF(U$244&gt;$G267,U282,0)),0)</f>
        <v>0</v>
      </c>
      <c r="V267" s="181">
        <f>IF(OR(RIGHT($H267,3)="RGT",RIGHT($H267,3)="INC"),IF($G267=V$244,SUM($S282:V282)+$O267,IF(V$244&gt;$G267,V282,0)),0)</f>
        <v>0</v>
      </c>
      <c r="W267" s="181">
        <f>IF(OR(RIGHT($H267,3)="RGT",RIGHT($H267,3)="INC"),IF($G267=W$244,SUM($S282:W282)+$O267,IF(W$244&gt;$G267,W282,0)),0)</f>
        <v>0</v>
      </c>
      <c r="X267" s="181">
        <f>IF(OR(RIGHT($H267,3)="RGT",RIGHT($H267,3)="INC"),IF($G267=X$244,SUM($S282:X282)+$O267,IF(X$244&gt;$G267,X282,0)),0)</f>
        <v>0</v>
      </c>
      <c r="Y267" s="181">
        <f>IF(OR(RIGHT($H267,3)="RGT",RIGHT($H267,3)="INC"),IF($G267=Y$244,SUM($S282:Y282)+$O267,IF(Y$244&gt;$G267,Y282,0)),0)</f>
        <v>0</v>
      </c>
      <c r="Z267" s="181">
        <f>IF(OR(RIGHT($H267,3)="RGT",RIGHT($H267,3)="INC"),IF($G267=Z$244,SUM($S282:Z282)+$O267,IF(Z$244&gt;$G267,Z282,0)),0)</f>
        <v>0</v>
      </c>
      <c r="AA267" s="181">
        <f>IF(OR(RIGHT($H267,3)="RGT",RIGHT($H267,3)="INC"),IF($G267=AA$244,SUM($S282:AA282)+$O267,IF(AA$244&gt;$G267,AA282,0)),0)</f>
        <v>0</v>
      </c>
      <c r="AB267" s="181">
        <f>IF(OR(RIGHT($H267,3)="RGT",RIGHT($H267,3)="INC"),IF($G267=AB$244,SUM($S282:AB282)+$O267,IF(AB$244&gt;$G267,AB282,0)),0)</f>
        <v>0</v>
      </c>
      <c r="AC267" s="181">
        <f>IF(OR(RIGHT($H267,3)="RGT",RIGHT($H267,3)="INC"),IF($G267=AC$244,SUM($S282:AC282)+$O267,IF(AC$244&gt;$G267,AC282,0)),0)</f>
        <v>0</v>
      </c>
      <c r="AD267" s="182">
        <f>IF(OR(RIGHT($H267,3)="RGT",RIGHT($H267,3)="INC"),IF($G267=AD$244,SUM($S282:AD282)+$O267,IF(AD$244&gt;$G267,AD282,0)),0)</f>
        <v>0</v>
      </c>
      <c r="AE267" s="181">
        <f>IF(OR(RIGHT($H267,3)="RGT",RIGHT($H267,3)="INC"),IF($G267=AE$244,SUM($S282:AE282)+$O267,IF(AE$244&gt;$G267,AE282,0)),0)</f>
        <v>0</v>
      </c>
      <c r="AF267" s="181">
        <f>IF(OR(RIGHT($H267,3)="RGT",RIGHT($H267,3)="INC"),IF($G267=AF$244,SUM($S282:AF282)+$O267,IF(AF$244&gt;$G267,AF282,0)),0)</f>
        <v>0</v>
      </c>
      <c r="AG267" s="181">
        <f>IF(OR(RIGHT($H267,3)="RGT",RIGHT($H267,3)="INC"),IF($G267=AG$244,SUM($S282:AG282)+$O267,IF(AG$244&gt;$G267,AG282,0)),0)</f>
        <v>0</v>
      </c>
      <c r="AH267" s="181">
        <f>IF(OR(RIGHT($H267,3)="RGT",RIGHT($H267,3)="INC"),IF($G267=AH$244,SUM($S282:AH282)+$O267,IF(AH$244&gt;$G267,AH282,0)),0)</f>
        <v>0</v>
      </c>
      <c r="AI267" s="181">
        <f>IF(OR(RIGHT($H267,3)="RGT",RIGHT($H267,3)="INC"),IF($G267=AI$244,SUM($S282:AI282)+$O267,IF(AI$244&gt;$G267,AI282,0)),0)</f>
        <v>0</v>
      </c>
      <c r="AJ267" s="181">
        <f>IF(OR(RIGHT($H267,3)="RGT",RIGHT($H267,3)="INC"),IF($G267=AJ$244,SUM($S282:AJ282)+$O267,IF(AJ$244&gt;$G267,AJ282,0)),0)</f>
        <v>0</v>
      </c>
      <c r="AK267" s="181">
        <f>IF(OR(RIGHT($H267,3)="RGT",RIGHT($H267,3)="INC"),IF($G267=AK$244,SUM($S282:AK282)+$O267,IF(AK$244&gt;$G267,AK282,0)),0)</f>
        <v>0</v>
      </c>
      <c r="AL267" s="181">
        <f>IF(OR(RIGHT($H267,3)="RGT",RIGHT($H267,3)="INC"),IF($G267=AL$244,SUM($S282:AL282)+$O267,IF(AL$244&gt;$G267,AL282,0)),0)</f>
        <v>0</v>
      </c>
      <c r="AM267" s="181">
        <f>IF(OR(RIGHT($H267,3)="RGT",RIGHT($H267,3)="INC"),IF($G267=AM$244,SUM($S282:AM282)+$O267,IF(AM$244&gt;$G267,AM282,0)),0)</f>
        <v>0</v>
      </c>
      <c r="AN267" s="181">
        <f>IF(OR(RIGHT($H267,3)="RGT",RIGHT($H267,3)="INC"),IF($G267=AN$244,SUM($S282:AN282)+$O267,IF(AN$244&gt;$G267,AN282,0)),0)</f>
        <v>0</v>
      </c>
      <c r="AO267" s="181">
        <f>IF(OR(RIGHT($H267,3)="RGT",RIGHT($H267,3)="INC"),IF($G267=AO$244,SUM($S282:AO282)+$O267,IF(AO$244&gt;$G267,AO282,0)),0)</f>
        <v>0</v>
      </c>
      <c r="AP267" s="182">
        <f>IF(OR(RIGHT($H267,3)="RGT",RIGHT($H267,3)="INC"),IF($G267=AP$244,SUM($S282:AP282)+$O267,IF(AP$244&gt;$G267,AP282,0)),0)</f>
        <v>0</v>
      </c>
      <c r="AQ267" s="183"/>
    </row>
    <row r="268" spans="1:43" x14ac:dyDescent="0.25">
      <c r="A268" s="169" t="str">
        <f t="shared" si="136"/>
        <v>South of Kramer</v>
      </c>
      <c r="B268" s="179" t="s">
        <v>33</v>
      </c>
      <c r="C268" s="56" t="s">
        <v>305</v>
      </c>
      <c r="D268" s="66" t="s">
        <v>306</v>
      </c>
      <c r="E268" s="58" t="s">
        <v>302</v>
      </c>
      <c r="F268" s="60" t="s">
        <v>70</v>
      </c>
      <c r="G268" s="59" t="s">
        <v>241</v>
      </c>
      <c r="H268" s="60" t="s">
        <v>264</v>
      </c>
      <c r="I268" s="61">
        <v>0</v>
      </c>
      <c r="J268" s="62">
        <v>1</v>
      </c>
      <c r="K268" s="63"/>
      <c r="L268" s="234">
        <v>20.16179</v>
      </c>
      <c r="M268" s="64">
        <f>SUM($S283:$AD283)</f>
        <v>180.42784</v>
      </c>
      <c r="N268" s="64">
        <f>SUM($AE283:$AP283)</f>
        <v>0</v>
      </c>
      <c r="O268" s="64">
        <f t="shared" si="133"/>
        <v>20.16179</v>
      </c>
      <c r="P268" s="64">
        <f t="shared" si="134"/>
        <v>180.42784</v>
      </c>
      <c r="Q268" s="65">
        <f t="shared" si="135"/>
        <v>0</v>
      </c>
      <c r="R268" s="58"/>
      <c r="S268" s="180">
        <f>IF(OR(RIGHT($H268,3)="RGT",RIGHT($H268,3)="INC"),IF($G268=S$244,SUM($S283:S283)+$O268,IF(S$244&gt;$G268,S283,0)),0)</f>
        <v>0</v>
      </c>
      <c r="T268" s="181">
        <f>IF(OR(RIGHT($H268,3)="RGT",RIGHT($H268,3)="INC"),IF($G268=T$244,SUM($S283:T283)+$O268,IF(T$244&gt;$G268,T283,0)),0)</f>
        <v>0</v>
      </c>
      <c r="U268" s="181">
        <f>IF(OR(RIGHT($H268,3)="RGT",RIGHT($H268,3)="INC"),IF($G268=U$244,SUM($S283:U283)+$O268,IF(U$244&gt;$G268,U283,0)),0)</f>
        <v>0</v>
      </c>
      <c r="V268" s="181">
        <f>IF(OR(RIGHT($H268,3)="RGT",RIGHT($H268,3)="INC"),IF($G268=V$244,SUM($S283:V283)+$O268,IF(V$244&gt;$G268,V283,0)),0)</f>
        <v>0</v>
      </c>
      <c r="W268" s="181">
        <f>IF(OR(RIGHT($H268,3)="RGT",RIGHT($H268,3)="INC"),IF($G268=W$244,SUM($S283:W283)+$O268,IF(W$244&gt;$G268,W283,0)),0)</f>
        <v>0</v>
      </c>
      <c r="X268" s="181">
        <f>IF(OR(RIGHT($H268,3)="RGT",RIGHT($H268,3)="INC"),IF($G268=X$244,SUM($S283:X283)+$O268,IF(X$244&gt;$G268,X283,0)),0)</f>
        <v>0</v>
      </c>
      <c r="Y268" s="181">
        <f>IF(OR(RIGHT($H268,3)="RGT",RIGHT($H268,3)="INC"),IF($G268=Y$244,SUM($S283:Y283)+$O268,IF(Y$244&gt;$G268,Y283,0)),0)</f>
        <v>0</v>
      </c>
      <c r="Z268" s="181">
        <f>IF(OR(RIGHT($H268,3)="RGT",RIGHT($H268,3)="INC"),IF($G268=Z$244,SUM($S283:Z283)+$O268,IF(Z$244&gt;$G268,Z283,0)),0)</f>
        <v>0</v>
      </c>
      <c r="AA268" s="181">
        <f>IF(OR(RIGHT($H268,3)="RGT",RIGHT($H268,3)="INC"),IF($G268=AA$244,SUM($S283:AA283)+$O268,IF(AA$244&gt;$G268,AA283,0)),0)</f>
        <v>0</v>
      </c>
      <c r="AB268" s="181">
        <f>IF(OR(RIGHT($H268,3)="RGT",RIGHT($H268,3)="INC"),IF($G268=AB$244,SUM($S283:AB283)+$O268,IF(AB$244&gt;$G268,AB283,0)),0)</f>
        <v>0</v>
      </c>
      <c r="AC268" s="181">
        <f>IF(OR(RIGHT($H268,3)="RGT",RIGHT($H268,3)="INC"),IF($G268=AC$244,SUM($S283:AC283)+$O268,IF(AC$244&gt;$G268,AC283,0)),0)</f>
        <v>0</v>
      </c>
      <c r="AD268" s="182">
        <f>IF(OR(RIGHT($H268,3)="RGT",RIGHT($H268,3)="INC"),IF($G268=AD$244,SUM($S283:AD283)+$O268,IF(AD$244&gt;$G268,AD283,0)),0)</f>
        <v>0</v>
      </c>
      <c r="AE268" s="181">
        <f>IF(OR(RIGHT($H268,3)="RGT",RIGHT($H268,3)="INC"),IF($G268=AE$244,SUM($S283:AE283)+$O268,IF(AE$244&gt;$G268,AE283,0)),0)</f>
        <v>0</v>
      </c>
      <c r="AF268" s="181">
        <f>IF(OR(RIGHT($H268,3)="RGT",RIGHT($H268,3)="INC"),IF($G268=AF$244,SUM($S283:AF283)+$O268,IF(AF$244&gt;$G268,AF283,0)),0)</f>
        <v>0</v>
      </c>
      <c r="AG268" s="181">
        <f>IF(OR(RIGHT($H268,3)="RGT",RIGHT($H268,3)="INC"),IF($G268=AG$244,SUM($S283:AG283)+$O268,IF(AG$244&gt;$G268,AG283,0)),0)</f>
        <v>0</v>
      </c>
      <c r="AH268" s="181">
        <f>IF(OR(RIGHT($H268,3)="RGT",RIGHT($H268,3)="INC"),IF($G268=AH$244,SUM($S283:AH283)+$O268,IF(AH$244&gt;$G268,AH283,0)),0)</f>
        <v>0</v>
      </c>
      <c r="AI268" s="181">
        <f>IF(OR(RIGHT($H268,3)="RGT",RIGHT($H268,3)="INC"),IF($G268=AI$244,SUM($S283:AI283)+$O268,IF(AI$244&gt;$G268,AI283,0)),0)</f>
        <v>0</v>
      </c>
      <c r="AJ268" s="181">
        <f>IF(OR(RIGHT($H268,3)="RGT",RIGHT($H268,3)="INC"),IF($G268=AJ$244,SUM($S283:AJ283)+$O268,IF(AJ$244&gt;$G268,AJ283,0)),0)</f>
        <v>0</v>
      </c>
      <c r="AK268" s="181">
        <f>IF(OR(RIGHT($H268,3)="RGT",RIGHT($H268,3)="INC"),IF($G268=AK$244,SUM($S283:AK283)+$O268,IF(AK$244&gt;$G268,AK283,0)),0)</f>
        <v>0</v>
      </c>
      <c r="AL268" s="181">
        <f>IF(OR(RIGHT($H268,3)="RGT",RIGHT($H268,3)="INC"),IF($G268=AL$244,SUM($S283:AL283)+$O268,IF(AL$244&gt;$G268,AL283,0)),0)</f>
        <v>0</v>
      </c>
      <c r="AM268" s="181">
        <f>IF(OR(RIGHT($H268,3)="RGT",RIGHT($H268,3)="INC"),IF($G268=AM$244,SUM($S283:AM283)+$O268,IF(AM$244&gt;$G268,AM283,0)),0)</f>
        <v>0</v>
      </c>
      <c r="AN268" s="181">
        <f>IF(OR(RIGHT($H268,3)="RGT",RIGHT($H268,3)="INC"),IF($G268=AN$244,SUM($S283:AN283)+$O268,IF(AN$244&gt;$G268,AN283,0)),0)</f>
        <v>0</v>
      </c>
      <c r="AO268" s="181">
        <f>IF(OR(RIGHT($H268,3)="RGT",RIGHT($H268,3)="INC"),IF($G268=AO$244,SUM($S283:AO283)+$O268,IF(AO$244&gt;$G268,AO283,0)),0)</f>
        <v>0</v>
      </c>
      <c r="AP268" s="182">
        <f>IF(OR(RIGHT($H268,3)="RGT",RIGHT($H268,3)="INC"),IF($G268=AP$244,SUM($S283:AP283)+$O268,IF(AP$244&gt;$G268,AP283,0)),0)</f>
        <v>0</v>
      </c>
      <c r="AQ268" s="183"/>
    </row>
    <row r="269" spans="1:43" x14ac:dyDescent="0.25">
      <c r="A269" s="169" t="str">
        <f t="shared" si="136"/>
        <v>South of Kramer</v>
      </c>
      <c r="B269" s="179" t="s">
        <v>33</v>
      </c>
      <c r="C269" s="56" t="s">
        <v>307</v>
      </c>
      <c r="D269" s="66" t="s">
        <v>308</v>
      </c>
      <c r="E269" s="58" t="s">
        <v>302</v>
      </c>
      <c r="F269" s="60" t="s">
        <v>70</v>
      </c>
      <c r="G269" s="59" t="s">
        <v>241</v>
      </c>
      <c r="H269" s="60" t="s">
        <v>288</v>
      </c>
      <c r="I269" s="61">
        <v>0</v>
      </c>
      <c r="J269" s="62">
        <v>1</v>
      </c>
      <c r="K269" s="63"/>
      <c r="L269" s="234">
        <v>0.72377000000000002</v>
      </c>
      <c r="M269" s="64">
        <f>SUM($S284:$AD284)</f>
        <v>19.933860000000003</v>
      </c>
      <c r="N269" s="64">
        <f>SUM($AE284:$AP284)</f>
        <v>0</v>
      </c>
      <c r="O269" s="64">
        <f t="shared" si="133"/>
        <v>0.72377000000000002</v>
      </c>
      <c r="P269" s="64">
        <f t="shared" si="134"/>
        <v>19.933860000000003</v>
      </c>
      <c r="Q269" s="65">
        <f t="shared" si="135"/>
        <v>0</v>
      </c>
      <c r="R269" s="58"/>
      <c r="S269" s="180">
        <f>IF(OR(RIGHT($H269,3)="RGT",RIGHT($H269,3)="INC"),IF($G269=S$244,SUM($S284:S284)+$O269,IF(S$244&gt;$G269,S284,0)),0)</f>
        <v>0</v>
      </c>
      <c r="T269" s="181">
        <f>IF(OR(RIGHT($H269,3)="RGT",RIGHT($H269,3)="INC"),IF($G269=T$244,SUM($S284:T284)+$O269,IF(T$244&gt;$G269,T284,0)),0)</f>
        <v>0</v>
      </c>
      <c r="U269" s="181">
        <f>IF(OR(RIGHT($H269,3)="RGT",RIGHT($H269,3)="INC"),IF($G269=U$244,SUM($S284:U284)+$O269,IF(U$244&gt;$G269,U284,0)),0)</f>
        <v>0</v>
      </c>
      <c r="V269" s="181">
        <f>IF(OR(RIGHT($H269,3)="RGT",RIGHT($H269,3)="INC"),IF($G269=V$244,SUM($S284:V284)+$O269,IF(V$244&gt;$G269,V284,0)),0)</f>
        <v>0</v>
      </c>
      <c r="W269" s="181">
        <f>IF(OR(RIGHT($H269,3)="RGT",RIGHT($H269,3)="INC"),IF($G269=W$244,SUM($S284:W284)+$O269,IF(W$244&gt;$G269,W284,0)),0)</f>
        <v>0</v>
      </c>
      <c r="X269" s="181">
        <f>IF(OR(RIGHT($H269,3)="RGT",RIGHT($H269,3)="INC"),IF($G269=X$244,SUM($S284:X284)+$O269,IF(X$244&gt;$G269,X284,0)),0)</f>
        <v>0</v>
      </c>
      <c r="Y269" s="181">
        <f>IF(OR(RIGHT($H269,3)="RGT",RIGHT($H269,3)="INC"),IF($G269=Y$244,SUM($S284:Y284)+$O269,IF(Y$244&gt;$G269,Y284,0)),0)</f>
        <v>0</v>
      </c>
      <c r="Z269" s="181">
        <f>IF(OR(RIGHT($H269,3)="RGT",RIGHT($H269,3)="INC"),IF($G269=Z$244,SUM($S284:Z284)+$O269,IF(Z$244&gt;$G269,Z284,0)),0)</f>
        <v>0</v>
      </c>
      <c r="AA269" s="181">
        <f>IF(OR(RIGHT($H269,3)="RGT",RIGHT($H269,3)="INC"),IF($G269=AA$244,SUM($S284:AA284)+$O269,IF(AA$244&gt;$G269,AA284,0)),0)</f>
        <v>0</v>
      </c>
      <c r="AB269" s="181">
        <f>IF(OR(RIGHT($H269,3)="RGT",RIGHT($H269,3)="INC"),IF($G269=AB$244,SUM($S284:AB284)+$O269,IF(AB$244&gt;$G269,AB284,0)),0)</f>
        <v>0</v>
      </c>
      <c r="AC269" s="181">
        <f>IF(OR(RIGHT($H269,3)="RGT",RIGHT($H269,3)="INC"),IF($G269=AC$244,SUM($S284:AC284)+$O269,IF(AC$244&gt;$G269,AC284,0)),0)</f>
        <v>0</v>
      </c>
      <c r="AD269" s="182">
        <f>IF(OR(RIGHT($H269,3)="RGT",RIGHT($H269,3)="INC"),IF($G269=AD$244,SUM($S284:AD284)+$O269,IF(AD$244&gt;$G269,AD284,0)),0)</f>
        <v>0</v>
      </c>
      <c r="AE269" s="181">
        <f>IF(OR(RIGHT($H269,3)="RGT",RIGHT($H269,3)="INC"),IF($G269=AE$244,SUM($S284:AE284)+$O269,IF(AE$244&gt;$G269,AE284,0)),0)</f>
        <v>0</v>
      </c>
      <c r="AF269" s="181">
        <f>IF(OR(RIGHT($H269,3)="RGT",RIGHT($H269,3)="INC"),IF($G269=AF$244,SUM($S284:AF284)+$O269,IF(AF$244&gt;$G269,AF284,0)),0)</f>
        <v>0</v>
      </c>
      <c r="AG269" s="181">
        <f>IF(OR(RIGHT($H269,3)="RGT",RIGHT($H269,3)="INC"),IF($G269=AG$244,SUM($S284:AG284)+$O269,IF(AG$244&gt;$G269,AG284,0)),0)</f>
        <v>0</v>
      </c>
      <c r="AH269" s="181">
        <f>IF(OR(RIGHT($H269,3)="RGT",RIGHT($H269,3)="INC"),IF($G269=AH$244,SUM($S284:AH284)+$O269,IF(AH$244&gt;$G269,AH284,0)),0)</f>
        <v>0</v>
      </c>
      <c r="AI269" s="181">
        <f>IF(OR(RIGHT($H269,3)="RGT",RIGHT($H269,3)="INC"),IF($G269=AI$244,SUM($S284:AI284)+$O269,IF(AI$244&gt;$G269,AI284,0)),0)</f>
        <v>0</v>
      </c>
      <c r="AJ269" s="181">
        <f>IF(OR(RIGHT($H269,3)="RGT",RIGHT($H269,3)="INC"),IF($G269=AJ$244,SUM($S284:AJ284)+$O269,IF(AJ$244&gt;$G269,AJ284,0)),0)</f>
        <v>0</v>
      </c>
      <c r="AK269" s="181">
        <f>IF(OR(RIGHT($H269,3)="RGT",RIGHT($H269,3)="INC"),IF($G269=AK$244,SUM($S284:AK284)+$O269,IF(AK$244&gt;$G269,AK284,0)),0)</f>
        <v>0</v>
      </c>
      <c r="AL269" s="181">
        <f>IF(OR(RIGHT($H269,3)="RGT",RIGHT($H269,3)="INC"),IF($G269=AL$244,SUM($S284:AL284)+$O269,IF(AL$244&gt;$G269,AL284,0)),0)</f>
        <v>0</v>
      </c>
      <c r="AM269" s="181">
        <f>IF(OR(RIGHT($H269,3)="RGT",RIGHT($H269,3)="INC"),IF($G269=AM$244,SUM($S284:AM284)+$O269,IF(AM$244&gt;$G269,AM284,0)),0)</f>
        <v>0</v>
      </c>
      <c r="AN269" s="181">
        <f>IF(OR(RIGHT($H269,3)="RGT",RIGHT($H269,3)="INC"),IF($G269=AN$244,SUM($S284:AN284)+$O269,IF(AN$244&gt;$G269,AN284,0)),0)</f>
        <v>0</v>
      </c>
      <c r="AO269" s="181">
        <f>IF(OR(RIGHT($H269,3)="RGT",RIGHT($H269,3)="INC"),IF($G269=AO$244,SUM($S284:AO284)+$O269,IF(AO$244&gt;$G269,AO284,0)),0)</f>
        <v>0</v>
      </c>
      <c r="AP269" s="182">
        <f>IF(OR(RIGHT($H269,3)="RGT",RIGHT($H269,3)="INC"),IF($G269=AP$244,SUM($S284:AP284)+$O269,IF(AP$244&gt;$G269,AP284,0)),0)</f>
        <v>0</v>
      </c>
      <c r="AQ269" s="183"/>
    </row>
    <row r="270" spans="1:43" x14ac:dyDescent="0.25">
      <c r="A270" s="169" t="str">
        <f t="shared" si="136"/>
        <v>South of Kramer</v>
      </c>
      <c r="B270" s="179" t="s">
        <v>33</v>
      </c>
      <c r="C270" s="56" t="s">
        <v>487</v>
      </c>
      <c r="D270" s="66" t="s">
        <v>477</v>
      </c>
      <c r="E270" s="58">
        <v>6902</v>
      </c>
      <c r="F270" s="60" t="s">
        <v>70</v>
      </c>
      <c r="G270" s="278" t="s">
        <v>486</v>
      </c>
      <c r="H270" s="60" t="s">
        <v>288</v>
      </c>
      <c r="I270" s="61">
        <v>0</v>
      </c>
      <c r="J270" s="62">
        <v>1</v>
      </c>
      <c r="K270" s="63"/>
      <c r="L270" s="284">
        <f>2.84771501*1000</f>
        <v>2847.7150099999999</v>
      </c>
      <c r="M270" s="64">
        <f t="shared" ref="M270:M271" si="137">SUM($S285:$AD285)</f>
        <v>0</v>
      </c>
      <c r="N270" s="64">
        <f t="shared" ref="N270:N271" si="138">SUM($AE285:$AP285)</f>
        <v>0</v>
      </c>
      <c r="O270" s="64">
        <f t="shared" si="133"/>
        <v>2847.7150099999999</v>
      </c>
      <c r="P270" s="64">
        <f t="shared" si="134"/>
        <v>0</v>
      </c>
      <c r="Q270" s="65">
        <f t="shared" si="135"/>
        <v>0</v>
      </c>
      <c r="R270" s="58"/>
      <c r="S270" s="180">
        <f>IF(OR(RIGHT($H270,3)="RGT",RIGHT($H270,3)="INC"),IF($G270=S$244,SUM($S285:S285)+$O270,IF(S$244&gt;$G270,S285,0)),0)</f>
        <v>0</v>
      </c>
      <c r="T270" s="181">
        <f>IF(OR(RIGHT($H270,3)="RGT",RIGHT($H270,3)="INC"),IF($G270=T$244,SUM($S285:T285)+$O270,IF(T$244&gt;$G270,T285,0)),0)</f>
        <v>0</v>
      </c>
      <c r="U270" s="181">
        <f>IF(OR(RIGHT($H270,3)="RGT",RIGHT($H270,3)="INC"),IF($G270=U$244,SUM($S285:U285)+$O270,IF(U$244&gt;$G270,U285,0)),0)</f>
        <v>0</v>
      </c>
      <c r="V270" s="181">
        <f>IF(OR(RIGHT($H270,3)="RGT",RIGHT($H270,3)="INC"),IF($G270=V$244,SUM($S285:V285)+$O270,IF(V$244&gt;$G270,V285,0)),0)</f>
        <v>0</v>
      </c>
      <c r="W270" s="181">
        <f>IF(OR(RIGHT($H270,3)="RGT",RIGHT($H270,3)="INC"),IF($G270=W$244,SUM($S285:W285)+$O270,IF(W$244&gt;$G270,W285,0)),0)</f>
        <v>0</v>
      </c>
      <c r="X270" s="181">
        <f>IF(OR(RIGHT($H270,3)="RGT",RIGHT($H270,3)="INC"),IF($G270=X$244,SUM($S285:X285)+$O270,IF(X$244&gt;$G270,X285,0)),0)</f>
        <v>0</v>
      </c>
      <c r="Y270" s="181">
        <f>IF(OR(RIGHT($H270,3)="RGT",RIGHT($H270,3)="INC"),IF($G270=Y$244,SUM($S285:Y285)+$O270,IF(Y$244&gt;$G270,Y285,0)),0)</f>
        <v>0</v>
      </c>
      <c r="Z270" s="181">
        <f>IF(OR(RIGHT($H270,3)="RGT",RIGHT($H270,3)="INC"),IF($G270=Z$244,SUM($S285:Z285)+$O270,IF(Z$244&gt;$G270,Z285,0)),0)</f>
        <v>0</v>
      </c>
      <c r="AA270" s="181">
        <f>IF(OR(RIGHT($H270,3)="RGT",RIGHT($H270,3)="INC"),IF($G270=AA$244,SUM($S285:AA285)+$O270,IF(AA$244&gt;$G270,AA285,0)),0)</f>
        <v>0</v>
      </c>
      <c r="AB270" s="181">
        <f>IF(OR(RIGHT($H270,3)="RGT",RIGHT($H270,3)="INC"),IF($G270=AB$244,SUM($S285:AB285)+$O270,IF(AB$244&gt;$G270,AB285,0)),0)</f>
        <v>0</v>
      </c>
      <c r="AC270" s="181">
        <f>IF(OR(RIGHT($H270,3)="RGT",RIGHT($H270,3)="INC"),IF($G270=AC$244,SUM($S285:AC285)+$O270,IF(AC$244&gt;$G270,AC285,0)),0)</f>
        <v>0</v>
      </c>
      <c r="AD270" s="182">
        <f>IF(OR(RIGHT($H270,3)="RGT",RIGHT($H270,3)="INC"),IF($G270=AD$244,SUM($S285:AD285)+$O270,IF(AD$244&gt;$G270,AD285,0)),0)</f>
        <v>0</v>
      </c>
      <c r="AE270" s="181">
        <f>IF(OR(RIGHT($H270,3)="RGT",RIGHT($H270,3)="INC"),IF($G270=AE$244,SUM($S285:AE285)+$O270,IF(AE$244&gt;$G270,AE285,0)),0)</f>
        <v>0</v>
      </c>
      <c r="AF270" s="181">
        <f>IF(OR(RIGHT($H270,3)="RGT",RIGHT($H270,3)="INC"),IF($G270=AF$244,SUM($S285:AF285)+$O270,IF(AF$244&gt;$G270,AF285,0)),0)</f>
        <v>0</v>
      </c>
      <c r="AG270" s="181">
        <f>IF(OR(RIGHT($H270,3)="RGT",RIGHT($H270,3)="INC"),IF($G270=AG$244,SUM($S285:AG285)+$O270,IF(AG$244&gt;$G270,AG285,0)),0)</f>
        <v>0</v>
      </c>
      <c r="AH270" s="181">
        <f>IF(OR(RIGHT($H270,3)="RGT",RIGHT($H270,3)="INC"),IF($G270=AH$244,SUM($S285:AH285)+$O270,IF(AH$244&gt;$G270,AH285,0)),0)</f>
        <v>0</v>
      </c>
      <c r="AI270" s="181">
        <f>IF(OR(RIGHT($H270,3)="RGT",RIGHT($H270,3)="INC"),IF($G270=AI$244,SUM($S285:AI285)+$O270,IF(AI$244&gt;$G270,AI285,0)),0)</f>
        <v>0</v>
      </c>
      <c r="AJ270" s="181">
        <f>IF(OR(RIGHT($H270,3)="RGT",RIGHT($H270,3)="INC"),IF($G270=AJ$244,SUM($S285:AJ285)+$O270,IF(AJ$244&gt;$G270,AJ285,0)),0)</f>
        <v>0</v>
      </c>
      <c r="AK270" s="181">
        <f>IF(OR(RIGHT($H270,3)="RGT",RIGHT($H270,3)="INC"),IF($G270=AK$244,SUM($S285:AK285)+$O270,IF(AK$244&gt;$G270,AK285,0)),0)</f>
        <v>0</v>
      </c>
      <c r="AL270" s="181">
        <f>IF(OR(RIGHT($H270,3)="RGT",RIGHT($H270,3)="INC"),IF($G270=AL$244,SUM($S285:AL285)+$O270,IF(AL$244&gt;$G270,AL285,0)),0)</f>
        <v>0</v>
      </c>
      <c r="AM270" s="181">
        <f>IF(OR(RIGHT($H270,3)="RGT",RIGHT($H270,3)="INC"),IF($G270=AM$244,SUM($S285:AM285)+$O270,IF(AM$244&gt;$G270,AM285,0)),0)</f>
        <v>0</v>
      </c>
      <c r="AN270" s="181">
        <f>IF(OR(RIGHT($H270,3)="RGT",RIGHT($H270,3)="INC"),IF($G270=AN$244,SUM($S285:AN285)+$O270,IF(AN$244&gt;$G270,AN285,0)),0)</f>
        <v>0</v>
      </c>
      <c r="AO270" s="181">
        <f>IF(OR(RIGHT($H270,3)="RGT",RIGHT($H270,3)="INC"),IF($G270=AO$244,SUM($S285:AO285)+$O270,IF(AO$244&gt;$G270,AO285,0)),0)</f>
        <v>0</v>
      </c>
      <c r="AP270" s="182">
        <f>IF(OR(RIGHT($H270,3)="RGT",RIGHT($H270,3)="INC"),IF($G270=AP$244,SUM($S285:AP285)+$O270,IF(AP$244&gt;$G270,AP285,0)),0)</f>
        <v>0</v>
      </c>
      <c r="AQ270" s="183"/>
    </row>
    <row r="271" spans="1:43" x14ac:dyDescent="0.25">
      <c r="A271" s="169" t="str">
        <f t="shared" si="136"/>
        <v>South of Kramer</v>
      </c>
      <c r="B271" s="179" t="s">
        <v>33</v>
      </c>
      <c r="C271" s="56" t="s">
        <v>488</v>
      </c>
      <c r="D271" s="66" t="s">
        <v>489</v>
      </c>
      <c r="E271" s="58" t="s">
        <v>302</v>
      </c>
      <c r="F271" s="60" t="s">
        <v>70</v>
      </c>
      <c r="G271" s="281" t="s">
        <v>241</v>
      </c>
      <c r="H271" s="60" t="s">
        <v>288</v>
      </c>
      <c r="I271" s="61">
        <v>0</v>
      </c>
      <c r="J271" s="62">
        <v>1</v>
      </c>
      <c r="K271" s="63"/>
      <c r="L271" s="293">
        <v>0</v>
      </c>
      <c r="M271" s="64">
        <f t="shared" si="137"/>
        <v>10</v>
      </c>
      <c r="N271" s="64">
        <f t="shared" si="138"/>
        <v>0</v>
      </c>
      <c r="O271" s="64">
        <f t="shared" si="133"/>
        <v>0</v>
      </c>
      <c r="P271" s="64">
        <f t="shared" si="134"/>
        <v>10</v>
      </c>
      <c r="Q271" s="65">
        <f t="shared" si="135"/>
        <v>0</v>
      </c>
      <c r="R271" s="58"/>
      <c r="S271" s="180"/>
      <c r="T271" s="181"/>
      <c r="U271" s="181"/>
      <c r="V271" s="181"/>
      <c r="W271" s="181"/>
      <c r="X271" s="181"/>
      <c r="Y271" s="181"/>
      <c r="Z271" s="181"/>
      <c r="AA271" s="181"/>
      <c r="AB271" s="181"/>
      <c r="AC271" s="181"/>
      <c r="AD271" s="182"/>
      <c r="AE271" s="181"/>
      <c r="AF271" s="181"/>
      <c r="AG271" s="181"/>
      <c r="AH271" s="181"/>
      <c r="AI271" s="181"/>
      <c r="AJ271" s="181"/>
      <c r="AK271" s="181"/>
      <c r="AL271" s="181"/>
      <c r="AM271" s="181"/>
      <c r="AN271" s="181"/>
      <c r="AO271" s="181"/>
      <c r="AP271" s="182"/>
      <c r="AQ271" s="183"/>
    </row>
    <row r="272" spans="1:43" ht="15.75" thickBot="1" x14ac:dyDescent="0.3">
      <c r="B272" s="170" t="s">
        <v>66</v>
      </c>
      <c r="C272" s="226" t="s">
        <v>26</v>
      </c>
      <c r="D272" s="227"/>
      <c r="E272" s="227"/>
      <c r="F272" s="227"/>
      <c r="G272" s="227"/>
      <c r="H272" s="227"/>
      <c r="I272" s="227"/>
      <c r="J272" s="228"/>
      <c r="K272" s="63"/>
      <c r="L272" s="125">
        <f>SUM(L266:L271)</f>
        <v>35254.447619999992</v>
      </c>
      <c r="M272" s="126">
        <f t="shared" ref="M272:Q272" si="139">SUM(M266:M271)</f>
        <v>3947.2090400000002</v>
      </c>
      <c r="N272" s="126">
        <f t="shared" si="139"/>
        <v>0</v>
      </c>
      <c r="O272" s="126">
        <f t="shared" si="139"/>
        <v>35254.447619999992</v>
      </c>
      <c r="P272" s="126">
        <f t="shared" si="139"/>
        <v>3947.2090400000002</v>
      </c>
      <c r="Q272" s="127">
        <f t="shared" si="139"/>
        <v>0</v>
      </c>
      <c r="R272" s="58"/>
      <c r="S272" s="184">
        <f>SUM(S266:S271)</f>
        <v>0</v>
      </c>
      <c r="T272" s="185">
        <f t="shared" ref="T272:AP272" si="140">SUM(T266:T271)</f>
        <v>0</v>
      </c>
      <c r="U272" s="185">
        <f t="shared" si="140"/>
        <v>0</v>
      </c>
      <c r="V272" s="185">
        <f t="shared" si="140"/>
        <v>0</v>
      </c>
      <c r="W272" s="185">
        <f t="shared" si="140"/>
        <v>0</v>
      </c>
      <c r="X272" s="185">
        <f t="shared" si="140"/>
        <v>0</v>
      </c>
      <c r="Y272" s="185">
        <f t="shared" si="140"/>
        <v>0</v>
      </c>
      <c r="Z272" s="185">
        <f t="shared" si="140"/>
        <v>0</v>
      </c>
      <c r="AA272" s="185">
        <f t="shared" si="140"/>
        <v>0</v>
      </c>
      <c r="AB272" s="185">
        <f t="shared" si="140"/>
        <v>0</v>
      </c>
      <c r="AC272" s="185">
        <f t="shared" si="140"/>
        <v>0</v>
      </c>
      <c r="AD272" s="186">
        <f t="shared" si="140"/>
        <v>0</v>
      </c>
      <c r="AE272" s="185">
        <f t="shared" si="140"/>
        <v>0</v>
      </c>
      <c r="AF272" s="185">
        <f t="shared" si="140"/>
        <v>0</v>
      </c>
      <c r="AG272" s="185">
        <f t="shared" si="140"/>
        <v>0</v>
      </c>
      <c r="AH272" s="185">
        <f t="shared" si="140"/>
        <v>0</v>
      </c>
      <c r="AI272" s="185">
        <f t="shared" si="140"/>
        <v>0</v>
      </c>
      <c r="AJ272" s="185">
        <f t="shared" si="140"/>
        <v>0</v>
      </c>
      <c r="AK272" s="185">
        <f t="shared" si="140"/>
        <v>0</v>
      </c>
      <c r="AL272" s="185">
        <f t="shared" si="140"/>
        <v>0</v>
      </c>
      <c r="AM272" s="185">
        <f t="shared" si="140"/>
        <v>0</v>
      </c>
      <c r="AN272" s="185">
        <f t="shared" si="140"/>
        <v>0</v>
      </c>
      <c r="AO272" s="185">
        <f t="shared" si="140"/>
        <v>0</v>
      </c>
      <c r="AP272" s="186">
        <f t="shared" si="140"/>
        <v>0</v>
      </c>
      <c r="AQ272" s="183"/>
    </row>
    <row r="273" spans="1:43" ht="15.75" thickTop="1" x14ac:dyDescent="0.25">
      <c r="C273" s="189"/>
      <c r="D273" s="190"/>
      <c r="E273" s="191"/>
      <c r="F273" s="192"/>
      <c r="G273" s="192"/>
      <c r="H273" s="107"/>
      <c r="I273" s="192"/>
      <c r="J273" s="192"/>
      <c r="K273" s="63"/>
      <c r="L273" s="107"/>
      <c r="M273" s="107"/>
      <c r="N273" s="107"/>
      <c r="O273" s="107"/>
      <c r="P273" s="107"/>
      <c r="Q273" s="107"/>
      <c r="R273" s="58"/>
      <c r="S273" s="192"/>
      <c r="T273" s="192"/>
      <c r="U273" s="192"/>
      <c r="V273" s="192"/>
      <c r="W273" s="192"/>
      <c r="X273" s="192"/>
      <c r="Y273" s="192"/>
      <c r="Z273" s="192"/>
      <c r="AA273" s="192"/>
      <c r="AB273" s="192"/>
      <c r="AC273" s="192"/>
      <c r="AD273" s="192"/>
      <c r="AE273" s="192"/>
      <c r="AF273" s="192"/>
      <c r="AG273" s="192"/>
      <c r="AH273" s="192"/>
      <c r="AI273" s="192"/>
      <c r="AJ273" s="192"/>
      <c r="AK273" s="192"/>
      <c r="AL273" s="192"/>
      <c r="AM273" s="192"/>
      <c r="AN273" s="192"/>
      <c r="AO273" s="192"/>
      <c r="AP273" s="192"/>
      <c r="AQ273" s="183"/>
    </row>
    <row r="274" spans="1:43" ht="15.75" thickBot="1" x14ac:dyDescent="0.3">
      <c r="C274" s="226" t="str">
        <f>"Total Incremental Plant Balance - "&amp;C260</f>
        <v>Total Incremental Plant Balance - South of Kramer</v>
      </c>
      <c r="D274" s="227"/>
      <c r="E274" s="227"/>
      <c r="F274" s="227"/>
      <c r="G274" s="227"/>
      <c r="H274" s="227"/>
      <c r="I274" s="227"/>
      <c r="J274" s="228"/>
      <c r="K274" s="63"/>
      <c r="L274" s="125"/>
      <c r="M274" s="126"/>
      <c r="N274" s="126"/>
      <c r="O274" s="126"/>
      <c r="P274" s="126"/>
      <c r="Q274" s="127"/>
      <c r="R274" s="58"/>
      <c r="S274" s="184">
        <f>S272</f>
        <v>0</v>
      </c>
      <c r="T274" s="185">
        <f t="shared" ref="T274:AL274" si="141">T272+S274</f>
        <v>0</v>
      </c>
      <c r="U274" s="185">
        <f t="shared" si="141"/>
        <v>0</v>
      </c>
      <c r="V274" s="185">
        <f t="shared" si="141"/>
        <v>0</v>
      </c>
      <c r="W274" s="185">
        <f t="shared" si="141"/>
        <v>0</v>
      </c>
      <c r="X274" s="185">
        <f t="shared" si="141"/>
        <v>0</v>
      </c>
      <c r="Y274" s="185">
        <f t="shared" si="141"/>
        <v>0</v>
      </c>
      <c r="Z274" s="185">
        <f t="shared" si="141"/>
        <v>0</v>
      </c>
      <c r="AA274" s="185">
        <f t="shared" si="141"/>
        <v>0</v>
      </c>
      <c r="AB274" s="185">
        <f t="shared" si="141"/>
        <v>0</v>
      </c>
      <c r="AC274" s="185">
        <f t="shared" si="141"/>
        <v>0</v>
      </c>
      <c r="AD274" s="186">
        <f t="shared" si="141"/>
        <v>0</v>
      </c>
      <c r="AE274" s="185">
        <f>AE272+AD274</f>
        <v>0</v>
      </c>
      <c r="AF274" s="185">
        <f t="shared" si="141"/>
        <v>0</v>
      </c>
      <c r="AG274" s="185">
        <f t="shared" si="141"/>
        <v>0</v>
      </c>
      <c r="AH274" s="185">
        <f t="shared" si="141"/>
        <v>0</v>
      </c>
      <c r="AI274" s="185">
        <f t="shared" si="141"/>
        <v>0</v>
      </c>
      <c r="AJ274" s="185">
        <f t="shared" si="141"/>
        <v>0</v>
      </c>
      <c r="AK274" s="185">
        <f t="shared" si="141"/>
        <v>0</v>
      </c>
      <c r="AL274" s="185">
        <f t="shared" si="141"/>
        <v>0</v>
      </c>
      <c r="AM274" s="185">
        <f>AM272+AL274</f>
        <v>0</v>
      </c>
      <c r="AN274" s="185">
        <f>AN272+AM274</f>
        <v>0</v>
      </c>
      <c r="AO274" s="185">
        <f>AO272+AN274</f>
        <v>0</v>
      </c>
      <c r="AP274" s="185">
        <f>AP272+AO274</f>
        <v>0</v>
      </c>
      <c r="AQ274" s="196"/>
    </row>
    <row r="275" spans="1:43" ht="15.75" thickTop="1" x14ac:dyDescent="0.25">
      <c r="C275" s="67"/>
      <c r="D275" s="68"/>
      <c r="E275" s="67"/>
      <c r="F275" s="273"/>
      <c r="G275" s="273"/>
      <c r="H275" s="273"/>
      <c r="I275" s="273"/>
      <c r="J275" s="273"/>
      <c r="K275" s="63"/>
      <c r="L275" s="129"/>
      <c r="M275" s="129"/>
      <c r="N275" s="129"/>
      <c r="O275" s="129"/>
      <c r="P275" s="129"/>
      <c r="Q275" s="129"/>
      <c r="R275" s="58"/>
      <c r="S275" s="193"/>
      <c r="T275" s="193"/>
      <c r="U275" s="193"/>
      <c r="V275" s="193"/>
      <c r="W275" s="193"/>
      <c r="X275" s="193"/>
      <c r="Y275" s="193"/>
      <c r="Z275" s="193"/>
      <c r="AA275" s="193"/>
      <c r="AB275" s="193"/>
      <c r="AC275" s="193"/>
      <c r="AD275" s="193"/>
      <c r="AE275" s="193"/>
      <c r="AF275" s="193"/>
      <c r="AG275" s="193"/>
      <c r="AH275" s="193"/>
      <c r="AI275" s="193"/>
      <c r="AJ275" s="193"/>
      <c r="AK275" s="193"/>
      <c r="AL275" s="193"/>
      <c r="AM275" s="193"/>
      <c r="AN275" s="193"/>
      <c r="AO275" s="193"/>
      <c r="AP275" s="193"/>
      <c r="AQ275" s="183"/>
    </row>
    <row r="276" spans="1:43" x14ac:dyDescent="0.25">
      <c r="C276" s="189"/>
      <c r="D276" s="190"/>
      <c r="E276" s="191"/>
      <c r="F276" s="192"/>
      <c r="G276" s="192"/>
      <c r="H276" s="107"/>
      <c r="I276" s="192"/>
      <c r="J276" s="192"/>
      <c r="K276" s="63"/>
      <c r="L276" s="107"/>
      <c r="M276" s="107"/>
      <c r="N276" s="107"/>
      <c r="O276" s="107"/>
      <c r="P276" s="107"/>
      <c r="Q276" s="107"/>
      <c r="R276" s="58"/>
      <c r="S276" s="192"/>
      <c r="T276" s="192"/>
      <c r="U276" s="192"/>
      <c r="V276" s="192"/>
      <c r="W276" s="192"/>
      <c r="X276" s="192"/>
      <c r="Y276" s="192"/>
      <c r="Z276" s="192"/>
      <c r="AA276" s="192"/>
      <c r="AB276" s="192"/>
      <c r="AC276" s="192"/>
      <c r="AD276" s="192"/>
      <c r="AE276" s="192"/>
      <c r="AF276" s="192"/>
      <c r="AG276" s="192"/>
      <c r="AH276" s="192"/>
      <c r="AI276" s="192"/>
      <c r="AJ276" s="192"/>
      <c r="AK276" s="192"/>
      <c r="AL276" s="192"/>
      <c r="AM276" s="192"/>
      <c r="AN276" s="192"/>
      <c r="AO276" s="192"/>
      <c r="AP276" s="192"/>
      <c r="AQ276" s="183"/>
    </row>
    <row r="277" spans="1:43" x14ac:dyDescent="0.25">
      <c r="C277" s="176" t="s">
        <v>34</v>
      </c>
      <c r="K277" s="63"/>
      <c r="L277" s="121"/>
      <c r="M277" s="121"/>
      <c r="N277" s="121"/>
      <c r="O277" s="121"/>
      <c r="P277" s="121"/>
      <c r="Q277" s="121"/>
      <c r="R277" s="58"/>
      <c r="AQ277" s="183"/>
    </row>
    <row r="278" spans="1:43" x14ac:dyDescent="0.25">
      <c r="C278" s="173" t="s">
        <v>35</v>
      </c>
      <c r="K278" s="63"/>
      <c r="R278" s="58"/>
      <c r="AQ278" s="183"/>
    </row>
    <row r="279" spans="1:43" ht="15.75" thickBot="1" x14ac:dyDescent="0.3">
      <c r="K279" s="63"/>
      <c r="R279" s="58"/>
      <c r="AQ279" s="183"/>
    </row>
    <row r="280" spans="1:43" ht="30.75" thickBot="1" x14ac:dyDescent="0.3">
      <c r="C280" s="51" t="s">
        <v>15</v>
      </c>
      <c r="D280" s="52" t="s">
        <v>16</v>
      </c>
      <c r="E280" s="53" t="s">
        <v>17</v>
      </c>
      <c r="F280" s="54" t="s">
        <v>18</v>
      </c>
      <c r="G280" s="45" t="s">
        <v>19</v>
      </c>
      <c r="H280" s="45" t="s">
        <v>20</v>
      </c>
      <c r="I280" s="45" t="s">
        <v>21</v>
      </c>
      <c r="J280" s="46" t="s">
        <v>22</v>
      </c>
      <c r="K280" s="63"/>
      <c r="L280" s="44" t="str">
        <f t="shared" ref="L280:Q280" si="142">L$11</f>
        <v>2014 CWIP</v>
      </c>
      <c r="M280" s="45" t="str">
        <f t="shared" si="142"/>
        <v>2015 Total Expenditures</v>
      </c>
      <c r="N280" s="45" t="str">
        <f t="shared" si="142"/>
        <v>2016 Total Expenditures</v>
      </c>
      <c r="O280" s="45" t="str">
        <f t="shared" si="142"/>
        <v>2014 ISO CWIP Less Collectible</v>
      </c>
      <c r="P280" s="45" t="str">
        <f t="shared" si="142"/>
        <v>2015 ISO Expenditures Less Collectible</v>
      </c>
      <c r="Q280" s="46" t="str">
        <f t="shared" si="142"/>
        <v>2016 ISO Expenditures Less Collectible</v>
      </c>
      <c r="R280" s="58"/>
      <c r="S280" s="204">
        <f>$D$3</f>
        <v>42005</v>
      </c>
      <c r="T280" s="84">
        <f t="shared" ref="T280:AL280" si="143">DATE(YEAR(S280),MONTH(S280)+1,DAY(S280))</f>
        <v>42036</v>
      </c>
      <c r="U280" s="84">
        <f t="shared" si="143"/>
        <v>42064</v>
      </c>
      <c r="V280" s="84">
        <f t="shared" si="143"/>
        <v>42095</v>
      </c>
      <c r="W280" s="84">
        <f t="shared" si="143"/>
        <v>42125</v>
      </c>
      <c r="X280" s="84">
        <f t="shared" si="143"/>
        <v>42156</v>
      </c>
      <c r="Y280" s="84">
        <f t="shared" si="143"/>
        <v>42186</v>
      </c>
      <c r="Z280" s="84">
        <f t="shared" si="143"/>
        <v>42217</v>
      </c>
      <c r="AA280" s="84">
        <f t="shared" si="143"/>
        <v>42248</v>
      </c>
      <c r="AB280" s="84">
        <f t="shared" si="143"/>
        <v>42278</v>
      </c>
      <c r="AC280" s="84">
        <f t="shared" si="143"/>
        <v>42309</v>
      </c>
      <c r="AD280" s="205">
        <f t="shared" si="143"/>
        <v>42339</v>
      </c>
      <c r="AE280" s="84">
        <f>DATE(YEAR(AD280),MONTH(AD280)+1,DAY(AD280))</f>
        <v>42370</v>
      </c>
      <c r="AF280" s="84">
        <f t="shared" si="143"/>
        <v>42401</v>
      </c>
      <c r="AG280" s="84">
        <f t="shared" si="143"/>
        <v>42430</v>
      </c>
      <c r="AH280" s="84">
        <f t="shared" si="143"/>
        <v>42461</v>
      </c>
      <c r="AI280" s="84">
        <f t="shared" si="143"/>
        <v>42491</v>
      </c>
      <c r="AJ280" s="84">
        <f t="shared" si="143"/>
        <v>42522</v>
      </c>
      <c r="AK280" s="84">
        <f t="shared" si="143"/>
        <v>42552</v>
      </c>
      <c r="AL280" s="84">
        <f t="shared" si="143"/>
        <v>42583</v>
      </c>
      <c r="AM280" s="84">
        <f>DATE(YEAR(AL280),MONTH(AL280)+1,DAY(AL280))</f>
        <v>42614</v>
      </c>
      <c r="AN280" s="84">
        <f>DATE(YEAR(AM280),MONTH(AM280)+1,DAY(AM280))</f>
        <v>42644</v>
      </c>
      <c r="AO280" s="84">
        <f>DATE(YEAR(AN280),MONTH(AN280)+1,DAY(AN280))</f>
        <v>42675</v>
      </c>
      <c r="AP280" s="205">
        <f>DATE(YEAR(AO280),MONTH(AO280)+1,DAY(AO280))</f>
        <v>42705</v>
      </c>
      <c r="AQ280" s="183"/>
    </row>
    <row r="281" spans="1:43" x14ac:dyDescent="0.25">
      <c r="A281" s="169" t="str">
        <f>+$C$260</f>
        <v>South of Kramer</v>
      </c>
      <c r="B281" s="179" t="s">
        <v>36</v>
      </c>
      <c r="C281" s="56" t="str">
        <f t="shared" ref="C281:J284" si="144">C266</f>
        <v>CET-ET-TP-RN-709100</v>
      </c>
      <c r="D281" s="57" t="str">
        <f t="shared" si="144"/>
        <v>New Coolwater-Lugo 220 kV Transmission Line</v>
      </c>
      <c r="E281" s="58" t="str">
        <f t="shared" si="144"/>
        <v>7091</v>
      </c>
      <c r="F281" s="60" t="str">
        <f t="shared" si="144"/>
        <v>High</v>
      </c>
      <c r="G281" s="59" t="str">
        <f t="shared" si="144"/>
        <v>Suspended</v>
      </c>
      <c r="H281" s="60" t="str">
        <f t="shared" si="144"/>
        <v>TR-LINEINC</v>
      </c>
      <c r="I281" s="61">
        <f t="shared" si="144"/>
        <v>0</v>
      </c>
      <c r="J281" s="62">
        <f t="shared" si="144"/>
        <v>1</v>
      </c>
      <c r="K281" s="63"/>
      <c r="L281" s="234">
        <f t="shared" ref="L281:N285" si="145">L266</f>
        <v>32314.561039999997</v>
      </c>
      <c r="M281" s="64">
        <f t="shared" si="145"/>
        <v>3350.9419600000001</v>
      </c>
      <c r="N281" s="64">
        <f t="shared" si="145"/>
        <v>0</v>
      </c>
      <c r="O281" s="64">
        <f t="shared" ref="O281:O286" si="146">$L281*$J281*(1-$I281)</f>
        <v>32314.561039999997</v>
      </c>
      <c r="P281" s="64">
        <f t="shared" ref="P281:P286" si="147">$M281*$J281*(1-$I281)</f>
        <v>3350.9419600000001</v>
      </c>
      <c r="Q281" s="65">
        <f t="shared" ref="Q281:Q286" si="148">$N281*$J281*(1-$I281)</f>
        <v>0</v>
      </c>
      <c r="R281" s="58"/>
      <c r="S281" s="206">
        <v>327.74549000000002</v>
      </c>
      <c r="T281" s="207">
        <v>588.26820999999995</v>
      </c>
      <c r="U281" s="207">
        <v>1056.9282599999999</v>
      </c>
      <c r="V281" s="207">
        <v>750</v>
      </c>
      <c r="W281" s="207">
        <v>383</v>
      </c>
      <c r="X281" s="207">
        <v>215</v>
      </c>
      <c r="Y281" s="207">
        <v>5</v>
      </c>
      <c r="Z281" s="207">
        <v>5</v>
      </c>
      <c r="AA281" s="207">
        <v>5</v>
      </c>
      <c r="AB281" s="207">
        <v>5</v>
      </c>
      <c r="AC281" s="207">
        <v>5</v>
      </c>
      <c r="AD281" s="207">
        <v>5</v>
      </c>
      <c r="AE281" s="207">
        <v>0</v>
      </c>
      <c r="AF281" s="207">
        <v>0</v>
      </c>
      <c r="AG281" s="207">
        <v>0</v>
      </c>
      <c r="AH281" s="207">
        <v>0</v>
      </c>
      <c r="AI281" s="207">
        <v>0</v>
      </c>
      <c r="AJ281" s="207">
        <v>0</v>
      </c>
      <c r="AK281" s="207">
        <v>0</v>
      </c>
      <c r="AL281" s="207">
        <v>0</v>
      </c>
      <c r="AM281" s="207">
        <v>0</v>
      </c>
      <c r="AN281" s="207">
        <v>0</v>
      </c>
      <c r="AO281" s="207">
        <v>0</v>
      </c>
      <c r="AP281" s="197">
        <v>0</v>
      </c>
      <c r="AQ281" s="183"/>
    </row>
    <row r="282" spans="1:43" x14ac:dyDescent="0.25">
      <c r="A282" s="169" t="str">
        <f t="shared" ref="A282:A286" si="149">+$C$260</f>
        <v>South of Kramer</v>
      </c>
      <c r="B282" s="179" t="s">
        <v>36</v>
      </c>
      <c r="C282" s="56" t="str">
        <f t="shared" si="144"/>
        <v>CET-ET-TP-RN-709102</v>
      </c>
      <c r="D282" s="66" t="str">
        <f t="shared" si="144"/>
        <v>Coolwater-Desert View 220kV T/L</v>
      </c>
      <c r="E282" s="58" t="str">
        <f t="shared" si="144"/>
        <v>7091</v>
      </c>
      <c r="F282" s="60" t="str">
        <f t="shared" si="144"/>
        <v>High</v>
      </c>
      <c r="G282" s="59" t="str">
        <f t="shared" si="144"/>
        <v>Suspended</v>
      </c>
      <c r="H282" s="60" t="str">
        <f t="shared" si="144"/>
        <v>TR-LINEINC</v>
      </c>
      <c r="I282" s="61">
        <f t="shared" si="144"/>
        <v>0</v>
      </c>
      <c r="J282" s="62">
        <f t="shared" si="144"/>
        <v>1</v>
      </c>
      <c r="K282" s="63"/>
      <c r="L282" s="234">
        <f t="shared" si="145"/>
        <v>71.286010000000005</v>
      </c>
      <c r="M282" s="64">
        <f t="shared" si="145"/>
        <v>385.90537999999998</v>
      </c>
      <c r="N282" s="64">
        <f t="shared" si="145"/>
        <v>0</v>
      </c>
      <c r="O282" s="64">
        <f t="shared" si="146"/>
        <v>71.286010000000005</v>
      </c>
      <c r="P282" s="64">
        <f t="shared" si="147"/>
        <v>385.90537999999998</v>
      </c>
      <c r="Q282" s="65">
        <f t="shared" si="148"/>
        <v>0</v>
      </c>
      <c r="R282" s="58"/>
      <c r="S282" s="180">
        <v>20.62829</v>
      </c>
      <c r="T282" s="181">
        <v>111.83586</v>
      </c>
      <c r="U282" s="181">
        <v>103.44122999999999</v>
      </c>
      <c r="V282" s="181">
        <v>100</v>
      </c>
      <c r="W282" s="181">
        <v>50</v>
      </c>
      <c r="X282" s="181">
        <v>0</v>
      </c>
      <c r="Y282" s="181">
        <v>0</v>
      </c>
      <c r="Z282" s="181">
        <v>0</v>
      </c>
      <c r="AA282" s="181">
        <v>0</v>
      </c>
      <c r="AB282" s="181">
        <v>0</v>
      </c>
      <c r="AC282" s="181">
        <v>0</v>
      </c>
      <c r="AD282" s="181">
        <v>0</v>
      </c>
      <c r="AE282" s="181">
        <v>0</v>
      </c>
      <c r="AF282" s="181">
        <v>0</v>
      </c>
      <c r="AG282" s="181">
        <v>0</v>
      </c>
      <c r="AH282" s="181">
        <v>0</v>
      </c>
      <c r="AI282" s="181">
        <v>0</v>
      </c>
      <c r="AJ282" s="181">
        <v>0</v>
      </c>
      <c r="AK282" s="181">
        <v>0</v>
      </c>
      <c r="AL282" s="181">
        <v>0</v>
      </c>
      <c r="AM282" s="181">
        <v>0</v>
      </c>
      <c r="AN282" s="181">
        <v>0</v>
      </c>
      <c r="AO282" s="181">
        <v>0</v>
      </c>
      <c r="AP282" s="182">
        <v>0</v>
      </c>
      <c r="AQ282" s="183"/>
    </row>
    <row r="283" spans="1:43" x14ac:dyDescent="0.25">
      <c r="A283" s="169" t="str">
        <f t="shared" si="149"/>
        <v>South of Kramer</v>
      </c>
      <c r="B283" s="179" t="s">
        <v>36</v>
      </c>
      <c r="C283" s="56" t="str">
        <f t="shared" si="144"/>
        <v>CET-ET-TP-RN-709103</v>
      </c>
      <c r="D283" s="66" t="str">
        <f t="shared" si="144"/>
        <v>Desert View-Lugo 220kV T/L</v>
      </c>
      <c r="E283" s="58" t="str">
        <f t="shared" si="144"/>
        <v>7091</v>
      </c>
      <c r="F283" s="60" t="str">
        <f t="shared" si="144"/>
        <v>High</v>
      </c>
      <c r="G283" s="59" t="str">
        <f t="shared" si="144"/>
        <v>Suspended</v>
      </c>
      <c r="H283" s="60" t="str">
        <f t="shared" si="144"/>
        <v>TR-LINEINC</v>
      </c>
      <c r="I283" s="61">
        <f t="shared" si="144"/>
        <v>0</v>
      </c>
      <c r="J283" s="62">
        <f t="shared" si="144"/>
        <v>1</v>
      </c>
      <c r="K283" s="63"/>
      <c r="L283" s="234">
        <f t="shared" si="145"/>
        <v>20.16179</v>
      </c>
      <c r="M283" s="64">
        <f t="shared" si="145"/>
        <v>180.42784</v>
      </c>
      <c r="N283" s="64">
        <f t="shared" si="145"/>
        <v>0</v>
      </c>
      <c r="O283" s="64">
        <f t="shared" si="146"/>
        <v>20.16179</v>
      </c>
      <c r="P283" s="64">
        <f t="shared" si="147"/>
        <v>180.42784</v>
      </c>
      <c r="Q283" s="65">
        <f t="shared" si="148"/>
        <v>0</v>
      </c>
      <c r="R283" s="58"/>
      <c r="S283" s="180">
        <v>11.67976</v>
      </c>
      <c r="T283" s="181">
        <v>60.510160000000006</v>
      </c>
      <c r="U283" s="181">
        <v>33.237919999999995</v>
      </c>
      <c r="V283" s="181">
        <v>50</v>
      </c>
      <c r="W283" s="181">
        <v>25</v>
      </c>
      <c r="X283" s="181">
        <v>0</v>
      </c>
      <c r="Y283" s="181">
        <v>0</v>
      </c>
      <c r="Z283" s="181">
        <v>0</v>
      </c>
      <c r="AA283" s="181">
        <v>0</v>
      </c>
      <c r="AB283" s="181">
        <v>0</v>
      </c>
      <c r="AC283" s="181">
        <v>0</v>
      </c>
      <c r="AD283" s="181">
        <v>0</v>
      </c>
      <c r="AE283" s="181">
        <v>0</v>
      </c>
      <c r="AF283" s="181">
        <v>0</v>
      </c>
      <c r="AG283" s="181">
        <v>0</v>
      </c>
      <c r="AH283" s="181">
        <v>0</v>
      </c>
      <c r="AI283" s="181">
        <v>0</v>
      </c>
      <c r="AJ283" s="181">
        <v>0</v>
      </c>
      <c r="AK283" s="181">
        <v>0</v>
      </c>
      <c r="AL283" s="181">
        <v>0</v>
      </c>
      <c r="AM283" s="181">
        <v>0</v>
      </c>
      <c r="AN283" s="181">
        <v>0</v>
      </c>
      <c r="AO283" s="181">
        <v>0</v>
      </c>
      <c r="AP283" s="182">
        <v>0</v>
      </c>
      <c r="AQ283" s="183"/>
    </row>
    <row r="284" spans="1:43" x14ac:dyDescent="0.25">
      <c r="A284" s="169" t="str">
        <f t="shared" si="149"/>
        <v>South of Kramer</v>
      </c>
      <c r="B284" s="179" t="s">
        <v>36</v>
      </c>
      <c r="C284" s="56" t="str">
        <f t="shared" si="144"/>
        <v>CET-ET-TP-RN-709104</v>
      </c>
      <c r="D284" s="66" t="str">
        <f t="shared" si="144"/>
        <v>Coolwater Substation</v>
      </c>
      <c r="E284" s="58" t="str">
        <f t="shared" si="144"/>
        <v>7091</v>
      </c>
      <c r="F284" s="60" t="str">
        <f t="shared" si="144"/>
        <v>High</v>
      </c>
      <c r="G284" s="59" t="str">
        <f t="shared" si="144"/>
        <v>Suspended</v>
      </c>
      <c r="H284" s="60" t="str">
        <f t="shared" si="144"/>
        <v>TR-SUBINC</v>
      </c>
      <c r="I284" s="61">
        <f t="shared" si="144"/>
        <v>0</v>
      </c>
      <c r="J284" s="62">
        <f t="shared" si="144"/>
        <v>1</v>
      </c>
      <c r="K284" s="63"/>
      <c r="L284" s="234">
        <f t="shared" si="145"/>
        <v>0.72377000000000002</v>
      </c>
      <c r="M284" s="64">
        <f t="shared" si="145"/>
        <v>19.933860000000003</v>
      </c>
      <c r="N284" s="64">
        <f t="shared" si="145"/>
        <v>0</v>
      </c>
      <c r="O284" s="64">
        <f t="shared" si="146"/>
        <v>0.72377000000000002</v>
      </c>
      <c r="P284" s="64">
        <f t="shared" si="147"/>
        <v>19.933860000000003</v>
      </c>
      <c r="Q284" s="65">
        <f t="shared" si="148"/>
        <v>0</v>
      </c>
      <c r="R284" s="58"/>
      <c r="S284" s="180">
        <v>1.9669700000000001</v>
      </c>
      <c r="T284" s="181">
        <v>9.9595300000000009</v>
      </c>
      <c r="U284" s="181">
        <v>3.0073600000000003</v>
      </c>
      <c r="V284" s="181">
        <v>5</v>
      </c>
      <c r="W284" s="181">
        <v>0</v>
      </c>
      <c r="X284" s="181">
        <v>0</v>
      </c>
      <c r="Y284" s="181">
        <v>0</v>
      </c>
      <c r="Z284" s="181">
        <v>0</v>
      </c>
      <c r="AA284" s="181">
        <v>0</v>
      </c>
      <c r="AB284" s="181">
        <v>0</v>
      </c>
      <c r="AC284" s="181">
        <v>0</v>
      </c>
      <c r="AD284" s="181">
        <v>0</v>
      </c>
      <c r="AE284" s="181">
        <v>0</v>
      </c>
      <c r="AF284" s="181">
        <v>0</v>
      </c>
      <c r="AG284" s="181">
        <v>0</v>
      </c>
      <c r="AH284" s="181">
        <v>0</v>
      </c>
      <c r="AI284" s="181">
        <v>0</v>
      </c>
      <c r="AJ284" s="181">
        <v>0</v>
      </c>
      <c r="AK284" s="181">
        <v>0</v>
      </c>
      <c r="AL284" s="181">
        <v>0</v>
      </c>
      <c r="AM284" s="181">
        <v>0</v>
      </c>
      <c r="AN284" s="181">
        <v>0</v>
      </c>
      <c r="AO284" s="181">
        <v>0</v>
      </c>
      <c r="AP284" s="182">
        <v>0</v>
      </c>
      <c r="AQ284" s="183"/>
    </row>
    <row r="285" spans="1:43" x14ac:dyDescent="0.25">
      <c r="A285" s="169" t="str">
        <f t="shared" si="149"/>
        <v>South of Kramer</v>
      </c>
      <c r="B285" s="179" t="s">
        <v>36</v>
      </c>
      <c r="C285" s="56" t="str">
        <f t="shared" ref="C285:E286" si="150">C270</f>
        <v>CET-ET-TP-RN-690200</v>
      </c>
      <c r="D285" s="66" t="str">
        <f t="shared" si="150"/>
        <v>Jasper: LGIA Engineer and construct a new interconnection facility</v>
      </c>
      <c r="E285" s="58">
        <f t="shared" si="150"/>
        <v>6902</v>
      </c>
      <c r="F285" s="60" t="str">
        <f t="shared" ref="F285:J286" si="151">F270</f>
        <v>High</v>
      </c>
      <c r="G285" s="278" t="str">
        <f t="shared" si="151"/>
        <v>On hold</v>
      </c>
      <c r="H285" s="60" t="str">
        <f t="shared" si="151"/>
        <v>TR-SUBINC</v>
      </c>
      <c r="I285" s="61">
        <f t="shared" si="151"/>
        <v>0</v>
      </c>
      <c r="J285" s="62">
        <f t="shared" si="151"/>
        <v>1</v>
      </c>
      <c r="K285" s="63"/>
      <c r="L285" s="284">
        <f t="shared" si="145"/>
        <v>2847.7150099999999</v>
      </c>
      <c r="M285" s="64">
        <f t="shared" si="145"/>
        <v>0</v>
      </c>
      <c r="N285" s="64">
        <f t="shared" si="145"/>
        <v>0</v>
      </c>
      <c r="O285" s="64">
        <f t="shared" si="146"/>
        <v>2847.7150099999999</v>
      </c>
      <c r="P285" s="64">
        <f t="shared" si="147"/>
        <v>0</v>
      </c>
      <c r="Q285" s="65">
        <f t="shared" si="148"/>
        <v>0</v>
      </c>
      <c r="R285" s="272"/>
      <c r="S285" s="181">
        <v>0</v>
      </c>
      <c r="T285" s="181">
        <v>0</v>
      </c>
      <c r="U285" s="181">
        <v>0</v>
      </c>
      <c r="V285" s="181">
        <v>0</v>
      </c>
      <c r="W285" s="181">
        <v>0</v>
      </c>
      <c r="X285" s="181">
        <v>0</v>
      </c>
      <c r="Y285" s="181">
        <v>0</v>
      </c>
      <c r="Z285" s="181">
        <v>0</v>
      </c>
      <c r="AA285" s="181">
        <v>0</v>
      </c>
      <c r="AB285" s="181">
        <v>0</v>
      </c>
      <c r="AC285" s="181">
        <v>0</v>
      </c>
      <c r="AD285" s="181">
        <v>0</v>
      </c>
      <c r="AE285" s="181">
        <v>0</v>
      </c>
      <c r="AF285" s="181">
        <v>0</v>
      </c>
      <c r="AG285" s="181">
        <v>0</v>
      </c>
      <c r="AH285" s="181">
        <v>0</v>
      </c>
      <c r="AI285" s="181">
        <v>0</v>
      </c>
      <c r="AJ285" s="181">
        <v>0</v>
      </c>
      <c r="AK285" s="181">
        <v>0</v>
      </c>
      <c r="AL285" s="181">
        <v>0</v>
      </c>
      <c r="AM285" s="181">
        <v>0</v>
      </c>
      <c r="AN285" s="181">
        <v>0</v>
      </c>
      <c r="AO285" s="181">
        <v>0</v>
      </c>
      <c r="AP285" s="182">
        <v>0</v>
      </c>
      <c r="AQ285" s="183"/>
    </row>
    <row r="286" spans="1:43" ht="15.75" thickBot="1" x14ac:dyDescent="0.3">
      <c r="A286" s="169" t="str">
        <f t="shared" si="149"/>
        <v>South of Kramer</v>
      </c>
      <c r="B286" s="179" t="s">
        <v>36</v>
      </c>
      <c r="C286" s="287" t="str">
        <f t="shared" si="150"/>
        <v>CET-ET-TP-RN-709107</v>
      </c>
      <c r="D286" s="280" t="str">
        <f t="shared" si="150"/>
        <v>Perform all necessary work at Lugo ubstation to support the Coolwater-Lugo 220 kV T/L and SPS</v>
      </c>
      <c r="E286" s="58" t="str">
        <f t="shared" si="150"/>
        <v>7091</v>
      </c>
      <c r="F286" s="60" t="str">
        <f t="shared" si="151"/>
        <v>High</v>
      </c>
      <c r="G286" s="281" t="str">
        <f t="shared" si="151"/>
        <v>Suspended</v>
      </c>
      <c r="H286" s="60" t="str">
        <f t="shared" si="151"/>
        <v>TR-SUBINC</v>
      </c>
      <c r="I286" s="61">
        <f t="shared" si="151"/>
        <v>0</v>
      </c>
      <c r="J286" s="62">
        <f t="shared" si="151"/>
        <v>1</v>
      </c>
      <c r="K286" s="63"/>
      <c r="L286" s="293">
        <f>L271</f>
        <v>0</v>
      </c>
      <c r="M286" s="64">
        <f t="shared" ref="M286:N286" si="152">M271</f>
        <v>10</v>
      </c>
      <c r="N286" s="64">
        <f t="shared" si="152"/>
        <v>0</v>
      </c>
      <c r="O286" s="64">
        <f t="shared" si="146"/>
        <v>0</v>
      </c>
      <c r="P286" s="64">
        <f t="shared" si="147"/>
        <v>10</v>
      </c>
      <c r="Q286" s="65">
        <f t="shared" si="148"/>
        <v>0</v>
      </c>
      <c r="R286" s="272"/>
      <c r="S286" s="257">
        <v>0</v>
      </c>
      <c r="T286" s="258">
        <v>0</v>
      </c>
      <c r="U286" s="258">
        <v>1.1524700000000001</v>
      </c>
      <c r="V286" s="258">
        <v>-0.19644999999999999</v>
      </c>
      <c r="W286" s="258">
        <v>1.1304974999999999</v>
      </c>
      <c r="X286" s="258">
        <v>1.1304974999999999</v>
      </c>
      <c r="Y286" s="258">
        <v>1.1304974999999999</v>
      </c>
      <c r="Z286" s="258">
        <v>1.1304974999999999</v>
      </c>
      <c r="AA286" s="258">
        <v>1.1304974999999999</v>
      </c>
      <c r="AB286" s="258">
        <v>1.1304974999999999</v>
      </c>
      <c r="AC286" s="258">
        <v>1.1304974999999999</v>
      </c>
      <c r="AD286" s="258">
        <v>1.1304974999999999</v>
      </c>
      <c r="AE286" s="258">
        <v>0</v>
      </c>
      <c r="AF286" s="258">
        <v>0</v>
      </c>
      <c r="AG286" s="258">
        <v>0</v>
      </c>
      <c r="AH286" s="258">
        <v>0</v>
      </c>
      <c r="AI286" s="258">
        <v>0</v>
      </c>
      <c r="AJ286" s="258">
        <v>0</v>
      </c>
      <c r="AK286" s="258">
        <v>0</v>
      </c>
      <c r="AL286" s="258">
        <v>0</v>
      </c>
      <c r="AM286" s="258">
        <v>0</v>
      </c>
      <c r="AN286" s="258">
        <v>0</v>
      </c>
      <c r="AO286" s="258">
        <v>0</v>
      </c>
      <c r="AP286" s="259">
        <v>0</v>
      </c>
      <c r="AQ286" s="183"/>
    </row>
    <row r="287" spans="1:43" ht="15.75" thickBot="1" x14ac:dyDescent="0.3">
      <c r="C287" s="226" t="s">
        <v>37</v>
      </c>
      <c r="D287" s="227"/>
      <c r="E287" s="227"/>
      <c r="F287" s="227"/>
      <c r="G287" s="227"/>
      <c r="H287" s="227"/>
      <c r="I287" s="227"/>
      <c r="J287" s="228"/>
      <c r="K287" s="63"/>
      <c r="L287" s="125">
        <f>SUM(L281:L286)</f>
        <v>35254.447619999992</v>
      </c>
      <c r="M287" s="126">
        <f t="shared" ref="M287:Q287" si="153">SUM(M281:M286)</f>
        <v>3947.2090400000002</v>
      </c>
      <c r="N287" s="126">
        <f t="shared" si="153"/>
        <v>0</v>
      </c>
      <c r="O287" s="126">
        <f t="shared" si="153"/>
        <v>35254.447619999992</v>
      </c>
      <c r="P287" s="126">
        <f t="shared" si="153"/>
        <v>3947.2090400000002</v>
      </c>
      <c r="Q287" s="127">
        <f t="shared" si="153"/>
        <v>0</v>
      </c>
      <c r="R287" s="58"/>
      <c r="S287" s="208">
        <f>SUM(S281:S286)</f>
        <v>362.02051</v>
      </c>
      <c r="T287" s="209">
        <f t="shared" ref="T287:AP287" si="154">SUM(T281:T286)</f>
        <v>770.57375999999999</v>
      </c>
      <c r="U287" s="209">
        <f t="shared" si="154"/>
        <v>1197.7672399999999</v>
      </c>
      <c r="V287" s="209">
        <f t="shared" si="154"/>
        <v>904.80354999999997</v>
      </c>
      <c r="W287" s="209">
        <f t="shared" si="154"/>
        <v>459.13049749999999</v>
      </c>
      <c r="X287" s="209">
        <f t="shared" si="154"/>
        <v>216.13049749999999</v>
      </c>
      <c r="Y287" s="209">
        <f t="shared" si="154"/>
        <v>6.1304974999999997</v>
      </c>
      <c r="Z287" s="209">
        <f t="shared" si="154"/>
        <v>6.1304974999999997</v>
      </c>
      <c r="AA287" s="209">
        <f t="shared" si="154"/>
        <v>6.1304974999999997</v>
      </c>
      <c r="AB287" s="209">
        <f t="shared" si="154"/>
        <v>6.1304974999999997</v>
      </c>
      <c r="AC287" s="209">
        <f t="shared" si="154"/>
        <v>6.1304974999999997</v>
      </c>
      <c r="AD287" s="210">
        <f t="shared" si="154"/>
        <v>6.1304974999999997</v>
      </c>
      <c r="AE287" s="209">
        <f t="shared" si="154"/>
        <v>0</v>
      </c>
      <c r="AF287" s="209">
        <f t="shared" si="154"/>
        <v>0</v>
      </c>
      <c r="AG287" s="209">
        <f t="shared" si="154"/>
        <v>0</v>
      </c>
      <c r="AH287" s="209">
        <f t="shared" si="154"/>
        <v>0</v>
      </c>
      <c r="AI287" s="209">
        <f t="shared" si="154"/>
        <v>0</v>
      </c>
      <c r="AJ287" s="209">
        <f t="shared" si="154"/>
        <v>0</v>
      </c>
      <c r="AK287" s="209">
        <f t="shared" si="154"/>
        <v>0</v>
      </c>
      <c r="AL287" s="209">
        <f t="shared" si="154"/>
        <v>0</v>
      </c>
      <c r="AM287" s="209">
        <f t="shared" si="154"/>
        <v>0</v>
      </c>
      <c r="AN287" s="209">
        <f t="shared" si="154"/>
        <v>0</v>
      </c>
      <c r="AO287" s="209">
        <f t="shared" si="154"/>
        <v>0</v>
      </c>
      <c r="AP287" s="209">
        <f t="shared" si="154"/>
        <v>0</v>
      </c>
      <c r="AQ287" s="196"/>
    </row>
    <row r="288" spans="1:43" ht="15.75" thickTop="1" x14ac:dyDescent="0.25">
      <c r="K288" s="63"/>
      <c r="R288" s="58"/>
      <c r="S288" s="212"/>
      <c r="T288" s="212"/>
      <c r="U288" s="212"/>
      <c r="V288" s="212"/>
      <c r="W288" s="212"/>
      <c r="X288" s="212"/>
      <c r="Y288" s="212"/>
      <c r="Z288" s="212"/>
      <c r="AA288" s="212"/>
      <c r="AB288" s="212"/>
      <c r="AC288" s="212"/>
      <c r="AD288" s="212"/>
      <c r="AE288" s="212"/>
      <c r="AF288" s="212"/>
      <c r="AG288" s="212"/>
      <c r="AH288" s="212"/>
      <c r="AI288" s="212"/>
      <c r="AJ288" s="212"/>
      <c r="AK288" s="212"/>
      <c r="AL288" s="212"/>
      <c r="AM288" s="212"/>
      <c r="AN288" s="212"/>
      <c r="AO288" s="212"/>
      <c r="AP288" s="212"/>
      <c r="AQ288" s="183"/>
    </row>
    <row r="289" spans="1:43" x14ac:dyDescent="0.25">
      <c r="K289" s="63"/>
      <c r="R289" s="58"/>
      <c r="AQ289" s="183"/>
    </row>
    <row r="290" spans="1:43" x14ac:dyDescent="0.25">
      <c r="K290" s="63"/>
      <c r="R290" s="58"/>
      <c r="S290" s="212"/>
      <c r="T290" s="212"/>
      <c r="U290" s="212"/>
      <c r="V290" s="212"/>
      <c r="W290" s="212"/>
      <c r="X290" s="212"/>
      <c r="Y290" s="212"/>
      <c r="Z290" s="212"/>
      <c r="AA290" s="212"/>
      <c r="AB290" s="212"/>
      <c r="AC290" s="212"/>
      <c r="AD290" s="212"/>
      <c r="AE290" s="212"/>
      <c r="AF290" s="212"/>
      <c r="AG290" s="212"/>
      <c r="AH290" s="212"/>
      <c r="AI290" s="212"/>
      <c r="AJ290" s="212"/>
      <c r="AK290" s="212"/>
      <c r="AL290" s="212"/>
      <c r="AM290" s="212"/>
      <c r="AN290" s="212"/>
      <c r="AO290" s="212"/>
      <c r="AP290" s="212"/>
      <c r="AQ290" s="183"/>
    </row>
    <row r="291" spans="1:43" ht="18.75" x14ac:dyDescent="0.25">
      <c r="C291" s="275" t="s">
        <v>43</v>
      </c>
      <c r="D291" s="276"/>
      <c r="E291" s="276"/>
      <c r="F291" s="277"/>
      <c r="G291" s="277"/>
      <c r="H291" s="277"/>
      <c r="I291" s="277"/>
      <c r="J291" s="277"/>
      <c r="K291" s="63"/>
      <c r="R291" s="58"/>
      <c r="AQ291" s="183"/>
    </row>
    <row r="292" spans="1:43" x14ac:dyDescent="0.25">
      <c r="K292" s="63"/>
      <c r="R292" s="58"/>
      <c r="AQ292" s="183"/>
    </row>
    <row r="293" spans="1:43" x14ac:dyDescent="0.25">
      <c r="C293" s="176" t="s">
        <v>31</v>
      </c>
      <c r="K293" s="63"/>
      <c r="R293" s="58"/>
      <c r="AQ293" s="183"/>
    </row>
    <row r="294" spans="1:43" s="117" customFormat="1" ht="15" customHeight="1" x14ac:dyDescent="0.25">
      <c r="A294" s="169"/>
      <c r="B294" s="170"/>
      <c r="C294" s="225" t="s">
        <v>44</v>
      </c>
      <c r="D294" s="225"/>
      <c r="E294" s="225"/>
      <c r="F294" s="225"/>
      <c r="G294" s="225"/>
      <c r="H294" s="225"/>
      <c r="I294" s="225"/>
      <c r="J294" s="225"/>
      <c r="K294" s="63"/>
      <c r="R294" s="58"/>
      <c r="S294" s="213"/>
      <c r="T294" s="213"/>
      <c r="U294" s="213"/>
      <c r="V294" s="213"/>
      <c r="W294" s="213"/>
      <c r="X294" s="213"/>
      <c r="Y294" s="213"/>
      <c r="Z294" s="213"/>
      <c r="AA294" s="213"/>
      <c r="AB294" s="213"/>
      <c r="AC294" s="213"/>
      <c r="AD294" s="213"/>
      <c r="AE294" s="213"/>
      <c r="AF294" s="213"/>
      <c r="AG294" s="213"/>
      <c r="AH294" s="213"/>
      <c r="AI294" s="213"/>
      <c r="AJ294" s="213"/>
      <c r="AK294" s="213"/>
      <c r="AL294" s="213"/>
      <c r="AM294" s="213"/>
      <c r="AN294" s="213"/>
      <c r="AO294" s="213"/>
      <c r="AP294" s="213"/>
      <c r="AQ294" s="183"/>
    </row>
    <row r="295" spans="1:43" ht="15.75" thickBot="1" x14ac:dyDescent="0.3">
      <c r="K295" s="63"/>
      <c r="R295" s="58"/>
      <c r="AQ295" s="183"/>
    </row>
    <row r="296" spans="1:43" ht="30.75" thickBot="1" x14ac:dyDescent="0.3">
      <c r="C296" s="51" t="s">
        <v>15</v>
      </c>
      <c r="D296" s="52" t="s">
        <v>16</v>
      </c>
      <c r="E296" s="53" t="s">
        <v>17</v>
      </c>
      <c r="F296" s="54" t="s">
        <v>18</v>
      </c>
      <c r="G296" s="45" t="s">
        <v>19</v>
      </c>
      <c r="H296" s="45" t="s">
        <v>20</v>
      </c>
      <c r="I296" s="45" t="s">
        <v>21</v>
      </c>
      <c r="J296" s="46" t="s">
        <v>22</v>
      </c>
      <c r="K296" s="63"/>
      <c r="L296" s="44" t="str">
        <f t="shared" ref="L296:Q296" si="155">L$11</f>
        <v>2014 CWIP</v>
      </c>
      <c r="M296" s="45" t="str">
        <f t="shared" si="155"/>
        <v>2015 Total Expenditures</v>
      </c>
      <c r="N296" s="45" t="str">
        <f t="shared" si="155"/>
        <v>2016 Total Expenditures</v>
      </c>
      <c r="O296" s="45" t="str">
        <f t="shared" si="155"/>
        <v>2014 ISO CWIP Less Collectible</v>
      </c>
      <c r="P296" s="45" t="str">
        <f t="shared" si="155"/>
        <v>2015 ISO Expenditures Less Collectible</v>
      </c>
      <c r="Q296" s="46" t="str">
        <f t="shared" si="155"/>
        <v>2016 ISO Expenditures Less Collectible</v>
      </c>
      <c r="R296" s="58"/>
      <c r="S296" s="69">
        <f>$D$3</f>
        <v>42005</v>
      </c>
      <c r="T296" s="54">
        <f t="shared" ref="T296:AL296" si="156">DATE(YEAR(S296),MONTH(S296)+1,DAY(S296))</f>
        <v>42036</v>
      </c>
      <c r="U296" s="54">
        <f t="shared" si="156"/>
        <v>42064</v>
      </c>
      <c r="V296" s="54">
        <f t="shared" si="156"/>
        <v>42095</v>
      </c>
      <c r="W296" s="54">
        <f t="shared" si="156"/>
        <v>42125</v>
      </c>
      <c r="X296" s="54">
        <f t="shared" si="156"/>
        <v>42156</v>
      </c>
      <c r="Y296" s="54">
        <f t="shared" si="156"/>
        <v>42186</v>
      </c>
      <c r="Z296" s="54">
        <f t="shared" si="156"/>
        <v>42217</v>
      </c>
      <c r="AA296" s="54">
        <f t="shared" si="156"/>
        <v>42248</v>
      </c>
      <c r="AB296" s="54">
        <f t="shared" si="156"/>
        <v>42278</v>
      </c>
      <c r="AC296" s="54">
        <f t="shared" si="156"/>
        <v>42309</v>
      </c>
      <c r="AD296" s="177">
        <f t="shared" si="156"/>
        <v>42339</v>
      </c>
      <c r="AE296" s="54">
        <f>DATE(YEAR(AD296),MONTH(AD296)+1,DAY(AD296))</f>
        <v>42370</v>
      </c>
      <c r="AF296" s="54">
        <f t="shared" si="156"/>
        <v>42401</v>
      </c>
      <c r="AG296" s="54">
        <f t="shared" si="156"/>
        <v>42430</v>
      </c>
      <c r="AH296" s="54">
        <f t="shared" si="156"/>
        <v>42461</v>
      </c>
      <c r="AI296" s="54">
        <f t="shared" si="156"/>
        <v>42491</v>
      </c>
      <c r="AJ296" s="54">
        <f t="shared" si="156"/>
        <v>42522</v>
      </c>
      <c r="AK296" s="54">
        <f t="shared" si="156"/>
        <v>42552</v>
      </c>
      <c r="AL296" s="54">
        <f t="shared" si="156"/>
        <v>42583</v>
      </c>
      <c r="AM296" s="54">
        <f>DATE(YEAR(AL296),MONTH(AL296)+1,DAY(AL296))</f>
        <v>42614</v>
      </c>
      <c r="AN296" s="54">
        <f>DATE(YEAR(AM296),MONTH(AM296)+1,DAY(AM296))</f>
        <v>42644</v>
      </c>
      <c r="AO296" s="54">
        <f>DATE(YEAR(AN296),MONTH(AN296)+1,DAY(AN296))</f>
        <v>42675</v>
      </c>
      <c r="AP296" s="177">
        <f>DATE(YEAR(AO296),MONTH(AO296)+1,DAY(AO296))</f>
        <v>42705</v>
      </c>
      <c r="AQ296" s="183"/>
    </row>
    <row r="297" spans="1:43" x14ac:dyDescent="0.25">
      <c r="A297" s="169" t="str">
        <f>+$C$291</f>
        <v>West of Devers</v>
      </c>
      <c r="B297" s="179" t="s">
        <v>33</v>
      </c>
      <c r="C297" s="56" t="s">
        <v>244</v>
      </c>
      <c r="D297" s="57" t="s">
        <v>245</v>
      </c>
      <c r="E297" s="58" t="s">
        <v>309</v>
      </c>
      <c r="F297" s="155" t="s">
        <v>70</v>
      </c>
      <c r="G297" s="59">
        <v>43830</v>
      </c>
      <c r="H297" s="60" t="s">
        <v>264</v>
      </c>
      <c r="I297" s="61">
        <v>0</v>
      </c>
      <c r="J297" s="62">
        <v>1</v>
      </c>
      <c r="K297" s="63"/>
      <c r="L297" s="233">
        <v>36020.820789999998</v>
      </c>
      <c r="M297" s="64">
        <f>SUM($S314:$AD314)</f>
        <v>9178.5354591804135</v>
      </c>
      <c r="N297" s="64">
        <f>SUM($AE314:$AP314)</f>
        <v>29191.506000000019</v>
      </c>
      <c r="O297" s="64">
        <f>$L297*$J297*(1-$I297)</f>
        <v>36020.820789999998</v>
      </c>
      <c r="P297" s="64">
        <f>$M297*$J297*(1-$I297)</f>
        <v>9178.5354591804135</v>
      </c>
      <c r="Q297" s="65">
        <f>$N297*$J297*(1-$I297)</f>
        <v>29191.506000000019</v>
      </c>
      <c r="R297" s="59"/>
      <c r="S297" s="180">
        <f>IF(OR(RIGHT($H297,3)="RGT",RIGHT($H297,3)="INC"),IF($G297=S$244,SUM($S314:S314)+$O297,IF(S$244&gt;$G297,S314,0)),0)</f>
        <v>0</v>
      </c>
      <c r="T297" s="181">
        <f>IF(OR(RIGHT($H297,3)="RGT",RIGHT($H297,3)="INC"),IF($G297=T$244,SUM($S314:T314)+$O297,IF(T$244&gt;$G297,T314,0)),0)</f>
        <v>0</v>
      </c>
      <c r="U297" s="181">
        <f>IF(OR(RIGHT($H297,3)="RGT",RIGHT($H297,3)="INC"),IF($G297=U$244,SUM($S314:U314)+$O297,IF(U$244&gt;$G297,U314,0)),0)</f>
        <v>0</v>
      </c>
      <c r="V297" s="181">
        <f>IF(OR(RIGHT($H297,3)="RGT",RIGHT($H297,3)="INC"),IF($G297=V$244,SUM($S314:V314)+$O297,IF(V$244&gt;$G297,V314,0)),0)</f>
        <v>0</v>
      </c>
      <c r="W297" s="181">
        <f>IF(OR(RIGHT($H297,3)="RGT",RIGHT($H297,3)="INC"),IF($G297=W$244,SUM($S314:W314)+$O297,IF(W$244&gt;$G297,W314,0)),0)</f>
        <v>0</v>
      </c>
      <c r="X297" s="181">
        <f>IF(OR(RIGHT($H297,3)="RGT",RIGHT($H297,3)="INC"),IF($G297=X$244,SUM($S314:X314)+$O297,IF(X$244&gt;$G297,X314,0)),0)</f>
        <v>0</v>
      </c>
      <c r="Y297" s="181">
        <f>IF(OR(RIGHT($H297,3)="RGT",RIGHT($H297,3)="INC"),IF($G297=Y$244,SUM($S314:Y314)+$O297,IF(Y$244&gt;$G297,Y314,0)),0)</f>
        <v>0</v>
      </c>
      <c r="Z297" s="181">
        <f>IF(OR(RIGHT($H297,3)="RGT",RIGHT($H297,3)="INC"),IF($G297=Z$244,SUM($S314:Z314)+$O297,IF(Z$244&gt;$G297,Z314,0)),0)</f>
        <v>0</v>
      </c>
      <c r="AA297" s="181">
        <f>IF(OR(RIGHT($H297,3)="RGT",RIGHT($H297,3)="INC"),IF($G297=AA$244,SUM($S314:AA314)+$O297,IF(AA$244&gt;$G297,AA314,0)),0)</f>
        <v>0</v>
      </c>
      <c r="AB297" s="181">
        <f>IF(OR(RIGHT($H297,3)="RGT",RIGHT($H297,3)="INC"),IF($G297=AB$244,SUM($S314:AB314)+$O297,IF(AB$244&gt;$G297,AB314,0)),0)</f>
        <v>0</v>
      </c>
      <c r="AC297" s="181">
        <f>IF(OR(RIGHT($H297,3)="RGT",RIGHT($H297,3)="INC"),IF($G297=AC$244,SUM($S314:AC314)+$O297,IF(AC$244&gt;$G297,AC314,0)),0)</f>
        <v>0</v>
      </c>
      <c r="AD297" s="182">
        <f>IF(OR(RIGHT($H297,3)="RGT",RIGHT($H297,3)="INC"),IF($G297=AD$244,SUM($S314:AD314)+$O297,IF(AD$244&gt;$G297,AD314,0)),0)</f>
        <v>0</v>
      </c>
      <c r="AE297" s="181">
        <f>IF(OR(RIGHT($H297,3)="RGT",RIGHT($H297,3)="INC"),IF($G297=AE$244,SUM($S314:AE314)+$O297,IF(AE$244&gt;$G297,AE314,0)),0)</f>
        <v>0</v>
      </c>
      <c r="AF297" s="181">
        <f>IF(OR(RIGHT($H297,3)="RGT",RIGHT($H297,3)="INC"),IF($G297=AF$244,SUM($S314:AF314)+$O297,IF(AF$244&gt;$G297,AF314,0)),0)</f>
        <v>0</v>
      </c>
      <c r="AG297" s="181">
        <f>IF(OR(RIGHT($H297,3)="RGT",RIGHT($H297,3)="INC"),IF($G297=AG$244,SUM($S314:AG314)+$O297,IF(AG$244&gt;$G297,AG314,0)),0)</f>
        <v>0</v>
      </c>
      <c r="AH297" s="181">
        <f>IF(OR(RIGHT($H297,3)="RGT",RIGHT($H297,3)="INC"),IF($G297=AH$244,SUM($S314:AH314)+$O297,IF(AH$244&gt;$G297,AH314,0)),0)</f>
        <v>0</v>
      </c>
      <c r="AI297" s="181">
        <f>IF(OR(RIGHT($H297,3)="RGT",RIGHT($H297,3)="INC"),IF($G297=AI$244,SUM($S314:AI314)+$O297,IF(AI$244&gt;$G297,AI314,0)),0)</f>
        <v>0</v>
      </c>
      <c r="AJ297" s="181">
        <f>IF(OR(RIGHT($H297,3)="RGT",RIGHT($H297,3)="INC"),IF($G297=AJ$244,SUM($S314:AJ314)+$O297,IF(AJ$244&gt;$G297,AJ314,0)),0)</f>
        <v>0</v>
      </c>
      <c r="AK297" s="181">
        <f>IF(OR(RIGHT($H297,3)="RGT",RIGHT($H297,3)="INC"),IF($G297=AK$244,SUM($S314:AK314)+$O297,IF(AK$244&gt;$G297,AK314,0)),0)</f>
        <v>0</v>
      </c>
      <c r="AL297" s="181">
        <f>IF(OR(RIGHT($H297,3)="RGT",RIGHT($H297,3)="INC"),IF($G297=AL$244,SUM($S314:AL314)+$O297,IF(AL$244&gt;$G297,AL314,0)),0)</f>
        <v>0</v>
      </c>
      <c r="AM297" s="181">
        <f>IF(OR(RIGHT($H297,3)="RGT",RIGHT($H297,3)="INC"),IF($G297=AM$244,SUM($S314:AM314)+$O297,IF(AM$244&gt;$G297,AM314,0)),0)</f>
        <v>0</v>
      </c>
      <c r="AN297" s="181">
        <f>IF(OR(RIGHT($H297,3)="RGT",RIGHT($H297,3)="INC"),IF($G297=AN$244,SUM($S314:AN314)+$O297,IF(AN$244&gt;$G297,AN314,0)),0)</f>
        <v>0</v>
      </c>
      <c r="AO297" s="181">
        <f>IF(OR(RIGHT($H297,3)="RGT",RIGHT($H297,3)="INC"),IF($G297=AO$244,SUM($S314:AO314)+$O297,IF(AO$244&gt;$G297,AO314,0)),0)</f>
        <v>0</v>
      </c>
      <c r="AP297" s="182">
        <f>IF(OR(RIGHT($H297,3)="RGT",RIGHT($H297,3)="INC"),IF($G297=AP$244,SUM($S314:AP314)+$O297,IF(AP$244&gt;$G297,AP314,0)),0)</f>
        <v>0</v>
      </c>
      <c r="AQ297" s="183"/>
    </row>
    <row r="298" spans="1:43" x14ac:dyDescent="0.25">
      <c r="A298" s="169" t="str">
        <f>+$C$291</f>
        <v>West of Devers</v>
      </c>
      <c r="B298" s="179" t="s">
        <v>33</v>
      </c>
      <c r="C298" s="56" t="s">
        <v>310</v>
      </c>
      <c r="D298" s="66" t="s">
        <v>311</v>
      </c>
      <c r="E298" s="58" t="s">
        <v>309</v>
      </c>
      <c r="F298" s="155" t="s">
        <v>70</v>
      </c>
      <c r="G298" s="59">
        <v>43830</v>
      </c>
      <c r="H298" s="60" t="s">
        <v>288</v>
      </c>
      <c r="I298" s="61">
        <v>0</v>
      </c>
      <c r="J298" s="62">
        <v>1</v>
      </c>
      <c r="K298" s="63"/>
      <c r="L298" s="234">
        <v>0</v>
      </c>
      <c r="M298" s="64">
        <f>SUM($S315:$AD315)</f>
        <v>0.40762999999999999</v>
      </c>
      <c r="N298" s="64">
        <f>SUM($AE315:$AP315)</f>
        <v>405.79999999999995</v>
      </c>
      <c r="O298" s="64">
        <f>$L298*$J298*(1-$I298)</f>
        <v>0</v>
      </c>
      <c r="P298" s="64">
        <f>$M298*$J298*(1-$I298)</f>
        <v>0.40762999999999999</v>
      </c>
      <c r="Q298" s="65">
        <f>$N298*$J298*(1-$I298)</f>
        <v>405.79999999999995</v>
      </c>
      <c r="R298" s="59"/>
      <c r="S298" s="180">
        <f>IF(OR(RIGHT($H298,3)="RGT",RIGHT($H298,3)="INC"),IF($G298=S$244,SUM($S315:S315)+$O298,IF(S$244&gt;$G298,S315,0)),0)</f>
        <v>0</v>
      </c>
      <c r="T298" s="181">
        <f>IF(OR(RIGHT($H298,3)="RGT",RIGHT($H298,3)="INC"),IF($G298=T$244,SUM($S315:T315)+$O298,IF(T$244&gt;$G298,T315,0)),0)</f>
        <v>0</v>
      </c>
      <c r="U298" s="181">
        <f>IF(OR(RIGHT($H298,3)="RGT",RIGHT($H298,3)="INC"),IF($G298=U$244,SUM($S315:U315)+$O298,IF(U$244&gt;$G298,U315,0)),0)</f>
        <v>0</v>
      </c>
      <c r="V298" s="181">
        <f>IF(OR(RIGHT($H298,3)="RGT",RIGHT($H298,3)="INC"),IF($G298=V$244,SUM($S315:V315)+$O298,IF(V$244&gt;$G298,V315,0)),0)</f>
        <v>0</v>
      </c>
      <c r="W298" s="181">
        <f>IF(OR(RIGHT($H298,3)="RGT",RIGHT($H298,3)="INC"),IF($G298=W$244,SUM($S315:W315)+$O298,IF(W$244&gt;$G298,W315,0)),0)</f>
        <v>0</v>
      </c>
      <c r="X298" s="181">
        <f>IF(OR(RIGHT($H298,3)="RGT",RIGHT($H298,3)="INC"),IF($G298=X$244,SUM($S315:X315)+$O298,IF(X$244&gt;$G298,X315,0)),0)</f>
        <v>0</v>
      </c>
      <c r="Y298" s="181">
        <f>IF(OR(RIGHT($H298,3)="RGT",RIGHT($H298,3)="INC"),IF($G298=Y$244,SUM($S315:Y315)+$O298,IF(Y$244&gt;$G298,Y315,0)),0)</f>
        <v>0</v>
      </c>
      <c r="Z298" s="181">
        <f>IF(OR(RIGHT($H298,3)="RGT",RIGHT($H298,3)="INC"),IF($G298=Z$244,SUM($S315:Z315)+$O298,IF(Z$244&gt;$G298,Z315,0)),0)</f>
        <v>0</v>
      </c>
      <c r="AA298" s="181">
        <f>IF(OR(RIGHT($H298,3)="RGT",RIGHT($H298,3)="INC"),IF($G298=AA$244,SUM($S315:AA315)+$O298,IF(AA$244&gt;$G298,AA315,0)),0)</f>
        <v>0</v>
      </c>
      <c r="AB298" s="181">
        <f>IF(OR(RIGHT($H298,3)="RGT",RIGHT($H298,3)="INC"),IF($G298=AB$244,SUM($S315:AB315)+$O298,IF(AB$244&gt;$G298,AB315,0)),0)</f>
        <v>0</v>
      </c>
      <c r="AC298" s="181">
        <f>IF(OR(RIGHT($H298,3)="RGT",RIGHT($H298,3)="INC"),IF($G298=AC$244,SUM($S315:AC315)+$O298,IF(AC$244&gt;$G298,AC315,0)),0)</f>
        <v>0</v>
      </c>
      <c r="AD298" s="182">
        <f>IF(OR(RIGHT($H298,3)="RGT",RIGHT($H298,3)="INC"),IF($G298=AD$244,SUM($S315:AD315)+$O298,IF(AD$244&gt;$G298,AD315,0)),0)</f>
        <v>0</v>
      </c>
      <c r="AE298" s="181">
        <f>IF(OR(RIGHT($H298,3)="RGT",RIGHT($H298,3)="INC"),IF($G298=AE$244,SUM($S315:AE315)+$O298,IF(AE$244&gt;$G298,AE315,0)),0)</f>
        <v>0</v>
      </c>
      <c r="AF298" s="181">
        <f>IF(OR(RIGHT($H298,3)="RGT",RIGHT($H298,3)="INC"),IF($G298=AF$244,SUM($S315:AF315)+$O298,IF(AF$244&gt;$G298,AF315,0)),0)</f>
        <v>0</v>
      </c>
      <c r="AG298" s="181">
        <f>IF(OR(RIGHT($H298,3)="RGT",RIGHT($H298,3)="INC"),IF($G298=AG$244,SUM($S315:AG315)+$O298,IF(AG$244&gt;$G298,AG315,0)),0)</f>
        <v>0</v>
      </c>
      <c r="AH298" s="181">
        <f>IF(OR(RIGHT($H298,3)="RGT",RIGHT($H298,3)="INC"),IF($G298=AH$244,SUM($S315:AH315)+$O298,IF(AH$244&gt;$G298,AH315,0)),0)</f>
        <v>0</v>
      </c>
      <c r="AI298" s="181">
        <f>IF(OR(RIGHT($H298,3)="RGT",RIGHT($H298,3)="INC"),IF($G298=AI$244,SUM($S315:AI315)+$O298,IF(AI$244&gt;$G298,AI315,0)),0)</f>
        <v>0</v>
      </c>
      <c r="AJ298" s="181">
        <f>IF(OR(RIGHT($H298,3)="RGT",RIGHT($H298,3)="INC"),IF($G298=AJ$244,SUM($S315:AJ315)+$O298,IF(AJ$244&gt;$G298,AJ315,0)),0)</f>
        <v>0</v>
      </c>
      <c r="AK298" s="181">
        <f>IF(OR(RIGHT($H298,3)="RGT",RIGHT($H298,3)="INC"),IF($G298=AK$244,SUM($S315:AK315)+$O298,IF(AK$244&gt;$G298,AK315,0)),0)</f>
        <v>0</v>
      </c>
      <c r="AL298" s="181">
        <f>IF(OR(RIGHT($H298,3)="RGT",RIGHT($H298,3)="INC"),IF($G298=AL$244,SUM($S315:AL315)+$O298,IF(AL$244&gt;$G298,AL315,0)),0)</f>
        <v>0</v>
      </c>
      <c r="AM298" s="181">
        <f>IF(OR(RIGHT($H298,3)="RGT",RIGHT($H298,3)="INC"),IF($G298=AM$244,SUM($S315:AM315)+$O298,IF(AM$244&gt;$G298,AM315,0)),0)</f>
        <v>0</v>
      </c>
      <c r="AN298" s="181">
        <f>IF(OR(RIGHT($H298,3)="RGT",RIGHT($H298,3)="INC"),IF($G298=AN$244,SUM($S315:AN315)+$O298,IF(AN$244&gt;$G298,AN315,0)),0)</f>
        <v>0</v>
      </c>
      <c r="AO298" s="181">
        <f>IF(OR(RIGHT($H298,3)="RGT",RIGHT($H298,3)="INC"),IF($G298=AO$244,SUM($S315:AO315)+$O298,IF(AO$244&gt;$G298,AO315,0)),0)</f>
        <v>0</v>
      </c>
      <c r="AP298" s="182">
        <f>IF(OR(RIGHT($H298,3)="RGT",RIGHT($H298,3)="INC"),IF($G298=AP$244,SUM($S315:AP315)+$O298,IF(AP$244&gt;$G298,AP315,0)),0)</f>
        <v>0</v>
      </c>
      <c r="AQ298" s="183"/>
    </row>
    <row r="299" spans="1:43" x14ac:dyDescent="0.25">
      <c r="A299" s="169" t="str">
        <f t="shared" ref="A299:A303" si="157">+$C$291</f>
        <v>West of Devers</v>
      </c>
      <c r="B299" s="179" t="s">
        <v>33</v>
      </c>
      <c r="C299" s="56" t="s">
        <v>312</v>
      </c>
      <c r="D299" s="66" t="s">
        <v>313</v>
      </c>
      <c r="E299" s="58" t="s">
        <v>309</v>
      </c>
      <c r="F299" s="155" t="s">
        <v>70</v>
      </c>
      <c r="G299" s="59">
        <v>43830</v>
      </c>
      <c r="H299" s="60" t="s">
        <v>288</v>
      </c>
      <c r="I299" s="61">
        <v>0</v>
      </c>
      <c r="J299" s="62">
        <v>1</v>
      </c>
      <c r="K299" s="63"/>
      <c r="L299" s="234">
        <v>0</v>
      </c>
      <c r="M299" s="64">
        <f t="shared" ref="M299:M304" si="158">SUM($S316:$AD316)</f>
        <v>0</v>
      </c>
      <c r="N299" s="64">
        <f t="shared" ref="N299:N304" si="159">SUM($AE316:$AP316)</f>
        <v>459.40000000000015</v>
      </c>
      <c r="O299" s="64">
        <f t="shared" ref="O299:O304" si="160">$L299*$J299*(1-$I299)</f>
        <v>0</v>
      </c>
      <c r="P299" s="64">
        <f t="shared" ref="P299:P304" si="161">$M299*$J299*(1-$I299)</f>
        <v>0</v>
      </c>
      <c r="Q299" s="65">
        <f t="shared" ref="Q299:Q304" si="162">$N299*$J299*(1-$I299)</f>
        <v>459.40000000000015</v>
      </c>
      <c r="R299" s="59"/>
      <c r="S299" s="180">
        <f>IF(OR(RIGHT($H299,3)="RGT",RIGHT($H299,3)="INC"),IF($G299=S$244,SUM($S316:S316)+$O299,IF(S$244&gt;$G299,S316,0)),0)</f>
        <v>0</v>
      </c>
      <c r="T299" s="181">
        <f>IF(OR(RIGHT($H299,3)="RGT",RIGHT($H299,3)="INC"),IF($G299=T$244,SUM($S316:T316)+$O299,IF(T$244&gt;$G299,T316,0)),0)</f>
        <v>0</v>
      </c>
      <c r="U299" s="181">
        <f>IF(OR(RIGHT($H299,3)="RGT",RIGHT($H299,3)="INC"),IF($G299=U$244,SUM($S316:U316)+$O299,IF(U$244&gt;$G299,U316,0)),0)</f>
        <v>0</v>
      </c>
      <c r="V299" s="181">
        <f>IF(OR(RIGHT($H299,3)="RGT",RIGHT($H299,3)="INC"),IF($G299=V$244,SUM($S316:V316)+$O299,IF(V$244&gt;$G299,V316,0)),0)</f>
        <v>0</v>
      </c>
      <c r="W299" s="181">
        <f>IF(OR(RIGHT($H299,3)="RGT",RIGHT($H299,3)="INC"),IF($G299=W$244,SUM($S316:W316)+$O299,IF(W$244&gt;$G299,W316,0)),0)</f>
        <v>0</v>
      </c>
      <c r="X299" s="181">
        <f>IF(OR(RIGHT($H299,3)="RGT",RIGHT($H299,3)="INC"),IF($G299=X$244,SUM($S316:X316)+$O299,IF(X$244&gt;$G299,X316,0)),0)</f>
        <v>0</v>
      </c>
      <c r="Y299" s="181">
        <f>IF(OR(RIGHT($H299,3)="RGT",RIGHT($H299,3)="INC"),IF($G299=Y$244,SUM($S316:Y316)+$O299,IF(Y$244&gt;$G299,Y316,0)),0)</f>
        <v>0</v>
      </c>
      <c r="Z299" s="181">
        <f>IF(OR(RIGHT($H299,3)="RGT",RIGHT($H299,3)="INC"),IF($G299=Z$244,SUM($S316:Z316)+$O299,IF(Z$244&gt;$G299,Z316,0)),0)</f>
        <v>0</v>
      </c>
      <c r="AA299" s="181">
        <f>IF(OR(RIGHT($H299,3)="RGT",RIGHT($H299,3)="INC"),IF($G299=AA$244,SUM($S316:AA316)+$O299,IF(AA$244&gt;$G299,AA316,0)),0)</f>
        <v>0</v>
      </c>
      <c r="AB299" s="181">
        <f>IF(OR(RIGHT($H299,3)="RGT",RIGHT($H299,3)="INC"),IF($G299=AB$244,SUM($S316:AB316)+$O299,IF(AB$244&gt;$G299,AB316,0)),0)</f>
        <v>0</v>
      </c>
      <c r="AC299" s="181">
        <f>IF(OR(RIGHT($H299,3)="RGT",RIGHT($H299,3)="INC"),IF($G299=AC$244,SUM($S316:AC316)+$O299,IF(AC$244&gt;$G299,AC316,0)),0)</f>
        <v>0</v>
      </c>
      <c r="AD299" s="182">
        <f>IF(OR(RIGHT($H299,3)="RGT",RIGHT($H299,3)="INC"),IF($G299=AD$244,SUM($S316:AD316)+$O299,IF(AD$244&gt;$G299,AD316,0)),0)</f>
        <v>0</v>
      </c>
      <c r="AE299" s="181">
        <f>IF(OR(RIGHT($H299,3)="RGT",RIGHT($H299,3)="INC"),IF($G299=AE$244,SUM($S316:AE316)+$O299,IF(AE$244&gt;$G299,AE316,0)),0)</f>
        <v>0</v>
      </c>
      <c r="AF299" s="181">
        <f>IF(OR(RIGHT($H299,3)="RGT",RIGHT($H299,3)="INC"),IF($G299=AF$244,SUM($S316:AF316)+$O299,IF(AF$244&gt;$G299,AF316,0)),0)</f>
        <v>0</v>
      </c>
      <c r="AG299" s="181">
        <f>IF(OR(RIGHT($H299,3)="RGT",RIGHT($H299,3)="INC"),IF($G299=AG$244,SUM($S316:AG316)+$O299,IF(AG$244&gt;$G299,AG316,0)),0)</f>
        <v>0</v>
      </c>
      <c r="AH299" s="181">
        <f>IF(OR(RIGHT($H299,3)="RGT",RIGHT($H299,3)="INC"),IF($G299=AH$244,SUM($S316:AH316)+$O299,IF(AH$244&gt;$G299,AH316,0)),0)</f>
        <v>0</v>
      </c>
      <c r="AI299" s="181">
        <f>IF(OR(RIGHT($H299,3)="RGT",RIGHT($H299,3)="INC"),IF($G299=AI$244,SUM($S316:AI316)+$O299,IF(AI$244&gt;$G299,AI316,0)),0)</f>
        <v>0</v>
      </c>
      <c r="AJ299" s="181">
        <f>IF(OR(RIGHT($H299,3)="RGT",RIGHT($H299,3)="INC"),IF($G299=AJ$244,SUM($S316:AJ316)+$O299,IF(AJ$244&gt;$G299,AJ316,0)),0)</f>
        <v>0</v>
      </c>
      <c r="AK299" s="181">
        <f>IF(OR(RIGHT($H299,3)="RGT",RIGHT($H299,3)="INC"),IF($G299=AK$244,SUM($S316:AK316)+$O299,IF(AK$244&gt;$G299,AK316,0)),0)</f>
        <v>0</v>
      </c>
      <c r="AL299" s="181">
        <f>IF(OR(RIGHT($H299,3)="RGT",RIGHT($H299,3)="INC"),IF($G299=AL$244,SUM($S316:AL316)+$O299,IF(AL$244&gt;$G299,AL316,0)),0)</f>
        <v>0</v>
      </c>
      <c r="AM299" s="181">
        <f>IF(OR(RIGHT($H299,3)="RGT",RIGHT($H299,3)="INC"),IF($G299=AM$244,SUM($S316:AM316)+$O299,IF(AM$244&gt;$G299,AM316,0)),0)</f>
        <v>0</v>
      </c>
      <c r="AN299" s="181">
        <f>IF(OR(RIGHT($H299,3)="RGT",RIGHT($H299,3)="INC"),IF($G299=AN$244,SUM($S316:AN316)+$O299,IF(AN$244&gt;$G299,AN316,0)),0)</f>
        <v>0</v>
      </c>
      <c r="AO299" s="181">
        <f>IF(OR(RIGHT($H299,3)="RGT",RIGHT($H299,3)="INC"),IF($G299=AO$244,SUM($S316:AO316)+$O299,IF(AO$244&gt;$G299,AO316,0)),0)</f>
        <v>0</v>
      </c>
      <c r="AP299" s="182">
        <f>IF(OR(RIGHT($H299,3)="RGT",RIGHT($H299,3)="INC"),IF($G299=AP$244,SUM($S316:AP316)+$O299,IF(AP$244&gt;$G299,AP316,0)),0)</f>
        <v>0</v>
      </c>
      <c r="AQ299" s="183"/>
    </row>
    <row r="300" spans="1:43" x14ac:dyDescent="0.25">
      <c r="A300" s="169" t="str">
        <f t="shared" si="157"/>
        <v>West of Devers</v>
      </c>
      <c r="B300" s="179" t="s">
        <v>33</v>
      </c>
      <c r="C300" s="56" t="s">
        <v>314</v>
      </c>
      <c r="D300" s="66" t="s">
        <v>315</v>
      </c>
      <c r="E300" s="58" t="s">
        <v>309</v>
      </c>
      <c r="F300" s="155" t="s">
        <v>70</v>
      </c>
      <c r="G300" s="59">
        <v>43830</v>
      </c>
      <c r="H300" s="60" t="s">
        <v>288</v>
      </c>
      <c r="I300" s="61">
        <v>0</v>
      </c>
      <c r="J300" s="62">
        <v>1</v>
      </c>
      <c r="K300" s="63"/>
      <c r="L300" s="234">
        <v>0</v>
      </c>
      <c r="M300" s="64">
        <f t="shared" si="158"/>
        <v>0</v>
      </c>
      <c r="N300" s="64">
        <f t="shared" si="159"/>
        <v>10.399999999999999</v>
      </c>
      <c r="O300" s="64">
        <f t="shared" si="160"/>
        <v>0</v>
      </c>
      <c r="P300" s="64">
        <f t="shared" si="161"/>
        <v>0</v>
      </c>
      <c r="Q300" s="65">
        <f t="shared" si="162"/>
        <v>10.399999999999999</v>
      </c>
      <c r="R300" s="59"/>
      <c r="S300" s="180">
        <f>IF(OR(RIGHT($H300,3)="RGT",RIGHT($H300,3)="INC"),IF($G300=S$244,SUM($S317:S317)+$O300,IF(S$244&gt;$G300,S317,0)),0)</f>
        <v>0</v>
      </c>
      <c r="T300" s="181">
        <f>IF(OR(RIGHT($H300,3)="RGT",RIGHT($H300,3)="INC"),IF($G300=T$244,SUM($S317:T317)+$O300,IF(T$244&gt;$G300,T317,0)),0)</f>
        <v>0</v>
      </c>
      <c r="U300" s="181">
        <f>IF(OR(RIGHT($H300,3)="RGT",RIGHT($H300,3)="INC"),IF($G300=U$244,SUM($S317:U317)+$O300,IF(U$244&gt;$G300,U317,0)),0)</f>
        <v>0</v>
      </c>
      <c r="V300" s="181">
        <f>IF(OR(RIGHT($H300,3)="RGT",RIGHT($H300,3)="INC"),IF($G300=V$244,SUM($S317:V317)+$O300,IF(V$244&gt;$G300,V317,0)),0)</f>
        <v>0</v>
      </c>
      <c r="W300" s="181">
        <f>IF(OR(RIGHT($H300,3)="RGT",RIGHT($H300,3)="INC"),IF($G300=W$244,SUM($S317:W317)+$O300,IF(W$244&gt;$G300,W317,0)),0)</f>
        <v>0</v>
      </c>
      <c r="X300" s="181">
        <f>IF(OR(RIGHT($H300,3)="RGT",RIGHT($H300,3)="INC"),IF($G300=X$244,SUM($S317:X317)+$O300,IF(X$244&gt;$G300,X317,0)),0)</f>
        <v>0</v>
      </c>
      <c r="Y300" s="181">
        <f>IF(OR(RIGHT($H300,3)="RGT",RIGHT($H300,3)="INC"),IF($G300=Y$244,SUM($S317:Y317)+$O300,IF(Y$244&gt;$G300,Y317,0)),0)</f>
        <v>0</v>
      </c>
      <c r="Z300" s="181">
        <f>IF(OR(RIGHT($H300,3)="RGT",RIGHT($H300,3)="INC"),IF($G300=Z$244,SUM($S317:Z317)+$O300,IF(Z$244&gt;$G300,Z317,0)),0)</f>
        <v>0</v>
      </c>
      <c r="AA300" s="181">
        <f>IF(OR(RIGHT($H300,3)="RGT",RIGHT($H300,3)="INC"),IF($G300=AA$244,SUM($S317:AA317)+$O300,IF(AA$244&gt;$G300,AA317,0)),0)</f>
        <v>0</v>
      </c>
      <c r="AB300" s="181">
        <f>IF(OR(RIGHT($H300,3)="RGT",RIGHT($H300,3)="INC"),IF($G300=AB$244,SUM($S317:AB317)+$O300,IF(AB$244&gt;$G300,AB317,0)),0)</f>
        <v>0</v>
      </c>
      <c r="AC300" s="181">
        <f>IF(OR(RIGHT($H300,3)="RGT",RIGHT($H300,3)="INC"),IF($G300=AC$244,SUM($S317:AC317)+$O300,IF(AC$244&gt;$G300,AC317,0)),0)</f>
        <v>0</v>
      </c>
      <c r="AD300" s="182">
        <f>IF(OR(RIGHT($H300,3)="RGT",RIGHT($H300,3)="INC"),IF($G300=AD$244,SUM($S317:AD317)+$O300,IF(AD$244&gt;$G300,AD317,0)),0)</f>
        <v>0</v>
      </c>
      <c r="AE300" s="181">
        <f>IF(OR(RIGHT($H300,3)="RGT",RIGHT($H300,3)="INC"),IF($G300=AE$244,SUM($S317:AE317)+$O300,IF(AE$244&gt;$G300,AE317,0)),0)</f>
        <v>0</v>
      </c>
      <c r="AF300" s="181">
        <f>IF(OR(RIGHT($H300,3)="RGT",RIGHT($H300,3)="INC"),IF($G300=AF$244,SUM($S317:AF317)+$O300,IF(AF$244&gt;$G300,AF317,0)),0)</f>
        <v>0</v>
      </c>
      <c r="AG300" s="181">
        <f>IF(OR(RIGHT($H300,3)="RGT",RIGHT($H300,3)="INC"),IF($G300=AG$244,SUM($S317:AG317)+$O300,IF(AG$244&gt;$G300,AG317,0)),0)</f>
        <v>0</v>
      </c>
      <c r="AH300" s="181">
        <f>IF(OR(RIGHT($H300,3)="RGT",RIGHT($H300,3)="INC"),IF($G300=AH$244,SUM($S317:AH317)+$O300,IF(AH$244&gt;$G300,AH317,0)),0)</f>
        <v>0</v>
      </c>
      <c r="AI300" s="181">
        <f>IF(OR(RIGHT($H300,3)="RGT",RIGHT($H300,3)="INC"),IF($G300=AI$244,SUM($S317:AI317)+$O300,IF(AI$244&gt;$G300,AI317,0)),0)</f>
        <v>0</v>
      </c>
      <c r="AJ300" s="181">
        <f>IF(OR(RIGHT($H300,3)="RGT",RIGHT($H300,3)="INC"),IF($G300=AJ$244,SUM($S317:AJ317)+$O300,IF(AJ$244&gt;$G300,AJ317,0)),0)</f>
        <v>0</v>
      </c>
      <c r="AK300" s="181">
        <f>IF(OR(RIGHT($H300,3)="RGT",RIGHT($H300,3)="INC"),IF($G300=AK$244,SUM($S317:AK317)+$O300,IF(AK$244&gt;$G300,AK317,0)),0)</f>
        <v>0</v>
      </c>
      <c r="AL300" s="181">
        <f>IF(OR(RIGHT($H300,3)="RGT",RIGHT($H300,3)="INC"),IF($G300=AL$244,SUM($S317:AL317)+$O300,IF(AL$244&gt;$G300,AL317,0)),0)</f>
        <v>0</v>
      </c>
      <c r="AM300" s="181">
        <f>IF(OR(RIGHT($H300,3)="RGT",RIGHT($H300,3)="INC"),IF($G300=AM$244,SUM($S317:AM317)+$O300,IF(AM$244&gt;$G300,AM317,0)),0)</f>
        <v>0</v>
      </c>
      <c r="AN300" s="181">
        <f>IF(OR(RIGHT($H300,3)="RGT",RIGHT($H300,3)="INC"),IF($G300=AN$244,SUM($S317:AN317)+$O300,IF(AN$244&gt;$G300,AN317,0)),0)</f>
        <v>0</v>
      </c>
      <c r="AO300" s="181">
        <f>IF(OR(RIGHT($H300,3)="RGT",RIGHT($H300,3)="INC"),IF($G300=AO$244,SUM($S317:AO317)+$O300,IF(AO$244&gt;$G300,AO317,0)),0)</f>
        <v>0</v>
      </c>
      <c r="AP300" s="182">
        <f>IF(OR(RIGHT($H300,3)="RGT",RIGHT($H300,3)="INC"),IF($G300=AP$244,SUM($S317:AP317)+$O300,IF(AP$244&gt;$G300,AP317,0)),0)</f>
        <v>0</v>
      </c>
      <c r="AQ300" s="183"/>
    </row>
    <row r="301" spans="1:43" x14ac:dyDescent="0.25">
      <c r="A301" s="169" t="str">
        <f t="shared" si="157"/>
        <v>West of Devers</v>
      </c>
      <c r="B301" s="179" t="s">
        <v>33</v>
      </c>
      <c r="C301" s="56" t="s">
        <v>316</v>
      </c>
      <c r="D301" s="66" t="s">
        <v>317</v>
      </c>
      <c r="E301" s="58" t="s">
        <v>309</v>
      </c>
      <c r="F301" s="155" t="s">
        <v>70</v>
      </c>
      <c r="G301" s="59">
        <v>43830</v>
      </c>
      <c r="H301" s="60" t="s">
        <v>288</v>
      </c>
      <c r="I301" s="61">
        <v>0</v>
      </c>
      <c r="J301" s="62">
        <v>1</v>
      </c>
      <c r="K301" s="63"/>
      <c r="L301" s="234">
        <v>0</v>
      </c>
      <c r="M301" s="64">
        <f t="shared" si="158"/>
        <v>0</v>
      </c>
      <c r="N301" s="64">
        <f t="shared" si="159"/>
        <v>729.59999999999991</v>
      </c>
      <c r="O301" s="64">
        <f t="shared" si="160"/>
        <v>0</v>
      </c>
      <c r="P301" s="64">
        <f t="shared" si="161"/>
        <v>0</v>
      </c>
      <c r="Q301" s="65">
        <f t="shared" si="162"/>
        <v>729.59999999999991</v>
      </c>
      <c r="R301" s="59"/>
      <c r="S301" s="180">
        <f>IF(OR(RIGHT($H301,3)="RGT",RIGHT($H301,3)="INC"),IF($G301=S$244,SUM($S318:S318)+$O301,IF(S$244&gt;$G301,S318,0)),0)</f>
        <v>0</v>
      </c>
      <c r="T301" s="181">
        <f>IF(OR(RIGHT($H301,3)="RGT",RIGHT($H301,3)="INC"),IF($G301=T$244,SUM($S318:T318)+$O301,IF(T$244&gt;$G301,T318,0)),0)</f>
        <v>0</v>
      </c>
      <c r="U301" s="181">
        <f>IF(OR(RIGHT($H301,3)="RGT",RIGHT($H301,3)="INC"),IF($G301=U$244,SUM($S318:U318)+$O301,IF(U$244&gt;$G301,U318,0)),0)</f>
        <v>0</v>
      </c>
      <c r="V301" s="181">
        <f>IF(OR(RIGHT($H301,3)="RGT",RIGHT($H301,3)="INC"),IF($G301=V$244,SUM($S318:V318)+$O301,IF(V$244&gt;$G301,V318,0)),0)</f>
        <v>0</v>
      </c>
      <c r="W301" s="181">
        <f>IF(OR(RIGHT($H301,3)="RGT",RIGHT($H301,3)="INC"),IF($G301=W$244,SUM($S318:W318)+$O301,IF(W$244&gt;$G301,W318,0)),0)</f>
        <v>0</v>
      </c>
      <c r="X301" s="181">
        <f>IF(OR(RIGHT($H301,3)="RGT",RIGHT($H301,3)="INC"),IF($G301=X$244,SUM($S318:X318)+$O301,IF(X$244&gt;$G301,X318,0)),0)</f>
        <v>0</v>
      </c>
      <c r="Y301" s="181">
        <f>IF(OR(RIGHT($H301,3)="RGT",RIGHT($H301,3)="INC"),IF($G301=Y$244,SUM($S318:Y318)+$O301,IF(Y$244&gt;$G301,Y318,0)),0)</f>
        <v>0</v>
      </c>
      <c r="Z301" s="181">
        <f>IF(OR(RIGHT($H301,3)="RGT",RIGHT($H301,3)="INC"),IF($G301=Z$244,SUM($S318:Z318)+$O301,IF(Z$244&gt;$G301,Z318,0)),0)</f>
        <v>0</v>
      </c>
      <c r="AA301" s="181">
        <f>IF(OR(RIGHT($H301,3)="RGT",RIGHT($H301,3)="INC"),IF($G301=AA$244,SUM($S318:AA318)+$O301,IF(AA$244&gt;$G301,AA318,0)),0)</f>
        <v>0</v>
      </c>
      <c r="AB301" s="181">
        <f>IF(OR(RIGHT($H301,3)="RGT",RIGHT($H301,3)="INC"),IF($G301=AB$244,SUM($S318:AB318)+$O301,IF(AB$244&gt;$G301,AB318,0)),0)</f>
        <v>0</v>
      </c>
      <c r="AC301" s="181">
        <f>IF(OR(RIGHT($H301,3)="RGT",RIGHT($H301,3)="INC"),IF($G301=AC$244,SUM($S318:AC318)+$O301,IF(AC$244&gt;$G301,AC318,0)),0)</f>
        <v>0</v>
      </c>
      <c r="AD301" s="182">
        <f>IF(OR(RIGHT($H301,3)="RGT",RIGHT($H301,3)="INC"),IF($G301=AD$244,SUM($S318:AD318)+$O301,IF(AD$244&gt;$G301,AD318,0)),0)</f>
        <v>0</v>
      </c>
      <c r="AE301" s="181">
        <f>IF(OR(RIGHT($H301,3)="RGT",RIGHT($H301,3)="INC"),IF($G301=AE$244,SUM($S318:AE318)+$O301,IF(AE$244&gt;$G301,AE318,0)),0)</f>
        <v>0</v>
      </c>
      <c r="AF301" s="181">
        <f>IF(OR(RIGHT($H301,3)="RGT",RIGHT($H301,3)="INC"),IF($G301=AF$244,SUM($S318:AF318)+$O301,IF(AF$244&gt;$G301,AF318,0)),0)</f>
        <v>0</v>
      </c>
      <c r="AG301" s="181">
        <f>IF(OR(RIGHT($H301,3)="RGT",RIGHT($H301,3)="INC"),IF($G301=AG$244,SUM($S318:AG318)+$O301,IF(AG$244&gt;$G301,AG318,0)),0)</f>
        <v>0</v>
      </c>
      <c r="AH301" s="181">
        <f>IF(OR(RIGHT($H301,3)="RGT",RIGHT($H301,3)="INC"),IF($G301=AH$244,SUM($S318:AH318)+$O301,IF(AH$244&gt;$G301,AH318,0)),0)</f>
        <v>0</v>
      </c>
      <c r="AI301" s="181">
        <f>IF(OR(RIGHT($H301,3)="RGT",RIGHT($H301,3)="INC"),IF($G301=AI$244,SUM($S318:AI318)+$O301,IF(AI$244&gt;$G301,AI318,0)),0)</f>
        <v>0</v>
      </c>
      <c r="AJ301" s="181">
        <f>IF(OR(RIGHT($H301,3)="RGT",RIGHT($H301,3)="INC"),IF($G301=AJ$244,SUM($S318:AJ318)+$O301,IF(AJ$244&gt;$G301,AJ318,0)),0)</f>
        <v>0</v>
      </c>
      <c r="AK301" s="181">
        <f>IF(OR(RIGHT($H301,3)="RGT",RIGHT($H301,3)="INC"),IF($G301=AK$244,SUM($S318:AK318)+$O301,IF(AK$244&gt;$G301,AK318,0)),0)</f>
        <v>0</v>
      </c>
      <c r="AL301" s="181">
        <f>IF(OR(RIGHT($H301,3)="RGT",RIGHT($H301,3)="INC"),IF($G301=AL$244,SUM($S318:AL318)+$O301,IF(AL$244&gt;$G301,AL318,0)),0)</f>
        <v>0</v>
      </c>
      <c r="AM301" s="181">
        <f>IF(OR(RIGHT($H301,3)="RGT",RIGHT($H301,3)="INC"),IF($G301=AM$244,SUM($S318:AM318)+$O301,IF(AM$244&gt;$G301,AM318,0)),0)</f>
        <v>0</v>
      </c>
      <c r="AN301" s="181">
        <f>IF(OR(RIGHT($H301,3)="RGT",RIGHT($H301,3)="INC"),IF($G301=AN$244,SUM($S318:AN318)+$O301,IF(AN$244&gt;$G301,AN318,0)),0)</f>
        <v>0</v>
      </c>
      <c r="AO301" s="181">
        <f>IF(OR(RIGHT($H301,3)="RGT",RIGHT($H301,3)="INC"),IF($G301=AO$244,SUM($S318:AO318)+$O301,IF(AO$244&gt;$G301,AO318,0)),0)</f>
        <v>0</v>
      </c>
      <c r="AP301" s="182">
        <f>IF(OR(RIGHT($H301,3)="RGT",RIGHT($H301,3)="INC"),IF($G301=AP$244,SUM($S318:AP318)+$O301,IF(AP$244&gt;$G301,AP318,0)),0)</f>
        <v>0</v>
      </c>
      <c r="AQ301" s="183"/>
    </row>
    <row r="302" spans="1:43" x14ac:dyDescent="0.25">
      <c r="A302" s="169" t="str">
        <f t="shared" si="157"/>
        <v>West of Devers</v>
      </c>
      <c r="B302" s="179" t="s">
        <v>33</v>
      </c>
      <c r="C302" s="56" t="s">
        <v>318</v>
      </c>
      <c r="D302" s="66" t="s">
        <v>319</v>
      </c>
      <c r="E302" s="58" t="s">
        <v>309</v>
      </c>
      <c r="F302" s="155" t="s">
        <v>70</v>
      </c>
      <c r="G302" s="59">
        <v>43830</v>
      </c>
      <c r="H302" s="60" t="s">
        <v>264</v>
      </c>
      <c r="I302" s="61">
        <v>0</v>
      </c>
      <c r="J302" s="62">
        <v>1</v>
      </c>
      <c r="K302" s="63"/>
      <c r="L302" s="234">
        <v>0</v>
      </c>
      <c r="M302" s="64">
        <f t="shared" si="158"/>
        <v>3294.5050000000001</v>
      </c>
      <c r="N302" s="64">
        <f t="shared" si="159"/>
        <v>86772.59</v>
      </c>
      <c r="O302" s="64">
        <f t="shared" si="160"/>
        <v>0</v>
      </c>
      <c r="P302" s="64">
        <f t="shared" si="161"/>
        <v>3294.5050000000001</v>
      </c>
      <c r="Q302" s="65">
        <f t="shared" si="162"/>
        <v>86772.59</v>
      </c>
      <c r="R302" s="59"/>
      <c r="S302" s="180">
        <f>IF(OR(RIGHT($H302,3)="RGT",RIGHT($H302,3)="INC"),IF($G302=S$244,SUM($S319:S319)+$O302,IF(S$244&gt;$G302,S319,0)),0)</f>
        <v>0</v>
      </c>
      <c r="T302" s="181">
        <f>IF(OR(RIGHT($H302,3)="RGT",RIGHT($H302,3)="INC"),IF($G302=T$244,SUM($S319:T319)+$O302,IF(T$244&gt;$G302,T319,0)),0)</f>
        <v>0</v>
      </c>
      <c r="U302" s="181">
        <f>IF(OR(RIGHT($H302,3)="RGT",RIGHT($H302,3)="INC"),IF($G302=U$244,SUM($S319:U319)+$O302,IF(U$244&gt;$G302,U319,0)),0)</f>
        <v>0</v>
      </c>
      <c r="V302" s="181">
        <f>IF(OR(RIGHT($H302,3)="RGT",RIGHT($H302,3)="INC"),IF($G302=V$244,SUM($S319:V319)+$O302,IF(V$244&gt;$G302,V319,0)),0)</f>
        <v>0</v>
      </c>
      <c r="W302" s="181">
        <f>IF(OR(RIGHT($H302,3)="RGT",RIGHT($H302,3)="INC"),IF($G302=W$244,SUM($S319:W319)+$O302,IF(W$244&gt;$G302,W319,0)),0)</f>
        <v>0</v>
      </c>
      <c r="X302" s="181">
        <f>IF(OR(RIGHT($H302,3)="RGT",RIGHT($H302,3)="INC"),IF($G302=X$244,SUM($S319:X319)+$O302,IF(X$244&gt;$G302,X319,0)),0)</f>
        <v>0</v>
      </c>
      <c r="Y302" s="181">
        <f>IF(OR(RIGHT($H302,3)="RGT",RIGHT($H302,3)="INC"),IF($G302=Y$244,SUM($S319:Y319)+$O302,IF(Y$244&gt;$G302,Y319,0)),0)</f>
        <v>0</v>
      </c>
      <c r="Z302" s="181">
        <f>IF(OR(RIGHT($H302,3)="RGT",RIGHT($H302,3)="INC"),IF($G302=Z$244,SUM($S319:Z319)+$O302,IF(Z$244&gt;$G302,Z319,0)),0)</f>
        <v>0</v>
      </c>
      <c r="AA302" s="181">
        <f>IF(OR(RIGHT($H302,3)="RGT",RIGHT($H302,3)="INC"),IF($G302=AA$244,SUM($S319:AA319)+$O302,IF(AA$244&gt;$G302,AA319,0)),0)</f>
        <v>0</v>
      </c>
      <c r="AB302" s="181">
        <f>IF(OR(RIGHT($H302,3)="RGT",RIGHT($H302,3)="INC"),IF($G302=AB$244,SUM($S319:AB319)+$O302,IF(AB$244&gt;$G302,AB319,0)),0)</f>
        <v>0</v>
      </c>
      <c r="AC302" s="181">
        <f>IF(OR(RIGHT($H302,3)="RGT",RIGHT($H302,3)="INC"),IF($G302=AC$244,SUM($S319:AC319)+$O302,IF(AC$244&gt;$G302,AC319,0)),0)</f>
        <v>0</v>
      </c>
      <c r="AD302" s="182">
        <f>IF(OR(RIGHT($H302,3)="RGT",RIGHT($H302,3)="INC"),IF($G302=AD$244,SUM($S319:AD319)+$O302,IF(AD$244&gt;$G302,AD319,0)),0)</f>
        <v>0</v>
      </c>
      <c r="AE302" s="181">
        <f>IF(OR(RIGHT($H302,3)="RGT",RIGHT($H302,3)="INC"),IF($G302=AE$244,SUM($S319:AE319)+$O302,IF(AE$244&gt;$G302,AE319,0)),0)</f>
        <v>0</v>
      </c>
      <c r="AF302" s="181">
        <f>IF(OR(RIGHT($H302,3)="RGT",RIGHT($H302,3)="INC"),IF($G302=AF$244,SUM($S319:AF319)+$O302,IF(AF$244&gt;$G302,AF319,0)),0)</f>
        <v>0</v>
      </c>
      <c r="AG302" s="181">
        <f>IF(OR(RIGHT($H302,3)="RGT",RIGHT($H302,3)="INC"),IF($G302=AG$244,SUM($S319:AG319)+$O302,IF(AG$244&gt;$G302,AG319,0)),0)</f>
        <v>0</v>
      </c>
      <c r="AH302" s="181">
        <f>IF(OR(RIGHT($H302,3)="RGT",RIGHT($H302,3)="INC"),IF($G302=AH$244,SUM($S319:AH319)+$O302,IF(AH$244&gt;$G302,AH319,0)),0)</f>
        <v>0</v>
      </c>
      <c r="AI302" s="181">
        <f>IF(OR(RIGHT($H302,3)="RGT",RIGHT($H302,3)="INC"),IF($G302=AI$244,SUM($S319:AI319)+$O302,IF(AI$244&gt;$G302,AI319,0)),0)</f>
        <v>0</v>
      </c>
      <c r="AJ302" s="181">
        <f>IF(OR(RIGHT($H302,3)="RGT",RIGHT($H302,3)="INC"),IF($G302=AJ$244,SUM($S319:AJ319)+$O302,IF(AJ$244&gt;$G302,AJ319,0)),0)</f>
        <v>0</v>
      </c>
      <c r="AK302" s="181">
        <f>IF(OR(RIGHT($H302,3)="RGT",RIGHT($H302,3)="INC"),IF($G302=AK$244,SUM($S319:AK319)+$O302,IF(AK$244&gt;$G302,AK319,0)),0)</f>
        <v>0</v>
      </c>
      <c r="AL302" s="181">
        <f>IF(OR(RIGHT($H302,3)="RGT",RIGHT($H302,3)="INC"),IF($G302=AL$244,SUM($S319:AL319)+$O302,IF(AL$244&gt;$G302,AL319,0)),0)</f>
        <v>0</v>
      </c>
      <c r="AM302" s="181">
        <f>IF(OR(RIGHT($H302,3)="RGT",RIGHT($H302,3)="INC"),IF($G302=AM$244,SUM($S319:AM319)+$O302,IF(AM$244&gt;$G302,AM319,0)),0)</f>
        <v>0</v>
      </c>
      <c r="AN302" s="181">
        <f>IF(OR(RIGHT($H302,3)="RGT",RIGHT($H302,3)="INC"),IF($G302=AN$244,SUM($S319:AN319)+$O302,IF(AN$244&gt;$G302,AN319,0)),0)</f>
        <v>0</v>
      </c>
      <c r="AO302" s="181">
        <f>IF(OR(RIGHT($H302,3)="RGT",RIGHT($H302,3)="INC"),IF($G302=AO$244,SUM($S319:AO319)+$O302,IF(AO$244&gt;$G302,AO319,0)),0)</f>
        <v>0</v>
      </c>
      <c r="AP302" s="182">
        <f>IF(OR(RIGHT($H302,3)="RGT",RIGHT($H302,3)="INC"),IF($G302=AP$244,SUM($S319:AP319)+$O302,IF(AP$244&gt;$G302,AP319,0)),0)</f>
        <v>0</v>
      </c>
      <c r="AQ302" s="183"/>
    </row>
    <row r="303" spans="1:43" x14ac:dyDescent="0.25">
      <c r="A303" s="169" t="str">
        <f t="shared" si="157"/>
        <v>West of Devers</v>
      </c>
      <c r="B303" s="179" t="s">
        <v>33</v>
      </c>
      <c r="C303" s="56" t="s">
        <v>320</v>
      </c>
      <c r="D303" s="66" t="s">
        <v>321</v>
      </c>
      <c r="E303" s="58" t="s">
        <v>309</v>
      </c>
      <c r="F303" s="155" t="s">
        <v>70</v>
      </c>
      <c r="G303" s="59">
        <v>43830</v>
      </c>
      <c r="H303" s="60" t="s">
        <v>288</v>
      </c>
      <c r="I303" s="61">
        <v>0</v>
      </c>
      <c r="J303" s="62">
        <v>1</v>
      </c>
      <c r="K303" s="63"/>
      <c r="L303" s="234">
        <v>0</v>
      </c>
      <c r="M303" s="64">
        <f t="shared" si="158"/>
        <v>0</v>
      </c>
      <c r="N303" s="64">
        <f t="shared" si="159"/>
        <v>436.59999999999997</v>
      </c>
      <c r="O303" s="64">
        <f t="shared" si="160"/>
        <v>0</v>
      </c>
      <c r="P303" s="64">
        <f t="shared" si="161"/>
        <v>0</v>
      </c>
      <c r="Q303" s="65">
        <f t="shared" si="162"/>
        <v>436.59999999999997</v>
      </c>
      <c r="R303" s="59"/>
      <c r="S303" s="180">
        <f>IF(OR(RIGHT($H303,3)="RGT",RIGHT($H303,3)="INC"),IF($G303=S$244,SUM($S320:S320)+$O303,IF(S$244&gt;$G303,S320,0)),0)</f>
        <v>0</v>
      </c>
      <c r="T303" s="181">
        <f>IF(OR(RIGHT($H303,3)="RGT",RIGHT($H303,3)="INC"),IF($G303=T$244,SUM($S320:T320)+$O303,IF(T$244&gt;$G303,T320,0)),0)</f>
        <v>0</v>
      </c>
      <c r="U303" s="181">
        <f>IF(OR(RIGHT($H303,3)="RGT",RIGHT($H303,3)="INC"),IF($G303=U$244,SUM($S320:U320)+$O303,IF(U$244&gt;$G303,U320,0)),0)</f>
        <v>0</v>
      </c>
      <c r="V303" s="181">
        <f>IF(OR(RIGHT($H303,3)="RGT",RIGHT($H303,3)="INC"),IF($G303=V$244,SUM($S320:V320)+$O303,IF(V$244&gt;$G303,V320,0)),0)</f>
        <v>0</v>
      </c>
      <c r="W303" s="181">
        <f>IF(OR(RIGHT($H303,3)="RGT",RIGHT($H303,3)="INC"),IF($G303=W$244,SUM($S320:W320)+$O303,IF(W$244&gt;$G303,W320,0)),0)</f>
        <v>0</v>
      </c>
      <c r="X303" s="181">
        <f>IF(OR(RIGHT($H303,3)="RGT",RIGHT($H303,3)="INC"),IF($G303=X$244,SUM($S320:X320)+$O303,IF(X$244&gt;$G303,X320,0)),0)</f>
        <v>0</v>
      </c>
      <c r="Y303" s="181">
        <f>IF(OR(RIGHT($H303,3)="RGT",RIGHT($H303,3)="INC"),IF($G303=Y$244,SUM($S320:Y320)+$O303,IF(Y$244&gt;$G303,Y320,0)),0)</f>
        <v>0</v>
      </c>
      <c r="Z303" s="181">
        <f>IF(OR(RIGHT($H303,3)="RGT",RIGHT($H303,3)="INC"),IF($G303=Z$244,SUM($S320:Z320)+$O303,IF(Z$244&gt;$G303,Z320,0)),0)</f>
        <v>0</v>
      </c>
      <c r="AA303" s="181">
        <f>IF(OR(RIGHT($H303,3)="RGT",RIGHT($H303,3)="INC"),IF($G303=AA$244,SUM($S320:AA320)+$O303,IF(AA$244&gt;$G303,AA320,0)),0)</f>
        <v>0</v>
      </c>
      <c r="AB303" s="181">
        <f>IF(OR(RIGHT($H303,3)="RGT",RIGHT($H303,3)="INC"),IF($G303=AB$244,SUM($S320:AB320)+$O303,IF(AB$244&gt;$G303,AB320,0)),0)</f>
        <v>0</v>
      </c>
      <c r="AC303" s="181">
        <f>IF(OR(RIGHT($H303,3)="RGT",RIGHT($H303,3)="INC"),IF($G303=AC$244,SUM($S320:AC320)+$O303,IF(AC$244&gt;$G303,AC320,0)),0)</f>
        <v>0</v>
      </c>
      <c r="AD303" s="182">
        <f>IF(OR(RIGHT($H303,3)="RGT",RIGHT($H303,3)="INC"),IF($G303=AD$244,SUM($S320:AD320)+$O303,IF(AD$244&gt;$G303,AD320,0)),0)</f>
        <v>0</v>
      </c>
      <c r="AE303" s="181">
        <f>IF(OR(RIGHT($H303,3)="RGT",RIGHT($H303,3)="INC"),IF($G303=AE$244,SUM($S320:AE320)+$O303,IF(AE$244&gt;$G303,AE320,0)),0)</f>
        <v>0</v>
      </c>
      <c r="AF303" s="181">
        <f>IF(OR(RIGHT($H303,3)="RGT",RIGHT($H303,3)="INC"),IF($G303=AF$244,SUM($S320:AF320)+$O303,IF(AF$244&gt;$G303,AF320,0)),0)</f>
        <v>0</v>
      </c>
      <c r="AG303" s="181">
        <f>IF(OR(RIGHT($H303,3)="RGT",RIGHT($H303,3)="INC"),IF($G303=AG$244,SUM($S320:AG320)+$O303,IF(AG$244&gt;$G303,AG320,0)),0)</f>
        <v>0</v>
      </c>
      <c r="AH303" s="181">
        <f>IF(OR(RIGHT($H303,3)="RGT",RIGHT($H303,3)="INC"),IF($G303=AH$244,SUM($S320:AH320)+$O303,IF(AH$244&gt;$G303,AH320,0)),0)</f>
        <v>0</v>
      </c>
      <c r="AI303" s="181">
        <f>IF(OR(RIGHT($H303,3)="RGT",RIGHT($H303,3)="INC"),IF($G303=AI$244,SUM($S320:AI320)+$O303,IF(AI$244&gt;$G303,AI320,0)),0)</f>
        <v>0</v>
      </c>
      <c r="AJ303" s="181">
        <f>IF(OR(RIGHT($H303,3)="RGT",RIGHT($H303,3)="INC"),IF($G303=AJ$244,SUM($S320:AJ320)+$O303,IF(AJ$244&gt;$G303,AJ320,0)),0)</f>
        <v>0</v>
      </c>
      <c r="AK303" s="181">
        <f>IF(OR(RIGHT($H303,3)="RGT",RIGHT($H303,3)="INC"),IF($G303=AK$244,SUM($S320:AK320)+$O303,IF(AK$244&gt;$G303,AK320,0)),0)</f>
        <v>0</v>
      </c>
      <c r="AL303" s="181">
        <f>IF(OR(RIGHT($H303,3)="RGT",RIGHT($H303,3)="INC"),IF($G303=AL$244,SUM($S320:AL320)+$O303,IF(AL$244&gt;$G303,AL320,0)),0)</f>
        <v>0</v>
      </c>
      <c r="AM303" s="181">
        <f>IF(OR(RIGHT($H303,3)="RGT",RIGHT($H303,3)="INC"),IF($G303=AM$244,SUM($S320:AM320)+$O303,IF(AM$244&gt;$G303,AM320,0)),0)</f>
        <v>0</v>
      </c>
      <c r="AN303" s="181">
        <f>IF(OR(RIGHT($H303,3)="RGT",RIGHT($H303,3)="INC"),IF($G303=AN$244,SUM($S320:AN320)+$O303,IF(AN$244&gt;$G303,AN320,0)),0)</f>
        <v>0</v>
      </c>
      <c r="AO303" s="181">
        <f>IF(OR(RIGHT($H303,3)="RGT",RIGHT($H303,3)="INC"),IF($G303=AO$244,SUM($S320:AO320)+$O303,IF(AO$244&gt;$G303,AO320,0)),0)</f>
        <v>0</v>
      </c>
      <c r="AP303" s="182">
        <f>IF(OR(RIGHT($H303,3)="RGT",RIGHT($H303,3)="INC"),IF($G303=AP$244,SUM($S320:AP320)+$O303,IF(AP$244&gt;$G303,AP320,0)),0)</f>
        <v>0</v>
      </c>
      <c r="AQ303" s="183"/>
    </row>
    <row r="304" spans="1:43" x14ac:dyDescent="0.25">
      <c r="A304" s="169" t="str">
        <f>+$C$291</f>
        <v>West of Devers</v>
      </c>
      <c r="B304" s="179" t="s">
        <v>33</v>
      </c>
      <c r="C304" s="56" t="s">
        <v>322</v>
      </c>
      <c r="D304" s="66" t="s">
        <v>323</v>
      </c>
      <c r="E304" s="58" t="s">
        <v>309</v>
      </c>
      <c r="F304" s="60" t="s">
        <v>70</v>
      </c>
      <c r="G304" s="59">
        <v>43830</v>
      </c>
      <c r="H304" s="60" t="s">
        <v>264</v>
      </c>
      <c r="I304" s="61">
        <v>0</v>
      </c>
      <c r="J304" s="62">
        <v>1</v>
      </c>
      <c r="K304" s="63"/>
      <c r="L304" s="234">
        <v>53.209769999999999</v>
      </c>
      <c r="M304" s="64">
        <f t="shared" si="158"/>
        <v>6259.2675399999998</v>
      </c>
      <c r="N304" s="64">
        <f t="shared" si="159"/>
        <v>16386.43</v>
      </c>
      <c r="O304" s="64">
        <f t="shared" si="160"/>
        <v>53.209769999999999</v>
      </c>
      <c r="P304" s="64">
        <f t="shared" si="161"/>
        <v>6259.2675399999998</v>
      </c>
      <c r="Q304" s="65">
        <f t="shared" si="162"/>
        <v>16386.43</v>
      </c>
      <c r="R304" s="59"/>
      <c r="S304" s="180">
        <f>IF(OR(RIGHT($H304,3)="RGT",RIGHT($H304,3)="INC"),IF($G304=S$244,SUM($S321:S321)+$O304,IF(S$244&gt;$G304,S321,0)),0)</f>
        <v>0</v>
      </c>
      <c r="T304" s="181">
        <f>IF(OR(RIGHT($H304,3)="RGT",RIGHT($H304,3)="INC"),IF($G304=T$244,SUM($S321:T321)+$O304,IF(T$244&gt;$G304,T321,0)),0)</f>
        <v>0</v>
      </c>
      <c r="U304" s="181">
        <f>IF(OR(RIGHT($H304,3)="RGT",RIGHT($H304,3)="INC"),IF($G304=U$244,SUM($S321:U321)+$O304,IF(U$244&gt;$G304,U321,0)),0)</f>
        <v>0</v>
      </c>
      <c r="V304" s="181">
        <f>IF(OR(RIGHT($H304,3)="RGT",RIGHT($H304,3)="INC"),IF($G304=V$244,SUM($S321:V321)+$O304,IF(V$244&gt;$G304,V321,0)),0)</f>
        <v>0</v>
      </c>
      <c r="W304" s="181">
        <f>IF(OR(RIGHT($H304,3)="RGT",RIGHT($H304,3)="INC"),IF($G304=W$244,SUM($S321:W321)+$O304,IF(W$244&gt;$G304,W321,0)),0)</f>
        <v>0</v>
      </c>
      <c r="X304" s="181">
        <f>IF(OR(RIGHT($H304,3)="RGT",RIGHT($H304,3)="INC"),IF($G304=X$244,SUM($S321:X321)+$O304,IF(X$244&gt;$G304,X321,0)),0)</f>
        <v>0</v>
      </c>
      <c r="Y304" s="181">
        <f>IF(OR(RIGHT($H304,3)="RGT",RIGHT($H304,3)="INC"),IF($G304=Y$244,SUM($S321:Y321)+$O304,IF(Y$244&gt;$G304,Y321,0)),0)</f>
        <v>0</v>
      </c>
      <c r="Z304" s="181">
        <f>IF(OR(RIGHT($H304,3)="RGT",RIGHT($H304,3)="INC"),IF($G304=Z$244,SUM($S321:Z321)+$O304,IF(Z$244&gt;$G304,Z321,0)),0)</f>
        <v>0</v>
      </c>
      <c r="AA304" s="181">
        <f>IF(OR(RIGHT($H304,3)="RGT",RIGHT($H304,3)="INC"),IF($G304=AA$244,SUM($S321:AA321)+$O304,IF(AA$244&gt;$G304,AA321,0)),0)</f>
        <v>0</v>
      </c>
      <c r="AB304" s="181">
        <f>IF(OR(RIGHT($H304,3)="RGT",RIGHT($H304,3)="INC"),IF($G304=AB$244,SUM($S321:AB321)+$O304,IF(AB$244&gt;$G304,AB321,0)),0)</f>
        <v>0</v>
      </c>
      <c r="AC304" s="181">
        <f>IF(OR(RIGHT($H304,3)="RGT",RIGHT($H304,3)="INC"),IF($G304=AC$244,SUM($S321:AC321)+$O304,IF(AC$244&gt;$G304,AC321,0)),0)</f>
        <v>0</v>
      </c>
      <c r="AD304" s="182">
        <f>IF(OR(RIGHT($H304,3)="RGT",RIGHT($H304,3)="INC"),IF($G304=AD$244,SUM($S321:AD321)+$O304,IF(AD$244&gt;$G304,AD321,0)),0)</f>
        <v>0</v>
      </c>
      <c r="AE304" s="181">
        <f>IF(OR(RIGHT($H304,3)="RGT",RIGHT($H304,3)="INC"),IF($G304=AE$244,SUM($S321:AE321)+$O304,IF(AE$244&gt;$G304,AE321,0)),0)</f>
        <v>0</v>
      </c>
      <c r="AF304" s="181">
        <f>IF(OR(RIGHT($H304,3)="RGT",RIGHT($H304,3)="INC"),IF($G304=AF$244,SUM($S321:AF321)+$O304,IF(AF$244&gt;$G304,AF321,0)),0)</f>
        <v>0</v>
      </c>
      <c r="AG304" s="181">
        <f>IF(OR(RIGHT($H304,3)="RGT",RIGHT($H304,3)="INC"),IF($G304=AG$244,SUM($S321:AG321)+$O304,IF(AG$244&gt;$G304,AG321,0)),0)</f>
        <v>0</v>
      </c>
      <c r="AH304" s="181">
        <f>IF(OR(RIGHT($H304,3)="RGT",RIGHT($H304,3)="INC"),IF($G304=AH$244,SUM($S321:AH321)+$O304,IF(AH$244&gt;$G304,AH321,0)),0)</f>
        <v>0</v>
      </c>
      <c r="AI304" s="181">
        <f>IF(OR(RIGHT($H304,3)="RGT",RIGHT($H304,3)="INC"),IF($G304=AI$244,SUM($S321:AI321)+$O304,IF(AI$244&gt;$G304,AI321,0)),0)</f>
        <v>0</v>
      </c>
      <c r="AJ304" s="181">
        <f>IF(OR(RIGHT($H304,3)="RGT",RIGHT($H304,3)="INC"),IF($G304=AJ$244,SUM($S321:AJ321)+$O304,IF(AJ$244&gt;$G304,AJ321,0)),0)</f>
        <v>0</v>
      </c>
      <c r="AK304" s="181">
        <f>IF(OR(RIGHT($H304,3)="RGT",RIGHT($H304,3)="INC"),IF($G304=AK$244,SUM($S321:AK321)+$O304,IF(AK$244&gt;$G304,AK321,0)),0)</f>
        <v>0</v>
      </c>
      <c r="AL304" s="181">
        <f>IF(OR(RIGHT($H304,3)="RGT",RIGHT($H304,3)="INC"),IF($G304=AL$244,SUM($S321:AL321)+$O304,IF(AL$244&gt;$G304,AL321,0)),0)</f>
        <v>0</v>
      </c>
      <c r="AM304" s="181">
        <f>IF(OR(RIGHT($H304,3)="RGT",RIGHT($H304,3)="INC"),IF($G304=AM$244,SUM($S321:AM321)+$O304,IF(AM$244&gt;$G304,AM321,0)),0)</f>
        <v>0</v>
      </c>
      <c r="AN304" s="181">
        <f>IF(OR(RIGHT($H304,3)="RGT",RIGHT($H304,3)="INC"),IF($G304=AN$244,SUM($S321:AN321)+$O304,IF(AN$244&gt;$G304,AN321,0)),0)</f>
        <v>0</v>
      </c>
      <c r="AO304" s="181">
        <f>IF(OR(RIGHT($H304,3)="RGT",RIGHT($H304,3)="INC"),IF($G304=AO$244,SUM($S321:AO321)+$O304,IF(AO$244&gt;$G304,AO321,0)),0)</f>
        <v>0</v>
      </c>
      <c r="AP304" s="182">
        <f>IF(OR(RIGHT($H304,3)="RGT",RIGHT($H304,3)="INC"),IF($G304=AP$244,SUM($S321:AP321)+$O304,IF(AP$244&gt;$G304,AP321,0)),0)</f>
        <v>0</v>
      </c>
      <c r="AQ304" s="183"/>
    </row>
    <row r="305" spans="1:43" ht="15.75" thickBot="1" x14ac:dyDescent="0.3">
      <c r="B305" s="170" t="s">
        <v>43</v>
      </c>
      <c r="C305" s="226" t="s">
        <v>26</v>
      </c>
      <c r="D305" s="227"/>
      <c r="E305" s="227"/>
      <c r="F305" s="227"/>
      <c r="G305" s="227"/>
      <c r="H305" s="227"/>
      <c r="I305" s="227"/>
      <c r="J305" s="228"/>
      <c r="K305" s="63"/>
      <c r="L305" s="125">
        <f t="shared" ref="L305:Q305" si="163">SUM(L297:L304)</f>
        <v>36074.030559999999</v>
      </c>
      <c r="M305" s="126">
        <f t="shared" si="163"/>
        <v>18732.715629180413</v>
      </c>
      <c r="N305" s="126">
        <f t="shared" si="163"/>
        <v>134392.32600000003</v>
      </c>
      <c r="O305" s="126">
        <f t="shared" si="163"/>
        <v>36074.030559999999</v>
      </c>
      <c r="P305" s="126">
        <f t="shared" si="163"/>
        <v>18732.715629180413</v>
      </c>
      <c r="Q305" s="127">
        <f t="shared" si="163"/>
        <v>134392.32600000003</v>
      </c>
      <c r="R305" s="58"/>
      <c r="S305" s="184">
        <f t="shared" ref="S305:AP305" si="164">SUM(S297:S304)</f>
        <v>0</v>
      </c>
      <c r="T305" s="185">
        <f t="shared" si="164"/>
        <v>0</v>
      </c>
      <c r="U305" s="185">
        <f t="shared" si="164"/>
        <v>0</v>
      </c>
      <c r="V305" s="185">
        <f t="shared" si="164"/>
        <v>0</v>
      </c>
      <c r="W305" s="185">
        <f t="shared" si="164"/>
        <v>0</v>
      </c>
      <c r="X305" s="185">
        <f t="shared" si="164"/>
        <v>0</v>
      </c>
      <c r="Y305" s="185">
        <f t="shared" si="164"/>
        <v>0</v>
      </c>
      <c r="Z305" s="185">
        <f t="shared" si="164"/>
        <v>0</v>
      </c>
      <c r="AA305" s="185">
        <f t="shared" si="164"/>
        <v>0</v>
      </c>
      <c r="AB305" s="185">
        <f t="shared" si="164"/>
        <v>0</v>
      </c>
      <c r="AC305" s="185">
        <f t="shared" si="164"/>
        <v>0</v>
      </c>
      <c r="AD305" s="186">
        <f t="shared" si="164"/>
        <v>0</v>
      </c>
      <c r="AE305" s="185">
        <f t="shared" si="164"/>
        <v>0</v>
      </c>
      <c r="AF305" s="185">
        <f t="shared" si="164"/>
        <v>0</v>
      </c>
      <c r="AG305" s="185">
        <f t="shared" si="164"/>
        <v>0</v>
      </c>
      <c r="AH305" s="185">
        <f t="shared" si="164"/>
        <v>0</v>
      </c>
      <c r="AI305" s="185">
        <f t="shared" si="164"/>
        <v>0</v>
      </c>
      <c r="AJ305" s="185">
        <f t="shared" si="164"/>
        <v>0</v>
      </c>
      <c r="AK305" s="185">
        <f t="shared" si="164"/>
        <v>0</v>
      </c>
      <c r="AL305" s="185">
        <f t="shared" si="164"/>
        <v>0</v>
      </c>
      <c r="AM305" s="185">
        <f t="shared" si="164"/>
        <v>0</v>
      </c>
      <c r="AN305" s="185">
        <f t="shared" si="164"/>
        <v>0</v>
      </c>
      <c r="AO305" s="185">
        <f t="shared" si="164"/>
        <v>0</v>
      </c>
      <c r="AP305" s="186">
        <f t="shared" si="164"/>
        <v>0</v>
      </c>
      <c r="AQ305" s="183"/>
    </row>
    <row r="306" spans="1:43" ht="15.75" thickTop="1" x14ac:dyDescent="0.25">
      <c r="C306" s="189"/>
      <c r="D306" s="190"/>
      <c r="E306" s="191"/>
      <c r="F306" s="192"/>
      <c r="G306" s="192"/>
      <c r="H306" s="107"/>
      <c r="I306" s="192"/>
      <c r="J306" s="192"/>
      <c r="K306" s="63"/>
      <c r="L306" s="107"/>
      <c r="M306" s="107"/>
      <c r="N306" s="107"/>
      <c r="O306" s="107"/>
      <c r="P306" s="107"/>
      <c r="Q306" s="107"/>
      <c r="R306" s="58"/>
      <c r="S306" s="192"/>
      <c r="T306" s="192"/>
      <c r="U306" s="192"/>
      <c r="V306" s="192"/>
      <c r="W306" s="192"/>
      <c r="X306" s="192"/>
      <c r="Y306" s="192"/>
      <c r="Z306" s="192"/>
      <c r="AA306" s="192"/>
      <c r="AB306" s="192"/>
      <c r="AC306" s="192"/>
      <c r="AD306" s="192"/>
      <c r="AE306" s="192"/>
      <c r="AF306" s="192"/>
      <c r="AG306" s="192"/>
      <c r="AH306" s="192"/>
      <c r="AI306" s="192"/>
      <c r="AJ306" s="192"/>
      <c r="AK306" s="192"/>
      <c r="AL306" s="192"/>
      <c r="AM306" s="192"/>
      <c r="AN306" s="192"/>
      <c r="AO306" s="192"/>
      <c r="AP306" s="192"/>
      <c r="AQ306" s="183"/>
    </row>
    <row r="307" spans="1:43" ht="15.75" thickBot="1" x14ac:dyDescent="0.3">
      <c r="C307" s="226" t="str">
        <f>"Total Incremental Plant Balance - "&amp;C291</f>
        <v>Total Incremental Plant Balance - West of Devers</v>
      </c>
      <c r="D307" s="227"/>
      <c r="E307" s="227"/>
      <c r="F307" s="227"/>
      <c r="G307" s="227"/>
      <c r="H307" s="227"/>
      <c r="I307" s="227"/>
      <c r="J307" s="228"/>
      <c r="K307" s="63"/>
      <c r="L307" s="125"/>
      <c r="M307" s="126"/>
      <c r="N307" s="126"/>
      <c r="O307" s="126"/>
      <c r="P307" s="126"/>
      <c r="Q307" s="127"/>
      <c r="R307" s="58"/>
      <c r="S307" s="184">
        <f>S305</f>
        <v>0</v>
      </c>
      <c r="T307" s="185">
        <f t="shared" ref="T307:AL307" si="165">T305+S307</f>
        <v>0</v>
      </c>
      <c r="U307" s="185">
        <f t="shared" si="165"/>
        <v>0</v>
      </c>
      <c r="V307" s="185">
        <f t="shared" si="165"/>
        <v>0</v>
      </c>
      <c r="W307" s="185">
        <f t="shared" si="165"/>
        <v>0</v>
      </c>
      <c r="X307" s="185">
        <f t="shared" si="165"/>
        <v>0</v>
      </c>
      <c r="Y307" s="185">
        <f t="shared" si="165"/>
        <v>0</v>
      </c>
      <c r="Z307" s="185">
        <f t="shared" si="165"/>
        <v>0</v>
      </c>
      <c r="AA307" s="185">
        <f t="shared" si="165"/>
        <v>0</v>
      </c>
      <c r="AB307" s="185">
        <f t="shared" si="165"/>
        <v>0</v>
      </c>
      <c r="AC307" s="185">
        <f t="shared" si="165"/>
        <v>0</v>
      </c>
      <c r="AD307" s="186">
        <f t="shared" si="165"/>
        <v>0</v>
      </c>
      <c r="AE307" s="185">
        <f>AE305+AD307</f>
        <v>0</v>
      </c>
      <c r="AF307" s="185">
        <f t="shared" si="165"/>
        <v>0</v>
      </c>
      <c r="AG307" s="185">
        <f t="shared" si="165"/>
        <v>0</v>
      </c>
      <c r="AH307" s="185">
        <f t="shared" si="165"/>
        <v>0</v>
      </c>
      <c r="AI307" s="185">
        <f t="shared" si="165"/>
        <v>0</v>
      </c>
      <c r="AJ307" s="185">
        <f t="shared" si="165"/>
        <v>0</v>
      </c>
      <c r="AK307" s="185">
        <f t="shared" si="165"/>
        <v>0</v>
      </c>
      <c r="AL307" s="185">
        <f t="shared" si="165"/>
        <v>0</v>
      </c>
      <c r="AM307" s="185">
        <f>AM305+AL307</f>
        <v>0</v>
      </c>
      <c r="AN307" s="185">
        <f>AN305+AM307</f>
        <v>0</v>
      </c>
      <c r="AO307" s="185">
        <f>AO305+AN307</f>
        <v>0</v>
      </c>
      <c r="AP307" s="185">
        <f>AP305+AO307</f>
        <v>0</v>
      </c>
      <c r="AQ307" s="196"/>
    </row>
    <row r="308" spans="1:43" ht="15.75" thickTop="1" x14ac:dyDescent="0.25">
      <c r="C308" s="67"/>
      <c r="D308" s="68"/>
      <c r="E308" s="67"/>
      <c r="F308" s="273"/>
      <c r="G308" s="273"/>
      <c r="H308" s="273"/>
      <c r="I308" s="273"/>
      <c r="J308" s="273"/>
      <c r="K308" s="63"/>
      <c r="L308" s="129"/>
      <c r="M308" s="129"/>
      <c r="N308" s="129"/>
      <c r="O308" s="129"/>
      <c r="P308" s="129"/>
      <c r="Q308" s="129"/>
      <c r="R308" s="58"/>
      <c r="S308" s="193"/>
      <c r="T308" s="193"/>
      <c r="U308" s="193"/>
      <c r="V308" s="193"/>
      <c r="W308" s="193"/>
      <c r="X308" s="193"/>
      <c r="Y308" s="193"/>
      <c r="Z308" s="193"/>
      <c r="AA308" s="193"/>
      <c r="AB308" s="193"/>
      <c r="AC308" s="193"/>
      <c r="AD308" s="193"/>
      <c r="AE308" s="193"/>
      <c r="AF308" s="193"/>
      <c r="AG308" s="193"/>
      <c r="AH308" s="193"/>
      <c r="AI308" s="193"/>
      <c r="AJ308" s="193"/>
      <c r="AK308" s="193"/>
      <c r="AL308" s="193"/>
      <c r="AM308" s="193"/>
      <c r="AN308" s="193"/>
      <c r="AO308" s="193"/>
      <c r="AP308" s="193"/>
      <c r="AQ308" s="183"/>
    </row>
    <row r="309" spans="1:43" x14ac:dyDescent="0.25">
      <c r="C309" s="189"/>
      <c r="D309" s="190"/>
      <c r="E309" s="191"/>
      <c r="F309" s="192"/>
      <c r="G309" s="192"/>
      <c r="H309" s="107"/>
      <c r="I309" s="192"/>
      <c r="J309" s="192"/>
      <c r="K309" s="63"/>
      <c r="L309" s="107"/>
      <c r="M309" s="107"/>
      <c r="N309" s="107"/>
      <c r="O309" s="107"/>
      <c r="P309" s="107"/>
      <c r="Q309" s="107"/>
      <c r="R309" s="58"/>
      <c r="S309" s="192"/>
      <c r="T309" s="192"/>
      <c r="U309" s="192"/>
      <c r="V309" s="192"/>
      <c r="W309" s="192"/>
      <c r="X309" s="192"/>
      <c r="Y309" s="192"/>
      <c r="Z309" s="192"/>
      <c r="AA309" s="192"/>
      <c r="AB309" s="192"/>
      <c r="AC309" s="192"/>
      <c r="AD309" s="192"/>
      <c r="AE309" s="192"/>
      <c r="AF309" s="192"/>
      <c r="AG309" s="192"/>
      <c r="AH309" s="192"/>
      <c r="AI309" s="192"/>
      <c r="AJ309" s="192"/>
      <c r="AK309" s="192"/>
      <c r="AL309" s="192"/>
      <c r="AM309" s="192"/>
      <c r="AN309" s="192"/>
      <c r="AO309" s="192"/>
      <c r="AP309" s="192"/>
      <c r="AQ309" s="183"/>
    </row>
    <row r="310" spans="1:43" x14ac:dyDescent="0.25">
      <c r="C310" s="176" t="s">
        <v>34</v>
      </c>
      <c r="K310" s="63"/>
      <c r="L310" s="121"/>
      <c r="M310" s="121"/>
      <c r="N310" s="121"/>
      <c r="O310" s="121"/>
      <c r="P310" s="121"/>
      <c r="Q310" s="121"/>
      <c r="R310" s="58"/>
      <c r="AQ310" s="183"/>
    </row>
    <row r="311" spans="1:43" x14ac:dyDescent="0.25">
      <c r="C311" s="173" t="s">
        <v>35</v>
      </c>
      <c r="K311" s="63"/>
      <c r="R311" s="58"/>
      <c r="AQ311" s="183"/>
    </row>
    <row r="312" spans="1:43" ht="15.75" thickBot="1" x14ac:dyDescent="0.3">
      <c r="K312" s="63"/>
      <c r="R312" s="58"/>
      <c r="AQ312" s="183"/>
    </row>
    <row r="313" spans="1:43" ht="30.75" thickBot="1" x14ac:dyDescent="0.3">
      <c r="C313" s="51" t="s">
        <v>15</v>
      </c>
      <c r="D313" s="52" t="s">
        <v>16</v>
      </c>
      <c r="E313" s="53" t="s">
        <v>17</v>
      </c>
      <c r="F313" s="54" t="s">
        <v>18</v>
      </c>
      <c r="G313" s="45" t="s">
        <v>19</v>
      </c>
      <c r="H313" s="45" t="s">
        <v>20</v>
      </c>
      <c r="I313" s="45" t="s">
        <v>21</v>
      </c>
      <c r="J313" s="46" t="s">
        <v>22</v>
      </c>
      <c r="K313" s="63"/>
      <c r="L313" s="44" t="str">
        <f t="shared" ref="L313:Q313" si="166">L$11</f>
        <v>2014 CWIP</v>
      </c>
      <c r="M313" s="45" t="str">
        <f t="shared" si="166"/>
        <v>2015 Total Expenditures</v>
      </c>
      <c r="N313" s="45" t="str">
        <f t="shared" si="166"/>
        <v>2016 Total Expenditures</v>
      </c>
      <c r="O313" s="45" t="str">
        <f t="shared" si="166"/>
        <v>2014 ISO CWIP Less Collectible</v>
      </c>
      <c r="P313" s="45" t="str">
        <f t="shared" si="166"/>
        <v>2015 ISO Expenditures Less Collectible</v>
      </c>
      <c r="Q313" s="46" t="str">
        <f t="shared" si="166"/>
        <v>2016 ISO Expenditures Less Collectible</v>
      </c>
      <c r="R313" s="58"/>
      <c r="S313" s="204">
        <f>$D$3</f>
        <v>42005</v>
      </c>
      <c r="T313" s="84">
        <f t="shared" ref="T313:AL313" si="167">DATE(YEAR(S313),MONTH(S313)+1,DAY(S313))</f>
        <v>42036</v>
      </c>
      <c r="U313" s="84">
        <f t="shared" si="167"/>
        <v>42064</v>
      </c>
      <c r="V313" s="84">
        <f t="shared" si="167"/>
        <v>42095</v>
      </c>
      <c r="W313" s="84">
        <f t="shared" si="167"/>
        <v>42125</v>
      </c>
      <c r="X313" s="84">
        <f t="shared" si="167"/>
        <v>42156</v>
      </c>
      <c r="Y313" s="84">
        <f t="shared" si="167"/>
        <v>42186</v>
      </c>
      <c r="Z313" s="84">
        <f t="shared" si="167"/>
        <v>42217</v>
      </c>
      <c r="AA313" s="84">
        <f t="shared" si="167"/>
        <v>42248</v>
      </c>
      <c r="AB313" s="84">
        <f t="shared" si="167"/>
        <v>42278</v>
      </c>
      <c r="AC313" s="84">
        <f t="shared" si="167"/>
        <v>42309</v>
      </c>
      <c r="AD313" s="205">
        <f t="shared" si="167"/>
        <v>42339</v>
      </c>
      <c r="AE313" s="84">
        <f>DATE(YEAR(AD313),MONTH(AD313)+1,DAY(AD313))</f>
        <v>42370</v>
      </c>
      <c r="AF313" s="84">
        <f t="shared" si="167"/>
        <v>42401</v>
      </c>
      <c r="AG313" s="84">
        <f t="shared" si="167"/>
        <v>42430</v>
      </c>
      <c r="AH313" s="84">
        <f t="shared" si="167"/>
        <v>42461</v>
      </c>
      <c r="AI313" s="84">
        <f t="shared" si="167"/>
        <v>42491</v>
      </c>
      <c r="AJ313" s="84">
        <f t="shared" si="167"/>
        <v>42522</v>
      </c>
      <c r="AK313" s="84">
        <f t="shared" si="167"/>
        <v>42552</v>
      </c>
      <c r="AL313" s="84">
        <f t="shared" si="167"/>
        <v>42583</v>
      </c>
      <c r="AM313" s="84">
        <f>DATE(YEAR(AL313),MONTH(AL313)+1,DAY(AL313))</f>
        <v>42614</v>
      </c>
      <c r="AN313" s="84">
        <f>DATE(YEAR(AM313),MONTH(AM313)+1,DAY(AM313))</f>
        <v>42644</v>
      </c>
      <c r="AO313" s="84">
        <f>DATE(YEAR(AN313),MONTH(AN313)+1,DAY(AN313))</f>
        <v>42675</v>
      </c>
      <c r="AP313" s="84">
        <f>DATE(YEAR(AO313),MONTH(AO313)+1,DAY(AO313))</f>
        <v>42705</v>
      </c>
      <c r="AQ313" s="196"/>
    </row>
    <row r="314" spans="1:43" x14ac:dyDescent="0.25">
      <c r="A314" s="169" t="str">
        <f>+$C$291</f>
        <v>West of Devers</v>
      </c>
      <c r="B314" s="179" t="s">
        <v>36</v>
      </c>
      <c r="C314" s="294" t="str">
        <f t="shared" ref="C314:J315" si="168">C297</f>
        <v>CET-ET-TP-RN-642001</v>
      </c>
      <c r="D314" s="295" t="str">
        <f t="shared" si="168"/>
        <v>Pre-Engineering (Morongo Transmission Relocation Project)</v>
      </c>
      <c r="E314" s="58" t="str">
        <f t="shared" si="168"/>
        <v>6420</v>
      </c>
      <c r="F314" s="60" t="str">
        <f t="shared" si="168"/>
        <v>High</v>
      </c>
      <c r="G314" s="59">
        <f t="shared" si="168"/>
        <v>43830</v>
      </c>
      <c r="H314" s="60" t="str">
        <f t="shared" si="168"/>
        <v>TR-LINEINC</v>
      </c>
      <c r="I314" s="61">
        <f t="shared" si="168"/>
        <v>0</v>
      </c>
      <c r="J314" s="62">
        <f t="shared" si="168"/>
        <v>1</v>
      </c>
      <c r="K314" s="63"/>
      <c r="L314" s="234">
        <f t="shared" ref="L314:N315" si="169">L297</f>
        <v>36020.820789999998</v>
      </c>
      <c r="M314" s="64">
        <f t="shared" si="169"/>
        <v>9178.5354591804135</v>
      </c>
      <c r="N314" s="64">
        <f t="shared" si="169"/>
        <v>29191.506000000019</v>
      </c>
      <c r="O314" s="64">
        <f>$L314*$J314*(1-$I314)</f>
        <v>36020.820789999998</v>
      </c>
      <c r="P314" s="64">
        <f>$M314*$J314*(1-$I314)</f>
        <v>9178.5354591804135</v>
      </c>
      <c r="Q314" s="65">
        <f>$N314*$J314*(1-$I314)</f>
        <v>29191.506000000019</v>
      </c>
      <c r="R314" s="59"/>
      <c r="S314" s="206">
        <v>320.35619000000003</v>
      </c>
      <c r="T314" s="207">
        <v>798.26500999999996</v>
      </c>
      <c r="U314" s="207">
        <v>853.42274999999995</v>
      </c>
      <c r="V314" s="207">
        <v>806.79654281838555</v>
      </c>
      <c r="W314" s="207">
        <v>1090.7824086444027</v>
      </c>
      <c r="X314" s="207">
        <v>956.26839914440279</v>
      </c>
      <c r="Y314" s="207">
        <v>831.55738519440274</v>
      </c>
      <c r="Z314" s="207">
        <v>777.29417219440279</v>
      </c>
      <c r="AA314" s="207">
        <v>732.92380409440284</v>
      </c>
      <c r="AB314" s="207">
        <v>725.00533879440275</v>
      </c>
      <c r="AC314" s="207">
        <v>676.50037489440285</v>
      </c>
      <c r="AD314" s="207">
        <v>609.36308340120991</v>
      </c>
      <c r="AE314" s="207">
        <v>22450.88016666667</v>
      </c>
      <c r="AF314" s="207">
        <v>612.78416666666658</v>
      </c>
      <c r="AG314" s="207">
        <v>612.78416666666658</v>
      </c>
      <c r="AH314" s="207">
        <v>612.78416666666658</v>
      </c>
      <c r="AI314" s="207">
        <v>612.78416666666658</v>
      </c>
      <c r="AJ314" s="207">
        <v>612.78416666666658</v>
      </c>
      <c r="AK314" s="207">
        <v>612.78416666666658</v>
      </c>
      <c r="AL314" s="207">
        <v>612.78416666666658</v>
      </c>
      <c r="AM314" s="207">
        <v>612.78416666666658</v>
      </c>
      <c r="AN314" s="207">
        <v>612.78416666666658</v>
      </c>
      <c r="AO314" s="207">
        <v>612.78416666666658</v>
      </c>
      <c r="AP314" s="197">
        <v>612.78416666666658</v>
      </c>
      <c r="AQ314" s="183"/>
    </row>
    <row r="315" spans="1:43" x14ac:dyDescent="0.25">
      <c r="A315" s="169" t="str">
        <f>+$C$291</f>
        <v>West of Devers</v>
      </c>
      <c r="B315" s="179" t="s">
        <v>36</v>
      </c>
      <c r="C315" s="56" t="str">
        <f t="shared" si="168"/>
        <v>CET-ET-TP-RN-642012</v>
      </c>
      <c r="D315" s="66" t="str">
        <f t="shared" si="168"/>
        <v>Devers Sub: Install 220kV CBs &amp; DSs</v>
      </c>
      <c r="E315" s="58" t="str">
        <f t="shared" si="168"/>
        <v>6420</v>
      </c>
      <c r="F315" s="60" t="str">
        <f t="shared" si="168"/>
        <v>High</v>
      </c>
      <c r="G315" s="59">
        <f t="shared" si="168"/>
        <v>43830</v>
      </c>
      <c r="H315" s="60" t="str">
        <f t="shared" si="168"/>
        <v>TR-SUBINC</v>
      </c>
      <c r="I315" s="61">
        <f t="shared" si="168"/>
        <v>0</v>
      </c>
      <c r="J315" s="62">
        <f t="shared" si="168"/>
        <v>1</v>
      </c>
      <c r="K315" s="63"/>
      <c r="L315" s="234">
        <f t="shared" si="169"/>
        <v>0</v>
      </c>
      <c r="M315" s="64">
        <f t="shared" si="169"/>
        <v>0.40762999999999999</v>
      </c>
      <c r="N315" s="64">
        <f t="shared" si="169"/>
        <v>405.79999999999995</v>
      </c>
      <c r="O315" s="64">
        <f>$L315*$J315*(1-$I315)</f>
        <v>0</v>
      </c>
      <c r="P315" s="64">
        <f>$M315*$J315*(1-$I315)</f>
        <v>0.40762999999999999</v>
      </c>
      <c r="Q315" s="65">
        <f>$N315*$J315*(1-$I315)</f>
        <v>405.79999999999995</v>
      </c>
      <c r="R315" s="59"/>
      <c r="S315" s="180">
        <v>0</v>
      </c>
      <c r="T315" s="181">
        <v>0</v>
      </c>
      <c r="U315" s="181">
        <v>0.40762999999999999</v>
      </c>
      <c r="V315" s="181">
        <v>0</v>
      </c>
      <c r="W315" s="181">
        <v>0</v>
      </c>
      <c r="X315" s="181">
        <v>0</v>
      </c>
      <c r="Y315" s="181">
        <v>0</v>
      </c>
      <c r="Z315" s="181">
        <v>0</v>
      </c>
      <c r="AA315" s="181">
        <v>0</v>
      </c>
      <c r="AB315" s="181">
        <v>0</v>
      </c>
      <c r="AC315" s="181">
        <v>0</v>
      </c>
      <c r="AD315" s="181">
        <v>0</v>
      </c>
      <c r="AE315" s="181">
        <v>33.816666666666663</v>
      </c>
      <c r="AF315" s="181">
        <v>33.816666666666663</v>
      </c>
      <c r="AG315" s="181">
        <v>33.816666666666663</v>
      </c>
      <c r="AH315" s="181">
        <v>33.816666666666663</v>
      </c>
      <c r="AI315" s="181">
        <v>33.816666666666663</v>
      </c>
      <c r="AJ315" s="181">
        <v>33.816666666666663</v>
      </c>
      <c r="AK315" s="181">
        <v>33.816666666666663</v>
      </c>
      <c r="AL315" s="181">
        <v>33.816666666666663</v>
      </c>
      <c r="AM315" s="181">
        <v>33.816666666666663</v>
      </c>
      <c r="AN315" s="181">
        <v>33.816666666666663</v>
      </c>
      <c r="AO315" s="181">
        <v>33.816666666666663</v>
      </c>
      <c r="AP315" s="182">
        <v>33.816666666666663</v>
      </c>
      <c r="AQ315" s="183"/>
    </row>
    <row r="316" spans="1:43" x14ac:dyDescent="0.25">
      <c r="A316" s="169" t="str">
        <f t="shared" ref="A316:A320" si="170">+$C$291</f>
        <v>West of Devers</v>
      </c>
      <c r="B316" s="179" t="s">
        <v>36</v>
      </c>
      <c r="C316" s="56" t="str">
        <f t="shared" ref="C316:J316" si="171">C299</f>
        <v>CET-ET-TP-RN-642013</v>
      </c>
      <c r="D316" s="66" t="str">
        <f t="shared" si="171"/>
        <v>El Casco Sub: Install 220kV Termnal Equipment</v>
      </c>
      <c r="E316" s="58" t="str">
        <f t="shared" si="171"/>
        <v>6420</v>
      </c>
      <c r="F316" s="60" t="str">
        <f t="shared" si="171"/>
        <v>High</v>
      </c>
      <c r="G316" s="59">
        <f t="shared" si="171"/>
        <v>43830</v>
      </c>
      <c r="H316" s="60" t="str">
        <f t="shared" si="171"/>
        <v>TR-SUBINC</v>
      </c>
      <c r="I316" s="61">
        <f t="shared" si="171"/>
        <v>0</v>
      </c>
      <c r="J316" s="62">
        <f t="shared" si="171"/>
        <v>1</v>
      </c>
      <c r="K316" s="63"/>
      <c r="L316" s="234">
        <f t="shared" ref="L316:N316" si="172">L299</f>
        <v>0</v>
      </c>
      <c r="M316" s="64">
        <f t="shared" si="172"/>
        <v>0</v>
      </c>
      <c r="N316" s="64">
        <f t="shared" si="172"/>
        <v>459.40000000000015</v>
      </c>
      <c r="O316" s="64">
        <f t="shared" ref="O316:O321" si="173">$L316*$J316*(1-$I316)</f>
        <v>0</v>
      </c>
      <c r="P316" s="64">
        <f t="shared" ref="P316:P321" si="174">$M316*$J316*(1-$I316)</f>
        <v>0</v>
      </c>
      <c r="Q316" s="65">
        <f t="shared" ref="Q316:Q321" si="175">$N316*$J316*(1-$I316)</f>
        <v>459.40000000000015</v>
      </c>
      <c r="R316" s="59"/>
      <c r="S316" s="180">
        <v>0</v>
      </c>
      <c r="T316" s="181">
        <v>0</v>
      </c>
      <c r="U316" s="181">
        <v>0</v>
      </c>
      <c r="V316" s="181">
        <v>0</v>
      </c>
      <c r="W316" s="181">
        <v>0</v>
      </c>
      <c r="X316" s="181">
        <v>0</v>
      </c>
      <c r="Y316" s="181">
        <v>0</v>
      </c>
      <c r="Z316" s="181">
        <v>0</v>
      </c>
      <c r="AA316" s="181">
        <v>0</v>
      </c>
      <c r="AB316" s="181">
        <v>0</v>
      </c>
      <c r="AC316" s="181">
        <v>0</v>
      </c>
      <c r="AD316" s="181">
        <v>0</v>
      </c>
      <c r="AE316" s="181">
        <v>38.283333333333339</v>
      </c>
      <c r="AF316" s="181">
        <v>38.283333333333339</v>
      </c>
      <c r="AG316" s="181">
        <v>38.283333333333339</v>
      </c>
      <c r="AH316" s="181">
        <v>38.283333333333339</v>
      </c>
      <c r="AI316" s="181">
        <v>38.283333333333339</v>
      </c>
      <c r="AJ316" s="181">
        <v>38.283333333333339</v>
      </c>
      <c r="AK316" s="181">
        <v>38.283333333333339</v>
      </c>
      <c r="AL316" s="181">
        <v>38.283333333333339</v>
      </c>
      <c r="AM316" s="181">
        <v>38.283333333333339</v>
      </c>
      <c r="AN316" s="181">
        <v>38.283333333333339</v>
      </c>
      <c r="AO316" s="181">
        <v>38.283333333333339</v>
      </c>
      <c r="AP316" s="182">
        <v>38.283333333333339</v>
      </c>
      <c r="AQ316" s="183"/>
    </row>
    <row r="317" spans="1:43" x14ac:dyDescent="0.25">
      <c r="A317" s="169" t="str">
        <f t="shared" si="170"/>
        <v>West of Devers</v>
      </c>
      <c r="B317" s="179" t="s">
        <v>36</v>
      </c>
      <c r="C317" s="56" t="str">
        <f t="shared" ref="C317:J317" si="176">C300</f>
        <v>CET-ET-TP-RN-642014</v>
      </c>
      <c r="D317" s="66" t="str">
        <f t="shared" si="176"/>
        <v>Etiwanda Sub: Install 220kV Relay Equipment</v>
      </c>
      <c r="E317" s="58" t="str">
        <f t="shared" si="176"/>
        <v>6420</v>
      </c>
      <c r="F317" s="60" t="str">
        <f t="shared" si="176"/>
        <v>High</v>
      </c>
      <c r="G317" s="59">
        <f t="shared" si="176"/>
        <v>43830</v>
      </c>
      <c r="H317" s="60" t="str">
        <f t="shared" si="176"/>
        <v>TR-SUBINC</v>
      </c>
      <c r="I317" s="61">
        <f t="shared" si="176"/>
        <v>0</v>
      </c>
      <c r="J317" s="62">
        <f t="shared" si="176"/>
        <v>1</v>
      </c>
      <c r="K317" s="63"/>
      <c r="L317" s="234">
        <f t="shared" ref="L317:N317" si="177">L300</f>
        <v>0</v>
      </c>
      <c r="M317" s="64">
        <f t="shared" si="177"/>
        <v>0</v>
      </c>
      <c r="N317" s="64">
        <f t="shared" si="177"/>
        <v>10.399999999999999</v>
      </c>
      <c r="O317" s="64">
        <f t="shared" si="173"/>
        <v>0</v>
      </c>
      <c r="P317" s="64">
        <f t="shared" si="174"/>
        <v>0</v>
      </c>
      <c r="Q317" s="65">
        <f t="shared" si="175"/>
        <v>10.399999999999999</v>
      </c>
      <c r="R317" s="59"/>
      <c r="S317" s="180">
        <v>0</v>
      </c>
      <c r="T317" s="181">
        <v>0</v>
      </c>
      <c r="U317" s="181">
        <v>0</v>
      </c>
      <c r="V317" s="181">
        <v>0</v>
      </c>
      <c r="W317" s="181">
        <v>0</v>
      </c>
      <c r="X317" s="181">
        <v>0</v>
      </c>
      <c r="Y317" s="181">
        <v>0</v>
      </c>
      <c r="Z317" s="181">
        <v>0</v>
      </c>
      <c r="AA317" s="181">
        <v>0</v>
      </c>
      <c r="AB317" s="181">
        <v>0</v>
      </c>
      <c r="AC317" s="181">
        <v>0</v>
      </c>
      <c r="AD317" s="181">
        <v>0</v>
      </c>
      <c r="AE317" s="181">
        <v>0.86666666666666659</v>
      </c>
      <c r="AF317" s="181">
        <v>0.86666666666666659</v>
      </c>
      <c r="AG317" s="181">
        <v>0.86666666666666659</v>
      </c>
      <c r="AH317" s="181">
        <v>0.86666666666666659</v>
      </c>
      <c r="AI317" s="181">
        <v>0.86666666666666659</v>
      </c>
      <c r="AJ317" s="181">
        <v>0.86666666666666659</v>
      </c>
      <c r="AK317" s="181">
        <v>0.86666666666666659</v>
      </c>
      <c r="AL317" s="181">
        <v>0.86666666666666659</v>
      </c>
      <c r="AM317" s="181">
        <v>0.86666666666666659</v>
      </c>
      <c r="AN317" s="181">
        <v>0.86666666666666659</v>
      </c>
      <c r="AO317" s="181">
        <v>0.86666666666666659</v>
      </c>
      <c r="AP317" s="182">
        <v>0.86666666666666659</v>
      </c>
      <c r="AQ317" s="183"/>
    </row>
    <row r="318" spans="1:43" x14ac:dyDescent="0.25">
      <c r="A318" s="169" t="str">
        <f t="shared" si="170"/>
        <v>West of Devers</v>
      </c>
      <c r="B318" s="179" t="s">
        <v>36</v>
      </c>
      <c r="C318" s="56" t="str">
        <f t="shared" ref="C318:J318" si="178">C301</f>
        <v>CET-ET-TP-RN-642015</v>
      </c>
      <c r="D318" s="66" t="str">
        <f t="shared" si="178"/>
        <v>San Bernardino : Install Disconnects</v>
      </c>
      <c r="E318" s="58" t="str">
        <f t="shared" si="178"/>
        <v>6420</v>
      </c>
      <c r="F318" s="60" t="str">
        <f t="shared" si="178"/>
        <v>High</v>
      </c>
      <c r="G318" s="59">
        <f t="shared" si="178"/>
        <v>43830</v>
      </c>
      <c r="H318" s="60" t="str">
        <f t="shared" si="178"/>
        <v>TR-SUBINC</v>
      </c>
      <c r="I318" s="61">
        <f t="shared" si="178"/>
        <v>0</v>
      </c>
      <c r="J318" s="62">
        <f t="shared" si="178"/>
        <v>1</v>
      </c>
      <c r="K318" s="63"/>
      <c r="L318" s="234">
        <f t="shared" ref="L318:N318" si="179">L301</f>
        <v>0</v>
      </c>
      <c r="M318" s="64">
        <f t="shared" si="179"/>
        <v>0</v>
      </c>
      <c r="N318" s="64">
        <f t="shared" si="179"/>
        <v>729.59999999999991</v>
      </c>
      <c r="O318" s="64">
        <f t="shared" si="173"/>
        <v>0</v>
      </c>
      <c r="P318" s="64">
        <f t="shared" si="174"/>
        <v>0</v>
      </c>
      <c r="Q318" s="65">
        <f t="shared" si="175"/>
        <v>729.59999999999991</v>
      </c>
      <c r="R318" s="59"/>
      <c r="S318" s="180">
        <v>0</v>
      </c>
      <c r="T318" s="181">
        <v>0</v>
      </c>
      <c r="U318" s="181">
        <v>0</v>
      </c>
      <c r="V318" s="181">
        <v>0</v>
      </c>
      <c r="W318" s="181">
        <v>0</v>
      </c>
      <c r="X318" s="181">
        <v>0</v>
      </c>
      <c r="Y318" s="181">
        <v>0</v>
      </c>
      <c r="Z318" s="181">
        <v>0</v>
      </c>
      <c r="AA318" s="181">
        <v>0</v>
      </c>
      <c r="AB318" s="181">
        <v>0</v>
      </c>
      <c r="AC318" s="181">
        <v>0</v>
      </c>
      <c r="AD318" s="181">
        <v>0</v>
      </c>
      <c r="AE318" s="181">
        <v>60.8</v>
      </c>
      <c r="AF318" s="181">
        <v>60.8</v>
      </c>
      <c r="AG318" s="181">
        <v>60.8</v>
      </c>
      <c r="AH318" s="181">
        <v>60.8</v>
      </c>
      <c r="AI318" s="181">
        <v>60.8</v>
      </c>
      <c r="AJ318" s="181">
        <v>60.8</v>
      </c>
      <c r="AK318" s="181">
        <v>60.8</v>
      </c>
      <c r="AL318" s="181">
        <v>60.8</v>
      </c>
      <c r="AM318" s="181">
        <v>60.8</v>
      </c>
      <c r="AN318" s="181">
        <v>60.8</v>
      </c>
      <c r="AO318" s="181">
        <v>60.8</v>
      </c>
      <c r="AP318" s="182">
        <v>60.8</v>
      </c>
      <c r="AQ318" s="183"/>
    </row>
    <row r="319" spans="1:43" x14ac:dyDescent="0.25">
      <c r="A319" s="169" t="str">
        <f t="shared" si="170"/>
        <v>West of Devers</v>
      </c>
      <c r="B319" s="179" t="s">
        <v>36</v>
      </c>
      <c r="C319" s="56" t="str">
        <f t="shared" ref="C319:J319" si="180">C302</f>
        <v>CET-ET-TP-RN-642017</v>
      </c>
      <c r="D319" s="66" t="str">
        <f t="shared" si="180"/>
        <v>Rebuild Devers-El Casco &amp; El Casco-San Bernandino 220kV</v>
      </c>
      <c r="E319" s="58" t="str">
        <f t="shared" si="180"/>
        <v>6420</v>
      </c>
      <c r="F319" s="60" t="str">
        <f t="shared" si="180"/>
        <v>High</v>
      </c>
      <c r="G319" s="59">
        <f t="shared" si="180"/>
        <v>43830</v>
      </c>
      <c r="H319" s="60" t="str">
        <f t="shared" si="180"/>
        <v>TR-LINEINC</v>
      </c>
      <c r="I319" s="61">
        <f t="shared" si="180"/>
        <v>0</v>
      </c>
      <c r="J319" s="62">
        <f t="shared" si="180"/>
        <v>1</v>
      </c>
      <c r="K319" s="63"/>
      <c r="L319" s="234">
        <f t="shared" ref="L319:N319" si="181">L302</f>
        <v>0</v>
      </c>
      <c r="M319" s="64">
        <f t="shared" si="181"/>
        <v>3294.5050000000001</v>
      </c>
      <c r="N319" s="64">
        <f t="shared" si="181"/>
        <v>86772.59</v>
      </c>
      <c r="O319" s="64">
        <f t="shared" si="173"/>
        <v>0</v>
      </c>
      <c r="P319" s="64">
        <f t="shared" si="174"/>
        <v>3294.5050000000001</v>
      </c>
      <c r="Q319" s="65">
        <f t="shared" si="175"/>
        <v>86772.59</v>
      </c>
      <c r="R319" s="59"/>
      <c r="S319" s="180">
        <v>0</v>
      </c>
      <c r="T319" s="181">
        <v>0</v>
      </c>
      <c r="U319" s="181">
        <v>0</v>
      </c>
      <c r="V319" s="181">
        <v>2585.665</v>
      </c>
      <c r="W319" s="181">
        <v>85.665000000000006</v>
      </c>
      <c r="X319" s="181">
        <v>85.665000000000006</v>
      </c>
      <c r="Y319" s="181">
        <v>89.584999999999994</v>
      </c>
      <c r="Z319" s="181">
        <v>89.584999999999994</v>
      </c>
      <c r="AA319" s="181">
        <v>89.584999999999994</v>
      </c>
      <c r="AB319" s="181">
        <v>89.584999999999994</v>
      </c>
      <c r="AC319" s="181">
        <v>89.584999999999994</v>
      </c>
      <c r="AD319" s="181">
        <v>89.584999999999994</v>
      </c>
      <c r="AE319" s="181">
        <v>388.25900000000001</v>
      </c>
      <c r="AF319" s="181">
        <v>388.25900000000001</v>
      </c>
      <c r="AG319" s="181">
        <v>638.25900000000001</v>
      </c>
      <c r="AH319" s="181">
        <v>638.25900000000001</v>
      </c>
      <c r="AI319" s="181">
        <v>388.25900000000001</v>
      </c>
      <c r="AJ319" s="181">
        <v>11878.259</v>
      </c>
      <c r="AK319" s="181">
        <v>12078.259</v>
      </c>
      <c r="AL319" s="181">
        <v>12078.259</v>
      </c>
      <c r="AM319" s="181">
        <v>12078.259</v>
      </c>
      <c r="AN319" s="181">
        <v>12078.259</v>
      </c>
      <c r="AO319" s="181">
        <v>12070</v>
      </c>
      <c r="AP319" s="182">
        <v>12070</v>
      </c>
      <c r="AQ319" s="183"/>
    </row>
    <row r="320" spans="1:43" x14ac:dyDescent="0.25">
      <c r="A320" s="169" t="str">
        <f t="shared" si="170"/>
        <v>West of Devers</v>
      </c>
      <c r="B320" s="179" t="s">
        <v>36</v>
      </c>
      <c r="C320" s="56" t="str">
        <f t="shared" ref="C320:J320" si="182">C303</f>
        <v>CET-ET-TP-RN-642016</v>
      </c>
      <c r="D320" s="66" t="str">
        <f t="shared" si="182"/>
        <v>Vista Sub: Install Disconnects</v>
      </c>
      <c r="E320" s="58" t="str">
        <f t="shared" si="182"/>
        <v>6420</v>
      </c>
      <c r="F320" s="60" t="str">
        <f t="shared" si="182"/>
        <v>High</v>
      </c>
      <c r="G320" s="59">
        <f t="shared" si="182"/>
        <v>43830</v>
      </c>
      <c r="H320" s="60" t="str">
        <f t="shared" si="182"/>
        <v>TR-SUBINC</v>
      </c>
      <c r="I320" s="61">
        <f t="shared" si="182"/>
        <v>0</v>
      </c>
      <c r="J320" s="62">
        <f t="shared" si="182"/>
        <v>1</v>
      </c>
      <c r="K320" s="63"/>
      <c r="L320" s="234">
        <f t="shared" ref="L320:N320" si="183">L303</f>
        <v>0</v>
      </c>
      <c r="M320" s="64">
        <f t="shared" si="183"/>
        <v>0</v>
      </c>
      <c r="N320" s="64">
        <f t="shared" si="183"/>
        <v>436.59999999999997</v>
      </c>
      <c r="O320" s="64">
        <f t="shared" si="173"/>
        <v>0</v>
      </c>
      <c r="P320" s="64">
        <f t="shared" si="174"/>
        <v>0</v>
      </c>
      <c r="Q320" s="65">
        <f t="shared" si="175"/>
        <v>436.59999999999997</v>
      </c>
      <c r="R320" s="59"/>
      <c r="S320" s="180">
        <v>0</v>
      </c>
      <c r="T320" s="181">
        <v>0</v>
      </c>
      <c r="U320" s="181">
        <v>0</v>
      </c>
      <c r="V320" s="181">
        <v>0</v>
      </c>
      <c r="W320" s="181">
        <v>0</v>
      </c>
      <c r="X320" s="181">
        <v>0</v>
      </c>
      <c r="Y320" s="181">
        <v>0</v>
      </c>
      <c r="Z320" s="181">
        <v>0</v>
      </c>
      <c r="AA320" s="181">
        <v>0</v>
      </c>
      <c r="AB320" s="181">
        <v>0</v>
      </c>
      <c r="AC320" s="181">
        <v>0</v>
      </c>
      <c r="AD320" s="181">
        <v>0</v>
      </c>
      <c r="AE320" s="181">
        <v>36.383333333333333</v>
      </c>
      <c r="AF320" s="181">
        <v>36.383333333333333</v>
      </c>
      <c r="AG320" s="181">
        <v>36.383333333333333</v>
      </c>
      <c r="AH320" s="181">
        <v>36.383333333333333</v>
      </c>
      <c r="AI320" s="181">
        <v>36.383333333333333</v>
      </c>
      <c r="AJ320" s="181">
        <v>36.383333333333333</v>
      </c>
      <c r="AK320" s="181">
        <v>36.383333333333333</v>
      </c>
      <c r="AL320" s="181">
        <v>36.383333333333333</v>
      </c>
      <c r="AM320" s="181">
        <v>36.383333333333333</v>
      </c>
      <c r="AN320" s="181">
        <v>36.383333333333333</v>
      </c>
      <c r="AO320" s="181">
        <v>36.383333333333333</v>
      </c>
      <c r="AP320" s="182">
        <v>36.383333333333333</v>
      </c>
      <c r="AQ320" s="183"/>
    </row>
    <row r="321" spans="1:43" ht="15.75" thickBot="1" x14ac:dyDescent="0.3">
      <c r="A321" s="169" t="str">
        <f>+$C$291</f>
        <v>West of Devers</v>
      </c>
      <c r="B321" s="179" t="s">
        <v>36</v>
      </c>
      <c r="C321" s="56" t="str">
        <f t="shared" ref="C321:J321" si="184">C304</f>
        <v>CET-RP-TP-RN-642000</v>
      </c>
      <c r="D321" s="66" t="str">
        <f t="shared" si="184"/>
        <v>ACQ: West of Devers</v>
      </c>
      <c r="E321" s="58" t="str">
        <f t="shared" si="184"/>
        <v>6420</v>
      </c>
      <c r="F321" s="60" t="str">
        <f t="shared" si="184"/>
        <v>High</v>
      </c>
      <c r="G321" s="59">
        <f t="shared" si="184"/>
        <v>43830</v>
      </c>
      <c r="H321" s="60" t="str">
        <f t="shared" si="184"/>
        <v>TR-LINEINC</v>
      </c>
      <c r="I321" s="61">
        <f t="shared" si="184"/>
        <v>0</v>
      </c>
      <c r="J321" s="62">
        <f t="shared" si="184"/>
        <v>1</v>
      </c>
      <c r="K321" s="63"/>
      <c r="L321" s="234">
        <f t="shared" ref="L321:N321" si="185">L304</f>
        <v>53.209769999999999</v>
      </c>
      <c r="M321" s="64">
        <f t="shared" si="185"/>
        <v>6259.2675399999998</v>
      </c>
      <c r="N321" s="64">
        <f t="shared" si="185"/>
        <v>16386.43</v>
      </c>
      <c r="O321" s="64">
        <f t="shared" si="173"/>
        <v>53.209769999999999</v>
      </c>
      <c r="P321" s="64">
        <f t="shared" si="174"/>
        <v>6259.2675399999998</v>
      </c>
      <c r="Q321" s="65">
        <f t="shared" si="175"/>
        <v>16386.43</v>
      </c>
      <c r="R321" s="59"/>
      <c r="S321" s="257">
        <v>5.2335699999999994</v>
      </c>
      <c r="T321" s="258">
        <v>18.057410000000001</v>
      </c>
      <c r="U321" s="258">
        <v>21.019560000000002</v>
      </c>
      <c r="V321" s="258">
        <v>0</v>
      </c>
      <c r="W321" s="258">
        <v>0</v>
      </c>
      <c r="X321" s="258">
        <v>0</v>
      </c>
      <c r="Y321" s="258">
        <v>915.26300000000003</v>
      </c>
      <c r="Z321" s="258">
        <v>915.26300000000003</v>
      </c>
      <c r="AA321" s="258">
        <v>915.26300000000003</v>
      </c>
      <c r="AB321" s="258">
        <v>915.26300000000003</v>
      </c>
      <c r="AC321" s="258">
        <v>915.26300000000003</v>
      </c>
      <c r="AD321" s="258">
        <v>1638.6420000000001</v>
      </c>
      <c r="AE321" s="258">
        <v>1638.643</v>
      </c>
      <c r="AF321" s="258">
        <v>1638.643</v>
      </c>
      <c r="AG321" s="258">
        <v>1638.643</v>
      </c>
      <c r="AH321" s="258">
        <v>1638.643</v>
      </c>
      <c r="AI321" s="258">
        <v>1638.643</v>
      </c>
      <c r="AJ321" s="258">
        <v>1638.643</v>
      </c>
      <c r="AK321" s="258">
        <v>1638.643</v>
      </c>
      <c r="AL321" s="258">
        <v>1638.643</v>
      </c>
      <c r="AM321" s="258">
        <v>1638.643</v>
      </c>
      <c r="AN321" s="258">
        <v>1638.643</v>
      </c>
      <c r="AO321" s="258">
        <v>0</v>
      </c>
      <c r="AP321" s="259">
        <v>0</v>
      </c>
      <c r="AQ321" s="183"/>
    </row>
    <row r="322" spans="1:43" ht="15.75" thickBot="1" x14ac:dyDescent="0.3">
      <c r="C322" s="226" t="s">
        <v>37</v>
      </c>
      <c r="D322" s="227"/>
      <c r="E322" s="227"/>
      <c r="F322" s="227"/>
      <c r="G322" s="227"/>
      <c r="H322" s="227"/>
      <c r="I322" s="227"/>
      <c r="J322" s="228"/>
      <c r="K322" s="63"/>
      <c r="L322" s="125">
        <f t="shared" ref="L322:Q322" si="186">SUM(L314:L321)</f>
        <v>36074.030559999999</v>
      </c>
      <c r="M322" s="126">
        <f t="shared" si="186"/>
        <v>18732.715629180413</v>
      </c>
      <c r="N322" s="126">
        <f t="shared" si="186"/>
        <v>134392.32600000003</v>
      </c>
      <c r="O322" s="126">
        <f t="shared" si="186"/>
        <v>36074.030559999999</v>
      </c>
      <c r="P322" s="126">
        <f t="shared" si="186"/>
        <v>18732.715629180413</v>
      </c>
      <c r="Q322" s="127">
        <f t="shared" si="186"/>
        <v>134392.32600000003</v>
      </c>
      <c r="R322" s="58"/>
      <c r="S322" s="208">
        <f t="shared" ref="S322:AP322" si="187">SUM(S314:S321)</f>
        <v>325.58976000000001</v>
      </c>
      <c r="T322" s="209">
        <f t="shared" si="187"/>
        <v>816.32241999999997</v>
      </c>
      <c r="U322" s="209">
        <f t="shared" si="187"/>
        <v>874.84993999999995</v>
      </c>
      <c r="V322" s="209">
        <f t="shared" si="187"/>
        <v>3392.4615428183856</v>
      </c>
      <c r="W322" s="209">
        <f t="shared" si="187"/>
        <v>1176.4474086444027</v>
      </c>
      <c r="X322" s="209">
        <f t="shared" si="187"/>
        <v>1041.9333991444028</v>
      </c>
      <c r="Y322" s="209">
        <f t="shared" si="187"/>
        <v>1836.4053851944027</v>
      </c>
      <c r="Z322" s="209">
        <f t="shared" si="187"/>
        <v>1782.142172194403</v>
      </c>
      <c r="AA322" s="209">
        <f t="shared" si="187"/>
        <v>1737.7718040944028</v>
      </c>
      <c r="AB322" s="209">
        <f t="shared" si="187"/>
        <v>1729.8533387944028</v>
      </c>
      <c r="AC322" s="209">
        <f t="shared" si="187"/>
        <v>1681.3483748944029</v>
      </c>
      <c r="AD322" s="210">
        <f t="shared" si="187"/>
        <v>2337.59008340121</v>
      </c>
      <c r="AE322" s="209">
        <f t="shared" si="187"/>
        <v>24647.932166666666</v>
      </c>
      <c r="AF322" s="209">
        <f t="shared" si="187"/>
        <v>2809.8361666666669</v>
      </c>
      <c r="AG322" s="209">
        <f t="shared" si="187"/>
        <v>3059.8361666666669</v>
      </c>
      <c r="AH322" s="209">
        <f t="shared" si="187"/>
        <v>3059.8361666666669</v>
      </c>
      <c r="AI322" s="209">
        <f t="shared" si="187"/>
        <v>2809.8361666666669</v>
      </c>
      <c r="AJ322" s="209">
        <f t="shared" si="187"/>
        <v>14299.836166666666</v>
      </c>
      <c r="AK322" s="209">
        <f t="shared" si="187"/>
        <v>14499.836166666666</v>
      </c>
      <c r="AL322" s="209">
        <f t="shared" si="187"/>
        <v>14499.836166666666</v>
      </c>
      <c r="AM322" s="209">
        <f t="shared" si="187"/>
        <v>14499.836166666666</v>
      </c>
      <c r="AN322" s="209">
        <f t="shared" si="187"/>
        <v>14499.836166666666</v>
      </c>
      <c r="AO322" s="209">
        <f t="shared" si="187"/>
        <v>12852.934166666666</v>
      </c>
      <c r="AP322" s="209">
        <f t="shared" si="187"/>
        <v>12852.934166666666</v>
      </c>
      <c r="AQ322" s="196"/>
    </row>
    <row r="323" spans="1:43" ht="15.75" thickTop="1" x14ac:dyDescent="0.25">
      <c r="K323" s="63"/>
      <c r="R323" s="58"/>
      <c r="S323" s="212"/>
      <c r="T323" s="212"/>
      <c r="U323" s="212"/>
      <c r="V323" s="212"/>
      <c r="W323" s="212"/>
      <c r="X323" s="212"/>
      <c r="Y323" s="212"/>
      <c r="Z323" s="212"/>
      <c r="AA323" s="212"/>
      <c r="AB323" s="212"/>
      <c r="AC323" s="212"/>
      <c r="AD323" s="212"/>
      <c r="AE323" s="212"/>
      <c r="AF323" s="212"/>
      <c r="AG323" s="212"/>
      <c r="AH323" s="212"/>
      <c r="AI323" s="212"/>
      <c r="AJ323" s="212"/>
      <c r="AK323" s="212"/>
      <c r="AL323" s="212"/>
      <c r="AM323" s="212"/>
      <c r="AN323" s="212"/>
      <c r="AO323" s="212"/>
      <c r="AP323" s="212"/>
      <c r="AQ323" s="183"/>
    </row>
    <row r="324" spans="1:43" x14ac:dyDescent="0.25">
      <c r="K324" s="63"/>
      <c r="R324" s="58"/>
      <c r="S324" s="212"/>
      <c r="T324" s="212"/>
      <c r="U324" s="212"/>
      <c r="V324" s="212"/>
      <c r="W324" s="212"/>
      <c r="X324" s="212"/>
      <c r="Y324" s="212"/>
      <c r="Z324" s="212"/>
      <c r="AA324" s="212"/>
      <c r="AB324" s="212"/>
      <c r="AC324" s="212"/>
      <c r="AD324" s="212"/>
      <c r="AE324" s="212"/>
      <c r="AF324" s="212"/>
      <c r="AG324" s="212"/>
      <c r="AH324" s="212"/>
      <c r="AI324" s="212"/>
      <c r="AJ324" s="212"/>
      <c r="AK324" s="212"/>
      <c r="AL324" s="212"/>
      <c r="AM324" s="212"/>
      <c r="AN324" s="212"/>
      <c r="AO324" s="212"/>
      <c r="AP324" s="212"/>
      <c r="AQ324" s="183"/>
    </row>
    <row r="325" spans="1:43" x14ac:dyDescent="0.25">
      <c r="K325" s="63"/>
      <c r="R325" s="58"/>
      <c r="AQ325" s="183"/>
    </row>
    <row r="326" spans="1:43" ht="18.75" x14ac:dyDescent="0.25">
      <c r="C326" s="275" t="s">
        <v>45</v>
      </c>
      <c r="D326" s="276"/>
      <c r="E326" s="276"/>
      <c r="F326" s="277"/>
      <c r="G326" s="277"/>
      <c r="H326" s="277"/>
      <c r="I326" s="277"/>
      <c r="J326" s="277"/>
      <c r="K326" s="63"/>
      <c r="R326" s="58"/>
      <c r="AQ326" s="183"/>
    </row>
    <row r="327" spans="1:43" x14ac:dyDescent="0.25">
      <c r="K327" s="63"/>
      <c r="R327" s="58"/>
      <c r="AQ327" s="183"/>
    </row>
    <row r="328" spans="1:43" x14ac:dyDescent="0.25">
      <c r="C328" s="176" t="s">
        <v>31</v>
      </c>
      <c r="K328" s="63"/>
      <c r="R328" s="58"/>
      <c r="AQ328" s="183"/>
    </row>
    <row r="329" spans="1:43" ht="15" customHeight="1" x14ac:dyDescent="0.25">
      <c r="C329" s="225" t="s">
        <v>44</v>
      </c>
      <c r="D329" s="225"/>
      <c r="E329" s="225"/>
      <c r="F329" s="225"/>
      <c r="G329" s="225"/>
      <c r="H329" s="225"/>
      <c r="I329" s="225"/>
      <c r="J329" s="225"/>
      <c r="K329" s="63"/>
      <c r="R329" s="58"/>
      <c r="AQ329" s="183"/>
    </row>
    <row r="330" spans="1:43" ht="15.75" thickBot="1" x14ac:dyDescent="0.3">
      <c r="K330" s="63"/>
      <c r="R330" s="58"/>
      <c r="AQ330" s="183"/>
    </row>
    <row r="331" spans="1:43" ht="30.75" thickBot="1" x14ac:dyDescent="0.3">
      <c r="C331" s="51" t="s">
        <v>15</v>
      </c>
      <c r="D331" s="52" t="s">
        <v>16</v>
      </c>
      <c r="E331" s="53" t="s">
        <v>17</v>
      </c>
      <c r="F331" s="54" t="s">
        <v>18</v>
      </c>
      <c r="G331" s="45" t="s">
        <v>19</v>
      </c>
      <c r="H331" s="45" t="s">
        <v>20</v>
      </c>
      <c r="I331" s="45" t="s">
        <v>21</v>
      </c>
      <c r="J331" s="46" t="s">
        <v>22</v>
      </c>
      <c r="K331" s="63"/>
      <c r="L331" s="44" t="str">
        <f t="shared" ref="L331:Q331" si="188">L$11</f>
        <v>2014 CWIP</v>
      </c>
      <c r="M331" s="45" t="str">
        <f t="shared" si="188"/>
        <v>2015 Total Expenditures</v>
      </c>
      <c r="N331" s="45" t="str">
        <f t="shared" si="188"/>
        <v>2016 Total Expenditures</v>
      </c>
      <c r="O331" s="45" t="str">
        <f t="shared" si="188"/>
        <v>2014 ISO CWIP Less Collectible</v>
      </c>
      <c r="P331" s="45" t="str">
        <f t="shared" si="188"/>
        <v>2015 ISO Expenditures Less Collectible</v>
      </c>
      <c r="Q331" s="46" t="str">
        <f t="shared" si="188"/>
        <v>2016 ISO Expenditures Less Collectible</v>
      </c>
      <c r="R331" s="58"/>
      <c r="S331" s="69">
        <f>$D$3</f>
        <v>42005</v>
      </c>
      <c r="T331" s="54">
        <f t="shared" ref="T331:AL331" si="189">DATE(YEAR(S331),MONTH(S331)+1,DAY(S331))</f>
        <v>42036</v>
      </c>
      <c r="U331" s="54">
        <f t="shared" si="189"/>
        <v>42064</v>
      </c>
      <c r="V331" s="54">
        <f t="shared" si="189"/>
        <v>42095</v>
      </c>
      <c r="W331" s="54">
        <f t="shared" si="189"/>
        <v>42125</v>
      </c>
      <c r="X331" s="54">
        <f t="shared" si="189"/>
        <v>42156</v>
      </c>
      <c r="Y331" s="54">
        <f t="shared" si="189"/>
        <v>42186</v>
      </c>
      <c r="Z331" s="54">
        <f t="shared" si="189"/>
        <v>42217</v>
      </c>
      <c r="AA331" s="54">
        <f t="shared" si="189"/>
        <v>42248</v>
      </c>
      <c r="AB331" s="54">
        <f t="shared" si="189"/>
        <v>42278</v>
      </c>
      <c r="AC331" s="54">
        <f t="shared" si="189"/>
        <v>42309</v>
      </c>
      <c r="AD331" s="177">
        <f t="shared" si="189"/>
        <v>42339</v>
      </c>
      <c r="AE331" s="54">
        <f>DATE(YEAR(AD331),MONTH(AD331)+1,DAY(AD331))</f>
        <v>42370</v>
      </c>
      <c r="AF331" s="54">
        <f t="shared" si="189"/>
        <v>42401</v>
      </c>
      <c r="AG331" s="54">
        <f t="shared" si="189"/>
        <v>42430</v>
      </c>
      <c r="AH331" s="54">
        <f t="shared" si="189"/>
        <v>42461</v>
      </c>
      <c r="AI331" s="54">
        <f t="shared" si="189"/>
        <v>42491</v>
      </c>
      <c r="AJ331" s="54">
        <f t="shared" si="189"/>
        <v>42522</v>
      </c>
      <c r="AK331" s="54">
        <f t="shared" si="189"/>
        <v>42552</v>
      </c>
      <c r="AL331" s="54">
        <f t="shared" si="189"/>
        <v>42583</v>
      </c>
      <c r="AM331" s="54">
        <f>DATE(YEAR(AL331),MONTH(AL331)+1,DAY(AL331))</f>
        <v>42614</v>
      </c>
      <c r="AN331" s="54">
        <f>DATE(YEAR(AM331),MONTH(AM331)+1,DAY(AM331))</f>
        <v>42644</v>
      </c>
      <c r="AO331" s="54">
        <f>DATE(YEAR(AN331),MONTH(AN331)+1,DAY(AN331))</f>
        <v>42675</v>
      </c>
      <c r="AP331" s="54">
        <f>DATE(YEAR(AO331),MONTH(AO331)+1,DAY(AO331))</f>
        <v>42705</v>
      </c>
      <c r="AQ331" s="196"/>
    </row>
    <row r="332" spans="1:43" s="215" customFormat="1" x14ac:dyDescent="0.25">
      <c r="A332" s="214" t="str">
        <f>+$C$326</f>
        <v>Colorado River Substation</v>
      </c>
      <c r="B332" s="179" t="s">
        <v>33</v>
      </c>
      <c r="C332" s="156" t="s">
        <v>246</v>
      </c>
      <c r="D332" s="157" t="s">
        <v>247</v>
      </c>
      <c r="E332" s="158" t="s">
        <v>265</v>
      </c>
      <c r="F332" s="159" t="s">
        <v>70</v>
      </c>
      <c r="G332" s="160">
        <v>41456</v>
      </c>
      <c r="H332" s="70" t="s">
        <v>288</v>
      </c>
      <c r="I332" s="161">
        <v>0</v>
      </c>
      <c r="J332" s="162">
        <v>1</v>
      </c>
      <c r="K332" s="63"/>
      <c r="L332" s="284">
        <f>100*0</f>
        <v>0</v>
      </c>
      <c r="M332" s="71">
        <f>SUM($S345:$AD345)</f>
        <v>200.27315999999999</v>
      </c>
      <c r="N332" s="71">
        <f>SUM($AE345:$AP345)</f>
        <v>0</v>
      </c>
      <c r="O332" s="71">
        <f>$L332*$J332*(1-$I332)</f>
        <v>0</v>
      </c>
      <c r="P332" s="64">
        <f>$M332*$J332*(1-$I332)</f>
        <v>200.27315999999999</v>
      </c>
      <c r="Q332" s="65">
        <f>$N332*$J332*(1-$I332)</f>
        <v>0</v>
      </c>
      <c r="R332" s="59"/>
      <c r="S332" s="199">
        <f>IF(OR(RIGHT($H332,3)="RGT",RIGHT($H332,3)="INC"),IF($G332=S$244,SUM($S345:S345)+$O332,IF(S$244&gt;$G332,S345,0)),0)</f>
        <v>1.0511400000000002</v>
      </c>
      <c r="T332" s="200">
        <f>IF(OR(RIGHT($H332,3)="RGT",RIGHT($H332,3)="INC"),IF($G332=T$244,SUM($S345:T345)+$O332,IF(T$244&gt;$G332,T345,0)),0)</f>
        <v>0</v>
      </c>
      <c r="U332" s="200">
        <f>IF(OR(RIGHT($H332,3)="RGT",RIGHT($H332,3)="INC"),IF($G332=U$244,SUM($S345:U345)+$O332,IF(U$244&gt;$G332,U345,0)),0)</f>
        <v>40.222019999999993</v>
      </c>
      <c r="V332" s="200">
        <f>IF(OR(RIGHT($H332,3)="RGT",RIGHT($H332,3)="INC"),IF($G332=V$244,SUM($S345:V345)+$O332,IF(V$244&gt;$G332,V345,0)),0)</f>
        <v>20</v>
      </c>
      <c r="W332" s="200">
        <f>IF(OR(RIGHT($H332,3)="RGT",RIGHT($H332,3)="INC"),IF($G332=W$244,SUM($S345:W345)+$O332,IF(W$244&gt;$G332,W345,0)),0)</f>
        <v>20</v>
      </c>
      <c r="X332" s="200">
        <f>IF(OR(RIGHT($H332,3)="RGT",RIGHT($H332,3)="INC"),IF($G332=X$244,SUM($S345:X345)+$O332,IF(X$244&gt;$G332,X345,0)),0)</f>
        <v>20</v>
      </c>
      <c r="Y332" s="200">
        <f>IF(OR(RIGHT($H332,3)="RGT",RIGHT($H332,3)="INC"),IF($G332=Y$244,SUM($S345:Y345)+$O332,IF(Y$244&gt;$G332,Y345,0)),0)</f>
        <v>20</v>
      </c>
      <c r="Z332" s="200">
        <f>IF(OR(RIGHT($H332,3)="RGT",RIGHT($H332,3)="INC"),IF($G332=Z$244,SUM($S345:Z345)+$O332,IF(Z$244&gt;$G332,Z345,0)),0)</f>
        <v>19</v>
      </c>
      <c r="AA332" s="200">
        <f>IF(OR(RIGHT($H332,3)="RGT",RIGHT($H332,3)="INC"),IF($G332=AA$244,SUM($S345:AA345)+$O332,IF(AA$244&gt;$G332,AA345,0)),0)</f>
        <v>15</v>
      </c>
      <c r="AB332" s="200">
        <f>IF(OR(RIGHT($H332,3)="RGT",RIGHT($H332,3)="INC"),IF($G332=AB$244,SUM($S345:AB345)+$O332,IF(AB$244&gt;$G332,AB345,0)),0)</f>
        <v>15</v>
      </c>
      <c r="AC332" s="200">
        <f>IF(OR(RIGHT($H332,3)="RGT",RIGHT($H332,3)="INC"),IF($G332=AC$244,SUM($S345:AC345)+$O332,IF(AC$244&gt;$G332,AC345,0)),0)</f>
        <v>15</v>
      </c>
      <c r="AD332" s="201">
        <f>IF(OR(RIGHT($H332,3)="RGT",RIGHT($H332,3)="INC"),IF($G332=AD$244,SUM($S345:AD345)+$O332,IF(AD$244&gt;$G332,AD345,0)),0)</f>
        <v>15</v>
      </c>
      <c r="AE332" s="200">
        <f>IF(OR(RIGHT($H332,3)="RGT",RIGHT($H332,3)="INC"),IF($G332=AE$244,SUM($S345:AE345)+$O332,IF(AE$244&gt;$G332,AE345,0)),0)</f>
        <v>0</v>
      </c>
      <c r="AF332" s="200">
        <f>IF(OR(RIGHT($H332,3)="RGT",RIGHT($H332,3)="INC"),IF($G332=AF$244,SUM($S345:AF345)+$O332,IF(AF$244&gt;$G332,AF345,0)),0)</f>
        <v>0</v>
      </c>
      <c r="AG332" s="200">
        <f>IF(OR(RIGHT($H332,3)="RGT",RIGHT($H332,3)="INC"),IF($G332=AG$244,SUM($S345:AG345)+$O332,IF(AG$244&gt;$G332,AG345,0)),0)</f>
        <v>0</v>
      </c>
      <c r="AH332" s="200">
        <f>IF(OR(RIGHT($H332,3)="RGT",RIGHT($H332,3)="INC"),IF($G332=AH$244,SUM($S345:AH345)+$O332,IF(AH$244&gt;$G332,AH345,0)),0)</f>
        <v>0</v>
      </c>
      <c r="AI332" s="200">
        <f>IF(OR(RIGHT($H332,3)="RGT",RIGHT($H332,3)="INC"),IF($G332=AI$244,SUM($S345:AI345)+$O332,IF(AI$244&gt;$G332,AI345,0)),0)</f>
        <v>0</v>
      </c>
      <c r="AJ332" s="200">
        <f>IF(OR(RIGHT($H332,3)="RGT",RIGHT($H332,3)="INC"),IF($G332=AJ$244,SUM($S345:AJ345)+$O332,IF(AJ$244&gt;$G332,AJ345,0)),0)</f>
        <v>0</v>
      </c>
      <c r="AK332" s="200">
        <f>IF(OR(RIGHT($H332,3)="RGT",RIGHT($H332,3)="INC"),IF($G332=AK$244,SUM($S345:AK345)+$O332,IF(AK$244&gt;$G332,AK345,0)),0)</f>
        <v>0</v>
      </c>
      <c r="AL332" s="200">
        <f>IF(OR(RIGHT($H332,3)="RGT",RIGHT($H332,3)="INC"),IF($G332=AL$244,SUM($S345:AL345)+$O332,IF(AL$244&gt;$G332,AL345,0)),0)</f>
        <v>0</v>
      </c>
      <c r="AM332" s="200">
        <f>IF(OR(RIGHT($H332,3)="RGT",RIGHT($H332,3)="INC"),IF($G332=AM$244,SUM($S345:AM345)+$O332,IF(AM$244&gt;$G332,AM345,0)),0)</f>
        <v>0</v>
      </c>
      <c r="AN332" s="200">
        <f>IF(OR(RIGHT($H332,3)="RGT",RIGHT($H332,3)="INC"),IF($G332=AN$244,SUM($S345:AN345)+$O332,IF(AN$244&gt;$G332,AN345,0)),0)</f>
        <v>0</v>
      </c>
      <c r="AO332" s="200">
        <f>IF(OR(RIGHT($H332,3)="RGT",RIGHT($H332,3)="INC"),IF($G332=AO$244,SUM($S345:AO345)+$O332,IF(AO$244&gt;$G332,AO345,0)),0)</f>
        <v>0</v>
      </c>
      <c r="AP332" s="197">
        <f>IF(OR(RIGHT($H332,3)="RGT",RIGHT($H332,3)="INC"),IF($G332=AP$244,SUM($S345:AP345)+$O332,IF(AP$244&gt;$G332,AP345,0)),0)</f>
        <v>0</v>
      </c>
      <c r="AQ332" s="183"/>
    </row>
    <row r="333" spans="1:43" s="215" customFormat="1" x14ac:dyDescent="0.25">
      <c r="A333" s="214" t="str">
        <f t="shared" ref="A333:A334" si="190">+$C$326</f>
        <v>Colorado River Substation</v>
      </c>
      <c r="B333" s="179" t="s">
        <v>33</v>
      </c>
      <c r="C333" s="156" t="s">
        <v>250</v>
      </c>
      <c r="D333" s="163" t="s">
        <v>248</v>
      </c>
      <c r="E333" s="158" t="s">
        <v>266</v>
      </c>
      <c r="F333" s="159" t="s">
        <v>70</v>
      </c>
      <c r="G333" s="160">
        <v>42125</v>
      </c>
      <c r="H333" s="70" t="s">
        <v>288</v>
      </c>
      <c r="I333" s="161">
        <v>0</v>
      </c>
      <c r="J333" s="162">
        <v>1</v>
      </c>
      <c r="K333" s="63"/>
      <c r="L333" s="234">
        <v>179.7689</v>
      </c>
      <c r="M333" s="71">
        <f t="shared" ref="M333:M335" si="191">SUM($S346:$AD346)</f>
        <v>649.85451999999998</v>
      </c>
      <c r="N333" s="71">
        <f t="shared" ref="N333:N335" si="192">SUM($AE346:$AP346)</f>
        <v>0</v>
      </c>
      <c r="O333" s="71">
        <f t="shared" ref="O333:O335" si="193">$L333*$J333*(1-$I333)</f>
        <v>179.7689</v>
      </c>
      <c r="P333" s="64">
        <f t="shared" ref="P333:P335" si="194">$M333*$J333*(1-$I333)</f>
        <v>649.85451999999998</v>
      </c>
      <c r="Q333" s="65">
        <f t="shared" ref="Q333:Q335" si="195">$N333*$J333*(1-$I333)</f>
        <v>0</v>
      </c>
      <c r="R333" s="59"/>
      <c r="S333" s="199">
        <f>IF(OR(RIGHT($H333,3)="RGT",RIGHT($H333,3)="INC"),IF($G333=S$244,SUM($S346:S346)+$O333,IF(S$244&gt;$G333,S346,0)),0)</f>
        <v>0</v>
      </c>
      <c r="T333" s="200">
        <f>IF(OR(RIGHT($H333,3)="RGT",RIGHT($H333,3)="INC"),IF($G333=T$244,SUM($S346:T346)+$O333,IF(T$244&gt;$G333,T346,0)),0)</f>
        <v>0</v>
      </c>
      <c r="U333" s="200">
        <f>IF(OR(RIGHT($H333,3)="RGT",RIGHT($H333,3)="INC"),IF($G333=U$244,SUM($S346:U346)+$O333,IF(U$244&gt;$G333,U346,0)),0)</f>
        <v>0</v>
      </c>
      <c r="V333" s="200">
        <f>IF(OR(RIGHT($H333,3)="RGT",RIGHT($H333,3)="INC"),IF($G333=V$244,SUM($S346:V346)+$O333,IF(V$244&gt;$G333,V346,0)),0)</f>
        <v>0</v>
      </c>
      <c r="W333" s="200">
        <f>IF(OR(RIGHT($H333,3)="RGT",RIGHT($H333,3)="INC"),IF($G333=W$244,SUM($S346:W346)+$O333,IF(W$244&gt;$G333,W346,0)),0)</f>
        <v>691.62342000000001</v>
      </c>
      <c r="X333" s="200">
        <f>IF(OR(RIGHT($H333,3)="RGT",RIGHT($H333,3)="INC"),IF($G333=X$244,SUM($S346:X346)+$O333,IF(X$244&gt;$G333,X346,0)),0)</f>
        <v>50</v>
      </c>
      <c r="Y333" s="200">
        <f>IF(OR(RIGHT($H333,3)="RGT",RIGHT($H333,3)="INC"),IF($G333=Y$244,SUM($S346:Y346)+$O333,IF(Y$244&gt;$G333,Y346,0)),0)</f>
        <v>80</v>
      </c>
      <c r="Z333" s="200">
        <f>IF(OR(RIGHT($H333,3)="RGT",RIGHT($H333,3)="INC"),IF($G333=Z$244,SUM($S346:Z346)+$O333,IF(Z$244&gt;$G333,Z346,0)),0)</f>
        <v>8</v>
      </c>
      <c r="AA333" s="200">
        <f>IF(OR(RIGHT($H333,3)="RGT",RIGHT($H333,3)="INC"),IF($G333=AA$244,SUM($S346:AA346)+$O333,IF(AA$244&gt;$G333,AA346,0)),0)</f>
        <v>0</v>
      </c>
      <c r="AB333" s="200">
        <f>IF(OR(RIGHT($H333,3)="RGT",RIGHT($H333,3)="INC"),IF($G333=AB$244,SUM($S346:AB346)+$O333,IF(AB$244&gt;$G333,AB346,0)),0)</f>
        <v>0</v>
      </c>
      <c r="AC333" s="200">
        <f>IF(OR(RIGHT($H333,3)="RGT",RIGHT($H333,3)="INC"),IF($G333=AC$244,SUM($S346:AC346)+$O333,IF(AC$244&gt;$G333,AC346,0)),0)</f>
        <v>0</v>
      </c>
      <c r="AD333" s="201">
        <f>IF(OR(RIGHT($H333,3)="RGT",RIGHT($H333,3)="INC"),IF($G333=AD$244,SUM($S346:AD346)+$O333,IF(AD$244&gt;$G333,AD346,0)),0)</f>
        <v>0</v>
      </c>
      <c r="AE333" s="200">
        <f>IF(OR(RIGHT($H333,3)="RGT",RIGHT($H333,3)="INC"),IF($G333=AE$244,SUM($S346:AE346)+$O333,IF(AE$244&gt;$G333,AE346,0)),0)</f>
        <v>0</v>
      </c>
      <c r="AF333" s="200">
        <f>IF(OR(RIGHT($H333,3)="RGT",RIGHT($H333,3)="INC"),IF($G333=AF$244,SUM($S346:AF346)+$O333,IF(AF$244&gt;$G333,AF346,0)),0)</f>
        <v>0</v>
      </c>
      <c r="AG333" s="200">
        <f>IF(OR(RIGHT($H333,3)="RGT",RIGHT($H333,3)="INC"),IF($G333=AG$244,SUM($S346:AG346)+$O333,IF(AG$244&gt;$G333,AG346,0)),0)</f>
        <v>0</v>
      </c>
      <c r="AH333" s="200">
        <f>IF(OR(RIGHT($H333,3)="RGT",RIGHT($H333,3)="INC"),IF($G333=AH$244,SUM($S346:AH346)+$O333,IF(AH$244&gt;$G333,AH346,0)),0)</f>
        <v>0</v>
      </c>
      <c r="AI333" s="200">
        <f>IF(OR(RIGHT($H333,3)="RGT",RIGHT($H333,3)="INC"),IF($G333=AI$244,SUM($S346:AI346)+$O333,IF(AI$244&gt;$G333,AI346,0)),0)</f>
        <v>0</v>
      </c>
      <c r="AJ333" s="200">
        <f>IF(OR(RIGHT($H333,3)="RGT",RIGHT($H333,3)="INC"),IF($G333=AJ$244,SUM($S346:AJ346)+$O333,IF(AJ$244&gt;$G333,AJ346,0)),0)</f>
        <v>0</v>
      </c>
      <c r="AK333" s="200">
        <f>IF(OR(RIGHT($H333,3)="RGT",RIGHT($H333,3)="INC"),IF($G333=AK$244,SUM($S346:AK346)+$O333,IF(AK$244&gt;$G333,AK346,0)),0)</f>
        <v>0</v>
      </c>
      <c r="AL333" s="200">
        <f>IF(OR(RIGHT($H333,3)="RGT",RIGHT($H333,3)="INC"),IF($G333=AL$244,SUM($S346:AL346)+$O333,IF(AL$244&gt;$G333,AL346,0)),0)</f>
        <v>0</v>
      </c>
      <c r="AM333" s="200">
        <f>IF(OR(RIGHT($H333,3)="RGT",RIGHT($H333,3)="INC"),IF($G333=AM$244,SUM($S346:AM346)+$O333,IF(AM$244&gt;$G333,AM346,0)),0)</f>
        <v>0</v>
      </c>
      <c r="AN333" s="200">
        <f>IF(OR(RIGHT($H333,3)="RGT",RIGHT($H333,3)="INC"),IF($G333=AN$244,SUM($S346:AN346)+$O333,IF(AN$244&gt;$G333,AN346,0)),0)</f>
        <v>0</v>
      </c>
      <c r="AO333" s="200">
        <f>IF(OR(RIGHT($H333,3)="RGT",RIGHT($H333,3)="INC"),IF($G333=AO$244,SUM($S346:AO346)+$O333,IF(AO$244&gt;$G333,AO346,0)),0)</f>
        <v>0</v>
      </c>
      <c r="AP333" s="182">
        <f>IF(OR(RIGHT($H333,3)="RGT",RIGHT($H333,3)="INC"),IF($G333=AP$244,SUM($S346:AP346)+$O333,IF(AP$244&gt;$G333,AP346,0)),0)</f>
        <v>0</v>
      </c>
      <c r="AQ333" s="183"/>
    </row>
    <row r="334" spans="1:43" s="215" customFormat="1" x14ac:dyDescent="0.25">
      <c r="A334" s="214" t="str">
        <f t="shared" si="190"/>
        <v>Colorado River Substation</v>
      </c>
      <c r="B334" s="179" t="s">
        <v>33</v>
      </c>
      <c r="C334" s="156" t="s">
        <v>250</v>
      </c>
      <c r="D334" s="163" t="s">
        <v>249</v>
      </c>
      <c r="E334" s="158" t="s">
        <v>266</v>
      </c>
      <c r="F334" s="159" t="s">
        <v>70</v>
      </c>
      <c r="G334" s="160">
        <v>42125</v>
      </c>
      <c r="H334" s="70" t="s">
        <v>288</v>
      </c>
      <c r="I334" s="161">
        <v>0</v>
      </c>
      <c r="J334" s="162">
        <v>1</v>
      </c>
      <c r="K334" s="63"/>
      <c r="L334" s="234">
        <v>203.90525</v>
      </c>
      <c r="M334" s="71">
        <f t="shared" si="191"/>
        <v>749.9502</v>
      </c>
      <c r="N334" s="71">
        <f t="shared" si="192"/>
        <v>0</v>
      </c>
      <c r="O334" s="71">
        <f t="shared" si="193"/>
        <v>203.90525</v>
      </c>
      <c r="P334" s="64">
        <f t="shared" si="194"/>
        <v>749.9502</v>
      </c>
      <c r="Q334" s="65">
        <f t="shared" si="195"/>
        <v>0</v>
      </c>
      <c r="R334" s="59"/>
      <c r="S334" s="199">
        <f>IF(OR(RIGHT($H334,3)="RGT",RIGHT($H334,3)="INC"),IF($G334=S$244,SUM($S347:S347)+$O334,IF(S$244&gt;$G334,S347,0)),0)</f>
        <v>0</v>
      </c>
      <c r="T334" s="200">
        <f>IF(OR(RIGHT($H334,3)="RGT",RIGHT($H334,3)="INC"),IF($G334=T$244,SUM($S347:T347)+$O334,IF(T$244&gt;$G334,T347,0)),0)</f>
        <v>0</v>
      </c>
      <c r="U334" s="200">
        <f>IF(OR(RIGHT($H334,3)="RGT",RIGHT($H334,3)="INC"),IF($G334=U$244,SUM($S347:U347)+$O334,IF(U$244&gt;$G334,U347,0)),0)</f>
        <v>0</v>
      </c>
      <c r="V334" s="200">
        <f>IF(OR(RIGHT($H334,3)="RGT",RIGHT($H334,3)="INC"),IF($G334=V$244,SUM($S347:V347)+$O334,IF(V$244&gt;$G334,V347,0)),0)</f>
        <v>0</v>
      </c>
      <c r="W334" s="200">
        <f>IF(OR(RIGHT($H334,3)="RGT",RIGHT($H334,3)="INC"),IF($G334=W$244,SUM($S347:W347)+$O334,IF(W$244&gt;$G334,W347,0)),0)</f>
        <v>853.85545000000002</v>
      </c>
      <c r="X334" s="200">
        <f>IF(OR(RIGHT($H334,3)="RGT",RIGHT($H334,3)="INC"),IF($G334=X$244,SUM($S347:X347)+$O334,IF(X$244&gt;$G334,X347,0)),0)</f>
        <v>100</v>
      </c>
      <c r="Y334" s="200">
        <f>IF(OR(RIGHT($H334,3)="RGT",RIGHT($H334,3)="INC"),IF($G334=Y$244,SUM($S347:Y347)+$O334,IF(Y$244&gt;$G334,Y347,0)),0)</f>
        <v>0</v>
      </c>
      <c r="Z334" s="200">
        <f>IF(OR(RIGHT($H334,3)="RGT",RIGHT($H334,3)="INC"),IF($G334=Z$244,SUM($S347:Z347)+$O334,IF(Z$244&gt;$G334,Z347,0)),0)</f>
        <v>0</v>
      </c>
      <c r="AA334" s="200">
        <f>IF(OR(RIGHT($H334,3)="RGT",RIGHT($H334,3)="INC"),IF($G334=AA$244,SUM($S347:AA347)+$O334,IF(AA$244&gt;$G334,AA347,0)),0)</f>
        <v>0</v>
      </c>
      <c r="AB334" s="200">
        <f>IF(OR(RIGHT($H334,3)="RGT",RIGHT($H334,3)="INC"),IF($G334=AB$244,SUM($S347:AB347)+$O334,IF(AB$244&gt;$G334,AB347,0)),0)</f>
        <v>0</v>
      </c>
      <c r="AC334" s="200">
        <f>IF(OR(RIGHT($H334,3)="RGT",RIGHT($H334,3)="INC"),IF($G334=AC$244,SUM($S347:AC347)+$O334,IF(AC$244&gt;$G334,AC347,0)),0)</f>
        <v>0</v>
      </c>
      <c r="AD334" s="201">
        <f>IF(OR(RIGHT($H334,3)="RGT",RIGHT($H334,3)="INC"),IF($G334=AD$244,SUM($S347:AD347)+$O334,IF(AD$244&gt;$G334,AD347,0)),0)</f>
        <v>0</v>
      </c>
      <c r="AE334" s="200">
        <f>IF(OR(RIGHT($H334,3)="RGT",RIGHT($H334,3)="INC"),IF($G334=AE$244,SUM($S347:AE347)+$O334,IF(AE$244&gt;$G334,AE347,0)),0)</f>
        <v>0</v>
      </c>
      <c r="AF334" s="200">
        <f>IF(OR(RIGHT($H334,3)="RGT",RIGHT($H334,3)="INC"),IF($G334=AF$244,SUM($S347:AF347)+$O334,IF(AF$244&gt;$G334,AF347,0)),0)</f>
        <v>0</v>
      </c>
      <c r="AG334" s="200">
        <f>IF(OR(RIGHT($H334,3)="RGT",RIGHT($H334,3)="INC"),IF($G334=AG$244,SUM($S347:AG347)+$O334,IF(AG$244&gt;$G334,AG347,0)),0)</f>
        <v>0</v>
      </c>
      <c r="AH334" s="200">
        <f>IF(OR(RIGHT($H334,3)="RGT",RIGHT($H334,3)="INC"),IF($G334=AH$244,SUM($S347:AH347)+$O334,IF(AH$244&gt;$G334,AH347,0)),0)</f>
        <v>0</v>
      </c>
      <c r="AI334" s="200">
        <f>IF(OR(RIGHT($H334,3)="RGT",RIGHT($H334,3)="INC"),IF($G334=AI$244,SUM($S347:AI347)+$O334,IF(AI$244&gt;$G334,AI347,0)),0)</f>
        <v>0</v>
      </c>
      <c r="AJ334" s="200">
        <f>IF(OR(RIGHT($H334,3)="RGT",RIGHT($H334,3)="INC"),IF($G334=AJ$244,SUM($S347:AJ347)+$O334,IF(AJ$244&gt;$G334,AJ347,0)),0)</f>
        <v>0</v>
      </c>
      <c r="AK334" s="200">
        <f>IF(OR(RIGHT($H334,3)="RGT",RIGHT($H334,3)="INC"),IF($G334=AK$244,SUM($S347:AK347)+$O334,IF(AK$244&gt;$G334,AK347,0)),0)</f>
        <v>0</v>
      </c>
      <c r="AL334" s="200">
        <f>IF(OR(RIGHT($H334,3)="RGT",RIGHT($H334,3)="INC"),IF($G334=AL$244,SUM($S347:AL347)+$O334,IF(AL$244&gt;$G334,AL347,0)),0)</f>
        <v>0</v>
      </c>
      <c r="AM334" s="200">
        <f>IF(OR(RIGHT($H334,3)="RGT",RIGHT($H334,3)="INC"),IF($G334=AM$244,SUM($S347:AM347)+$O334,IF(AM$244&gt;$G334,AM347,0)),0)</f>
        <v>0</v>
      </c>
      <c r="AN334" s="200">
        <f>IF(OR(RIGHT($H334,3)="RGT",RIGHT($H334,3)="INC"),IF($G334=AN$244,SUM($S347:AN347)+$O334,IF(AN$244&gt;$G334,AN347,0)),0)</f>
        <v>0</v>
      </c>
      <c r="AO334" s="200">
        <f>IF(OR(RIGHT($H334,3)="RGT",RIGHT($H334,3)="INC"),IF($G334=AO$244,SUM($S347:AO347)+$O334,IF(AO$244&gt;$G334,AO347,0)),0)</f>
        <v>0</v>
      </c>
      <c r="AP334" s="182">
        <f>IF(OR(RIGHT($H334,3)="RGT",RIGHT($H334,3)="INC"),IF($G334=AP$244,SUM($S347:AP347)+$O334,IF(AP$244&gt;$G334,AP347,0)),0)</f>
        <v>0</v>
      </c>
      <c r="AQ334" s="183"/>
    </row>
    <row r="335" spans="1:43" s="215" customFormat="1" x14ac:dyDescent="0.25">
      <c r="A335" s="214" t="str">
        <f>+$C$326</f>
        <v>Colorado River Substation</v>
      </c>
      <c r="B335" s="179" t="s">
        <v>33</v>
      </c>
      <c r="C335" s="156" t="s">
        <v>250</v>
      </c>
      <c r="D335" s="163" t="s">
        <v>251</v>
      </c>
      <c r="E335" s="158" t="s">
        <v>266</v>
      </c>
      <c r="F335" s="159" t="s">
        <v>70</v>
      </c>
      <c r="G335" s="160">
        <v>42125</v>
      </c>
      <c r="H335" s="70" t="s">
        <v>288</v>
      </c>
      <c r="I335" s="161">
        <v>0</v>
      </c>
      <c r="J335" s="162">
        <v>1</v>
      </c>
      <c r="K335" s="63"/>
      <c r="L335" s="234">
        <v>204.28922</v>
      </c>
      <c r="M335" s="71">
        <f t="shared" si="191"/>
        <v>650.43409999999994</v>
      </c>
      <c r="N335" s="71">
        <f t="shared" si="192"/>
        <v>0</v>
      </c>
      <c r="O335" s="71">
        <f t="shared" si="193"/>
        <v>204.28922</v>
      </c>
      <c r="P335" s="64">
        <f t="shared" si="194"/>
        <v>650.43409999999994</v>
      </c>
      <c r="Q335" s="65">
        <f t="shared" si="195"/>
        <v>0</v>
      </c>
      <c r="R335" s="59"/>
      <c r="S335" s="199">
        <f>IF(OR(RIGHT($H335,3)="RGT",RIGHT($H335,3)="INC"),IF($G335=S$244,SUM($S348:S348)+$O335,IF(S$244&gt;$G335,S348,0)),0)</f>
        <v>0</v>
      </c>
      <c r="T335" s="200">
        <f>IF(OR(RIGHT($H335,3)="RGT",RIGHT($H335,3)="INC"),IF($G335=T$244,SUM($S348:T348)+$O335,IF(T$244&gt;$G335,T348,0)),0)</f>
        <v>0</v>
      </c>
      <c r="U335" s="200">
        <f>IF(OR(RIGHT($H335,3)="RGT",RIGHT($H335,3)="INC"),IF($G335=U$244,SUM($S348:U348)+$O335,IF(U$244&gt;$G335,U348,0)),0)</f>
        <v>0</v>
      </c>
      <c r="V335" s="200">
        <f>IF(OR(RIGHT($H335,3)="RGT",RIGHT($H335,3)="INC"),IF($G335=V$244,SUM($S348:V348)+$O335,IF(V$244&gt;$G335,V348,0)),0)</f>
        <v>0</v>
      </c>
      <c r="W335" s="200">
        <f>IF(OR(RIGHT($H335,3)="RGT",RIGHT($H335,3)="INC"),IF($G335=W$244,SUM($S348:W348)+$O335,IF(W$244&gt;$G335,W348,0)),0)</f>
        <v>749.72331999999994</v>
      </c>
      <c r="X335" s="200">
        <f>IF(OR(RIGHT($H335,3)="RGT",RIGHT($H335,3)="INC"),IF($G335=X$244,SUM($S348:X348)+$O335,IF(X$244&gt;$G335,X348,0)),0)</f>
        <v>105</v>
      </c>
      <c r="Y335" s="200">
        <f>IF(OR(RIGHT($H335,3)="RGT",RIGHT($H335,3)="INC"),IF($G335=Y$244,SUM($S348:Y348)+$O335,IF(Y$244&gt;$G335,Y348,0)),0)</f>
        <v>0</v>
      </c>
      <c r="Z335" s="200">
        <f>IF(OR(RIGHT($H335,3)="RGT",RIGHT($H335,3)="INC"),IF($G335=Z$244,SUM($S348:Z348)+$O335,IF(Z$244&gt;$G335,Z348,0)),0)</f>
        <v>0</v>
      </c>
      <c r="AA335" s="200">
        <f>IF(OR(RIGHT($H335,3)="RGT",RIGHT($H335,3)="INC"),IF($G335=AA$244,SUM($S348:AA348)+$O335,IF(AA$244&gt;$G335,AA348,0)),0)</f>
        <v>0</v>
      </c>
      <c r="AB335" s="200">
        <f>IF(OR(RIGHT($H335,3)="RGT",RIGHT($H335,3)="INC"),IF($G335=AB$244,SUM($S348:AB348)+$O335,IF(AB$244&gt;$G335,AB348,0)),0)</f>
        <v>0</v>
      </c>
      <c r="AC335" s="200">
        <f>IF(OR(RIGHT($H335,3)="RGT",RIGHT($H335,3)="INC"),IF($G335=AC$244,SUM($S348:AC348)+$O335,IF(AC$244&gt;$G335,AC348,0)),0)</f>
        <v>0</v>
      </c>
      <c r="AD335" s="201">
        <f>IF(OR(RIGHT($H335,3)="RGT",RIGHT($H335,3)="INC"),IF($G335=AD$244,SUM($S348:AD348)+$O335,IF(AD$244&gt;$G335,AD348,0)),0)</f>
        <v>0</v>
      </c>
      <c r="AE335" s="200">
        <f>IF(OR(RIGHT($H335,3)="RGT",RIGHT($H335,3)="INC"),IF($G335=AE$244,SUM($S348:AE348)+$O335,IF(AE$244&gt;$G335,AE348,0)),0)</f>
        <v>0</v>
      </c>
      <c r="AF335" s="200">
        <f>IF(OR(RIGHT($H335,3)="RGT",RIGHT($H335,3)="INC"),IF($G335=AF$244,SUM($S348:AF348)+$O335,IF(AF$244&gt;$G335,AF348,0)),0)</f>
        <v>0</v>
      </c>
      <c r="AG335" s="200">
        <f>IF(OR(RIGHT($H335,3)="RGT",RIGHT($H335,3)="INC"),IF($G335=AG$244,SUM($S348:AG348)+$O335,IF(AG$244&gt;$G335,AG348,0)),0)</f>
        <v>0</v>
      </c>
      <c r="AH335" s="200">
        <f>IF(OR(RIGHT($H335,3)="RGT",RIGHT($H335,3)="INC"),IF($G335=AH$244,SUM($S348:AH348)+$O335,IF(AH$244&gt;$G335,AH348,0)),0)</f>
        <v>0</v>
      </c>
      <c r="AI335" s="200">
        <f>IF(OR(RIGHT($H335,3)="RGT",RIGHT($H335,3)="INC"),IF($G335=AI$244,SUM($S348:AI348)+$O335,IF(AI$244&gt;$G335,AI348,0)),0)</f>
        <v>0</v>
      </c>
      <c r="AJ335" s="200">
        <f>IF(OR(RIGHT($H335,3)="RGT",RIGHT($H335,3)="INC"),IF($G335=AJ$244,SUM($S348:AJ348)+$O335,IF(AJ$244&gt;$G335,AJ348,0)),0)</f>
        <v>0</v>
      </c>
      <c r="AK335" s="200">
        <f>IF(OR(RIGHT($H335,3)="RGT",RIGHT($H335,3)="INC"),IF($G335=AK$244,SUM($S348:AK348)+$O335,IF(AK$244&gt;$G335,AK348,0)),0)</f>
        <v>0</v>
      </c>
      <c r="AL335" s="200">
        <f>IF(OR(RIGHT($H335,3)="RGT",RIGHT($H335,3)="INC"),IF($G335=AL$244,SUM($S348:AL348)+$O335,IF(AL$244&gt;$G335,AL348,0)),0)</f>
        <v>0</v>
      </c>
      <c r="AM335" s="200">
        <f>IF(OR(RIGHT($H335,3)="RGT",RIGHT($H335,3)="INC"),IF($G335=AM$244,SUM($S348:AM348)+$O335,IF(AM$244&gt;$G335,AM348,0)),0)</f>
        <v>0</v>
      </c>
      <c r="AN335" s="200">
        <f>IF(OR(RIGHT($H335,3)="RGT",RIGHT($H335,3)="INC"),IF($G335=AN$244,SUM($S348:AN348)+$O335,IF(AN$244&gt;$G335,AN348,0)),0)</f>
        <v>0</v>
      </c>
      <c r="AO335" s="200">
        <f>IF(OR(RIGHT($H335,3)="RGT",RIGHT($H335,3)="INC"),IF($G335=AO$244,SUM($S348:AO348)+$O335,IF(AO$244&gt;$G335,AO348,0)),0)</f>
        <v>0</v>
      </c>
      <c r="AP335" s="182">
        <f>IF(OR(RIGHT($H335,3)="RGT",RIGHT($H335,3)="INC"),IF($G335=AP$244,SUM($S348:AP348)+$O335,IF(AP$244&gt;$G335,AP348,0)),0)</f>
        <v>0</v>
      </c>
      <c r="AQ335" s="183"/>
    </row>
    <row r="336" spans="1:43" ht="15.75" thickBot="1" x14ac:dyDescent="0.3">
      <c r="B336" s="170" t="s">
        <v>64</v>
      </c>
      <c r="C336" s="226" t="s">
        <v>26</v>
      </c>
      <c r="D336" s="227"/>
      <c r="E336" s="227"/>
      <c r="F336" s="227"/>
      <c r="G336" s="227"/>
      <c r="H336" s="227"/>
      <c r="I336" s="227"/>
      <c r="J336" s="228"/>
      <c r="K336" s="63"/>
      <c r="L336" s="125">
        <f t="shared" ref="L336:Q336" si="196">SUM(L332:L335)</f>
        <v>587.96336999999994</v>
      </c>
      <c r="M336" s="126">
        <f t="shared" si="196"/>
        <v>2250.5119799999998</v>
      </c>
      <c r="N336" s="126">
        <f t="shared" si="196"/>
        <v>0</v>
      </c>
      <c r="O336" s="126">
        <f t="shared" si="196"/>
        <v>587.96336999999994</v>
      </c>
      <c r="P336" s="126">
        <f t="shared" si="196"/>
        <v>2250.5119799999998</v>
      </c>
      <c r="Q336" s="127">
        <f t="shared" si="196"/>
        <v>0</v>
      </c>
      <c r="R336" s="58"/>
      <c r="S336" s="184">
        <f t="shared" ref="S336:AP336" si="197">SUM(S332:S335)</f>
        <v>1.0511400000000002</v>
      </c>
      <c r="T336" s="185">
        <f t="shared" si="197"/>
        <v>0</v>
      </c>
      <c r="U336" s="185">
        <f t="shared" si="197"/>
        <v>40.222019999999993</v>
      </c>
      <c r="V336" s="185">
        <f t="shared" si="197"/>
        <v>20</v>
      </c>
      <c r="W336" s="185">
        <f t="shared" si="197"/>
        <v>2315.20219</v>
      </c>
      <c r="X336" s="185">
        <f t="shared" si="197"/>
        <v>275</v>
      </c>
      <c r="Y336" s="185">
        <f t="shared" si="197"/>
        <v>100</v>
      </c>
      <c r="Z336" s="185">
        <f t="shared" si="197"/>
        <v>27</v>
      </c>
      <c r="AA336" s="185">
        <f t="shared" si="197"/>
        <v>15</v>
      </c>
      <c r="AB336" s="185">
        <f t="shared" si="197"/>
        <v>15</v>
      </c>
      <c r="AC336" s="185">
        <f t="shared" si="197"/>
        <v>15</v>
      </c>
      <c r="AD336" s="186">
        <f t="shared" si="197"/>
        <v>15</v>
      </c>
      <c r="AE336" s="185">
        <f t="shared" si="197"/>
        <v>0</v>
      </c>
      <c r="AF336" s="185">
        <f t="shared" si="197"/>
        <v>0</v>
      </c>
      <c r="AG336" s="185">
        <f t="shared" si="197"/>
        <v>0</v>
      </c>
      <c r="AH336" s="185">
        <f t="shared" si="197"/>
        <v>0</v>
      </c>
      <c r="AI336" s="185">
        <f t="shared" si="197"/>
        <v>0</v>
      </c>
      <c r="AJ336" s="185">
        <f t="shared" si="197"/>
        <v>0</v>
      </c>
      <c r="AK336" s="185">
        <f t="shared" si="197"/>
        <v>0</v>
      </c>
      <c r="AL336" s="185">
        <f t="shared" si="197"/>
        <v>0</v>
      </c>
      <c r="AM336" s="185">
        <f t="shared" si="197"/>
        <v>0</v>
      </c>
      <c r="AN336" s="185">
        <f t="shared" si="197"/>
        <v>0</v>
      </c>
      <c r="AO336" s="185">
        <f t="shared" si="197"/>
        <v>0</v>
      </c>
      <c r="AP336" s="185">
        <f t="shared" si="197"/>
        <v>0</v>
      </c>
      <c r="AQ336" s="183"/>
    </row>
    <row r="337" spans="1:43" ht="15.75" thickTop="1" x14ac:dyDescent="0.25">
      <c r="C337" s="189"/>
      <c r="D337" s="190"/>
      <c r="E337" s="191"/>
      <c r="F337" s="192"/>
      <c r="G337" s="192"/>
      <c r="H337" s="107"/>
      <c r="I337" s="192"/>
      <c r="J337" s="192"/>
      <c r="K337" s="63"/>
      <c r="L337" s="107"/>
      <c r="M337" s="107"/>
      <c r="N337" s="107"/>
      <c r="O337" s="107"/>
      <c r="P337" s="107"/>
      <c r="Q337" s="107"/>
      <c r="R337" s="58"/>
      <c r="S337" s="192"/>
      <c r="T337" s="192"/>
      <c r="U337" s="192"/>
      <c r="V337" s="192"/>
      <c r="W337" s="192"/>
      <c r="X337" s="192"/>
      <c r="Y337" s="192"/>
      <c r="Z337" s="192"/>
      <c r="AA337" s="192"/>
      <c r="AB337" s="192"/>
      <c r="AC337" s="192"/>
      <c r="AD337" s="192"/>
      <c r="AE337" s="192"/>
      <c r="AF337" s="192"/>
      <c r="AG337" s="192"/>
      <c r="AH337" s="192"/>
      <c r="AI337" s="192"/>
      <c r="AJ337" s="192"/>
      <c r="AK337" s="192"/>
      <c r="AL337" s="192"/>
      <c r="AM337" s="192"/>
      <c r="AN337" s="192"/>
      <c r="AO337" s="192"/>
      <c r="AP337" s="192"/>
      <c r="AQ337" s="183"/>
    </row>
    <row r="338" spans="1:43" ht="15.75" thickBot="1" x14ac:dyDescent="0.3">
      <c r="C338" s="226" t="str">
        <f>"Total Incremental Plant Balance - "&amp;C326</f>
        <v>Total Incremental Plant Balance - Colorado River Substation</v>
      </c>
      <c r="D338" s="227"/>
      <c r="E338" s="227"/>
      <c r="F338" s="227"/>
      <c r="G338" s="227"/>
      <c r="H338" s="227"/>
      <c r="I338" s="227"/>
      <c r="J338" s="228"/>
      <c r="K338" s="63"/>
      <c r="L338" s="125"/>
      <c r="M338" s="126"/>
      <c r="N338" s="126"/>
      <c r="O338" s="126"/>
      <c r="P338" s="126"/>
      <c r="Q338" s="126"/>
      <c r="R338" s="58"/>
      <c r="S338" s="184">
        <f>S336</f>
        <v>1.0511400000000002</v>
      </c>
      <c r="T338" s="185">
        <f t="shared" ref="T338:AL338" si="198">T336+S338</f>
        <v>1.0511400000000002</v>
      </c>
      <c r="U338" s="185">
        <f t="shared" si="198"/>
        <v>41.27315999999999</v>
      </c>
      <c r="V338" s="185">
        <f t="shared" si="198"/>
        <v>61.27315999999999</v>
      </c>
      <c r="W338" s="185">
        <f t="shared" si="198"/>
        <v>2376.4753500000002</v>
      </c>
      <c r="X338" s="185">
        <f t="shared" si="198"/>
        <v>2651.4753500000002</v>
      </c>
      <c r="Y338" s="185">
        <f t="shared" si="198"/>
        <v>2751.4753500000002</v>
      </c>
      <c r="Z338" s="185">
        <f t="shared" si="198"/>
        <v>2778.4753500000002</v>
      </c>
      <c r="AA338" s="185">
        <f t="shared" si="198"/>
        <v>2793.4753500000002</v>
      </c>
      <c r="AB338" s="185">
        <f t="shared" si="198"/>
        <v>2808.4753500000002</v>
      </c>
      <c r="AC338" s="185">
        <f t="shared" si="198"/>
        <v>2823.4753500000002</v>
      </c>
      <c r="AD338" s="186">
        <f t="shared" si="198"/>
        <v>2838.4753500000002</v>
      </c>
      <c r="AE338" s="185">
        <f>AE336+AD338</f>
        <v>2838.4753500000002</v>
      </c>
      <c r="AF338" s="185">
        <f t="shared" si="198"/>
        <v>2838.4753500000002</v>
      </c>
      <c r="AG338" s="185">
        <f t="shared" si="198"/>
        <v>2838.4753500000002</v>
      </c>
      <c r="AH338" s="185">
        <f t="shared" si="198"/>
        <v>2838.4753500000002</v>
      </c>
      <c r="AI338" s="185">
        <f t="shared" si="198"/>
        <v>2838.4753500000002</v>
      </c>
      <c r="AJ338" s="185">
        <f t="shared" si="198"/>
        <v>2838.4753500000002</v>
      </c>
      <c r="AK338" s="185">
        <f t="shared" si="198"/>
        <v>2838.4753500000002</v>
      </c>
      <c r="AL338" s="185">
        <f t="shared" si="198"/>
        <v>2838.4753500000002</v>
      </c>
      <c r="AM338" s="185">
        <f>AM336+AL338</f>
        <v>2838.4753500000002</v>
      </c>
      <c r="AN338" s="185">
        <f>AN336+AM338</f>
        <v>2838.4753500000002</v>
      </c>
      <c r="AO338" s="185">
        <f>AO336+AN338</f>
        <v>2838.4753500000002</v>
      </c>
      <c r="AP338" s="185">
        <f>AP336+AO338</f>
        <v>2838.4753500000002</v>
      </c>
      <c r="AQ338" s="196"/>
    </row>
    <row r="339" spans="1:43" ht="15.75" thickTop="1" x14ac:dyDescent="0.25">
      <c r="C339" s="67"/>
      <c r="D339" s="68"/>
      <c r="E339" s="67"/>
      <c r="F339" s="273"/>
      <c r="G339" s="273"/>
      <c r="H339" s="273"/>
      <c r="I339" s="273"/>
      <c r="J339" s="273"/>
      <c r="K339" s="63"/>
      <c r="L339" s="129"/>
      <c r="M339" s="129"/>
      <c r="N339" s="129"/>
      <c r="O339" s="129"/>
      <c r="P339" s="129"/>
      <c r="Q339" s="129"/>
      <c r="R339" s="58"/>
      <c r="S339" s="193"/>
      <c r="T339" s="193"/>
      <c r="U339" s="193"/>
      <c r="V339" s="193"/>
      <c r="W339" s="193"/>
      <c r="X339" s="193"/>
      <c r="Y339" s="193"/>
      <c r="Z339" s="193"/>
      <c r="AA339" s="193"/>
      <c r="AB339" s="193"/>
      <c r="AC339" s="193"/>
      <c r="AD339" s="193"/>
      <c r="AE339" s="193"/>
      <c r="AF339" s="193"/>
      <c r="AG339" s="193"/>
      <c r="AH339" s="193"/>
      <c r="AI339" s="193"/>
      <c r="AJ339" s="193"/>
      <c r="AK339" s="193"/>
      <c r="AL339" s="193"/>
      <c r="AM339" s="193"/>
      <c r="AN339" s="193"/>
      <c r="AO339" s="193"/>
      <c r="AP339" s="193"/>
      <c r="AQ339" s="183"/>
    </row>
    <row r="340" spans="1:43" x14ac:dyDescent="0.25">
      <c r="C340" s="189"/>
      <c r="D340" s="190"/>
      <c r="E340" s="191"/>
      <c r="F340" s="192"/>
      <c r="G340" s="192"/>
      <c r="H340" s="107"/>
      <c r="I340" s="192"/>
      <c r="J340" s="192"/>
      <c r="K340" s="63"/>
      <c r="L340" s="119"/>
      <c r="M340" s="119"/>
      <c r="N340" s="119"/>
      <c r="O340" s="119"/>
      <c r="P340" s="119"/>
      <c r="Q340" s="119"/>
      <c r="R340" s="58"/>
      <c r="S340" s="192"/>
      <c r="T340" s="192"/>
      <c r="U340" s="192"/>
      <c r="V340" s="192"/>
      <c r="W340" s="192"/>
      <c r="X340" s="192"/>
      <c r="Y340" s="192"/>
      <c r="Z340" s="192"/>
      <c r="AA340" s="192"/>
      <c r="AB340" s="192"/>
      <c r="AC340" s="192"/>
      <c r="AD340" s="192"/>
      <c r="AE340" s="192"/>
      <c r="AF340" s="192"/>
      <c r="AG340" s="192"/>
      <c r="AH340" s="192"/>
      <c r="AI340" s="192"/>
      <c r="AJ340" s="192"/>
      <c r="AK340" s="192"/>
      <c r="AL340" s="192"/>
      <c r="AM340" s="192"/>
      <c r="AN340" s="192"/>
      <c r="AO340" s="192"/>
      <c r="AP340" s="192"/>
      <c r="AQ340" s="183"/>
    </row>
    <row r="341" spans="1:43" x14ac:dyDescent="0.25">
      <c r="C341" s="176" t="s">
        <v>34</v>
      </c>
      <c r="K341" s="63"/>
      <c r="R341" s="58"/>
      <c r="AQ341" s="183"/>
    </row>
    <row r="342" spans="1:43" x14ac:dyDescent="0.25">
      <c r="C342" s="173" t="s">
        <v>35</v>
      </c>
      <c r="K342" s="63"/>
      <c r="R342" s="58"/>
      <c r="AQ342" s="183"/>
    </row>
    <row r="343" spans="1:43" ht="15.75" thickBot="1" x14ac:dyDescent="0.3">
      <c r="K343" s="63"/>
      <c r="R343" s="58"/>
      <c r="AQ343" s="183"/>
    </row>
    <row r="344" spans="1:43" ht="30.75" thickBot="1" x14ac:dyDescent="0.3">
      <c r="C344" s="81" t="s">
        <v>15</v>
      </c>
      <c r="D344" s="82" t="s">
        <v>16</v>
      </c>
      <c r="E344" s="83" t="s">
        <v>17</v>
      </c>
      <c r="F344" s="84" t="s">
        <v>18</v>
      </c>
      <c r="G344" s="85" t="s">
        <v>19</v>
      </c>
      <c r="H344" s="85" t="s">
        <v>20</v>
      </c>
      <c r="I344" s="85" t="s">
        <v>21</v>
      </c>
      <c r="J344" s="86" t="s">
        <v>22</v>
      </c>
      <c r="K344" s="63"/>
      <c r="L344" s="44" t="str">
        <f t="shared" ref="L344:Q344" si="199">L$11</f>
        <v>2014 CWIP</v>
      </c>
      <c r="M344" s="45" t="str">
        <f t="shared" si="199"/>
        <v>2015 Total Expenditures</v>
      </c>
      <c r="N344" s="45" t="str">
        <f t="shared" si="199"/>
        <v>2016 Total Expenditures</v>
      </c>
      <c r="O344" s="45" t="str">
        <f t="shared" si="199"/>
        <v>2014 ISO CWIP Less Collectible</v>
      </c>
      <c r="P344" s="45" t="str">
        <f t="shared" si="199"/>
        <v>2015 ISO Expenditures Less Collectible</v>
      </c>
      <c r="Q344" s="46" t="str">
        <f t="shared" si="199"/>
        <v>2016 ISO Expenditures Less Collectible</v>
      </c>
      <c r="R344" s="58"/>
      <c r="S344" s="204">
        <f>$D$3</f>
        <v>42005</v>
      </c>
      <c r="T344" s="84">
        <f t="shared" ref="T344:AL344" si="200">DATE(YEAR(S344),MONTH(S344)+1,DAY(S344))</f>
        <v>42036</v>
      </c>
      <c r="U344" s="84">
        <f t="shared" si="200"/>
        <v>42064</v>
      </c>
      <c r="V344" s="84">
        <f t="shared" si="200"/>
        <v>42095</v>
      </c>
      <c r="W344" s="84">
        <f t="shared" si="200"/>
        <v>42125</v>
      </c>
      <c r="X344" s="84">
        <f t="shared" si="200"/>
        <v>42156</v>
      </c>
      <c r="Y344" s="84">
        <f t="shared" si="200"/>
        <v>42186</v>
      </c>
      <c r="Z344" s="84">
        <f t="shared" si="200"/>
        <v>42217</v>
      </c>
      <c r="AA344" s="84">
        <f t="shared" si="200"/>
        <v>42248</v>
      </c>
      <c r="AB344" s="84">
        <f t="shared" si="200"/>
        <v>42278</v>
      </c>
      <c r="AC344" s="84">
        <f t="shared" si="200"/>
        <v>42309</v>
      </c>
      <c r="AD344" s="205">
        <f t="shared" si="200"/>
        <v>42339</v>
      </c>
      <c r="AE344" s="84">
        <f>DATE(YEAR(AD344),MONTH(AD344)+1,DAY(AD344))</f>
        <v>42370</v>
      </c>
      <c r="AF344" s="84">
        <f t="shared" si="200"/>
        <v>42401</v>
      </c>
      <c r="AG344" s="84">
        <f t="shared" si="200"/>
        <v>42430</v>
      </c>
      <c r="AH344" s="84">
        <f t="shared" si="200"/>
        <v>42461</v>
      </c>
      <c r="AI344" s="84">
        <f t="shared" si="200"/>
        <v>42491</v>
      </c>
      <c r="AJ344" s="84">
        <f t="shared" si="200"/>
        <v>42522</v>
      </c>
      <c r="AK344" s="84">
        <f t="shared" si="200"/>
        <v>42552</v>
      </c>
      <c r="AL344" s="84">
        <f t="shared" si="200"/>
        <v>42583</v>
      </c>
      <c r="AM344" s="84">
        <f>DATE(YEAR(AL344),MONTH(AL344)+1,DAY(AL344))</f>
        <v>42614</v>
      </c>
      <c r="AN344" s="84">
        <f>DATE(YEAR(AM344),MONTH(AM344)+1,DAY(AM344))</f>
        <v>42644</v>
      </c>
      <c r="AO344" s="84">
        <f>DATE(YEAR(AN344),MONTH(AN344)+1,DAY(AN344))</f>
        <v>42675</v>
      </c>
      <c r="AP344" s="205">
        <f>DATE(YEAR(AO344),MONTH(AO344)+1,DAY(AO344))</f>
        <v>42705</v>
      </c>
      <c r="AQ344" s="183"/>
    </row>
    <row r="345" spans="1:43" x14ac:dyDescent="0.25">
      <c r="A345" s="214" t="str">
        <f>+$C$326</f>
        <v>Colorado River Substation</v>
      </c>
      <c r="B345" s="179" t="s">
        <v>36</v>
      </c>
      <c r="C345" s="239" t="str">
        <f t="shared" ref="C345:J345" si="201">C332</f>
        <v>CET-ET-TP-RL-707600</v>
      </c>
      <c r="D345" s="57" t="str">
        <f t="shared" si="201"/>
        <v>Colorado River Substation: Install Equipment to support Large Generation Interconnections.</v>
      </c>
      <c r="E345" s="240" t="str">
        <f t="shared" si="201"/>
        <v>7076</v>
      </c>
      <c r="F345" s="241" t="str">
        <f t="shared" si="201"/>
        <v>High</v>
      </c>
      <c r="G345" s="242">
        <f t="shared" si="201"/>
        <v>41456</v>
      </c>
      <c r="H345" s="241" t="str">
        <f t="shared" si="201"/>
        <v>TR-SUBINC</v>
      </c>
      <c r="I345" s="243">
        <f t="shared" si="201"/>
        <v>0</v>
      </c>
      <c r="J345" s="244">
        <f t="shared" si="201"/>
        <v>1</v>
      </c>
      <c r="K345" s="63"/>
      <c r="L345" s="234">
        <f>L332</f>
        <v>0</v>
      </c>
      <c r="M345" s="64">
        <f>M332</f>
        <v>200.27315999999999</v>
      </c>
      <c r="N345" s="64">
        <f>N332</f>
        <v>0</v>
      </c>
      <c r="O345" s="64">
        <f>$L345*$J345*(1-$I345)</f>
        <v>0</v>
      </c>
      <c r="P345" s="64">
        <f>$M345*$J345*(1-$I345)</f>
        <v>200.27315999999999</v>
      </c>
      <c r="Q345" s="65">
        <f>$N345*$J345*(1-$I345)</f>
        <v>0</v>
      </c>
      <c r="R345" s="59"/>
      <c r="S345" s="206">
        <v>1.0511400000000002</v>
      </c>
      <c r="T345" s="207">
        <v>0</v>
      </c>
      <c r="U345" s="207">
        <v>40.222019999999993</v>
      </c>
      <c r="V345" s="207">
        <v>20</v>
      </c>
      <c r="W345" s="207">
        <v>20</v>
      </c>
      <c r="X345" s="207">
        <v>20</v>
      </c>
      <c r="Y345" s="207">
        <v>20</v>
      </c>
      <c r="Z345" s="207">
        <v>19</v>
      </c>
      <c r="AA345" s="207">
        <v>15</v>
      </c>
      <c r="AB345" s="207">
        <v>15</v>
      </c>
      <c r="AC345" s="207">
        <v>15</v>
      </c>
      <c r="AD345" s="207">
        <v>15</v>
      </c>
      <c r="AE345" s="207">
        <v>0</v>
      </c>
      <c r="AF345" s="207">
        <v>0</v>
      </c>
      <c r="AG345" s="207">
        <v>0</v>
      </c>
      <c r="AH345" s="207">
        <v>0</v>
      </c>
      <c r="AI345" s="207">
        <v>0</v>
      </c>
      <c r="AJ345" s="207">
        <v>0</v>
      </c>
      <c r="AK345" s="207">
        <v>0</v>
      </c>
      <c r="AL345" s="207">
        <v>0</v>
      </c>
      <c r="AM345" s="207">
        <v>0</v>
      </c>
      <c r="AN345" s="207">
        <v>0</v>
      </c>
      <c r="AO345" s="207">
        <v>0</v>
      </c>
      <c r="AP345" s="197">
        <v>0</v>
      </c>
      <c r="AQ345" s="183"/>
    </row>
    <row r="346" spans="1:43" x14ac:dyDescent="0.25">
      <c r="A346" s="214" t="str">
        <f t="shared" ref="A346:A347" si="202">+$C$326</f>
        <v>Colorado River Substation</v>
      </c>
      <c r="B346" s="179" t="s">
        <v>36</v>
      </c>
      <c r="C346" s="56" t="str">
        <f t="shared" ref="C346:J346" si="203">C333</f>
        <v>CET-ET-TP-RN-706102</v>
      </c>
      <c r="D346" s="66" t="str">
        <f t="shared" si="203"/>
        <v>Devers: Relays for D-RB 500kV N-2 SPS</v>
      </c>
      <c r="E346" s="58" t="str">
        <f t="shared" si="203"/>
        <v>7061</v>
      </c>
      <c r="F346" s="60" t="str">
        <f t="shared" si="203"/>
        <v>High</v>
      </c>
      <c r="G346" s="59">
        <f t="shared" si="203"/>
        <v>42125</v>
      </c>
      <c r="H346" s="60" t="str">
        <f t="shared" si="203"/>
        <v>TR-SUBINC</v>
      </c>
      <c r="I346" s="61">
        <f t="shared" si="203"/>
        <v>0</v>
      </c>
      <c r="J346" s="62">
        <f t="shared" si="203"/>
        <v>1</v>
      </c>
      <c r="K346" s="63"/>
      <c r="L346" s="234">
        <f t="shared" ref="L346:N346" si="204">L333</f>
        <v>179.7689</v>
      </c>
      <c r="M346" s="64">
        <f t="shared" si="204"/>
        <v>649.85451999999998</v>
      </c>
      <c r="N346" s="64">
        <f t="shared" si="204"/>
        <v>0</v>
      </c>
      <c r="O346" s="64">
        <f t="shared" ref="O346:O348" si="205">$L346*$J346*(1-$I346)</f>
        <v>179.7689</v>
      </c>
      <c r="P346" s="64">
        <f t="shared" ref="P346:P348" si="206">$M346*$J346*(1-$I346)</f>
        <v>649.85451999999998</v>
      </c>
      <c r="Q346" s="65">
        <f t="shared" ref="Q346:Q348" si="207">$N346*$J346*(1-$I346)</f>
        <v>0</v>
      </c>
      <c r="R346" s="59"/>
      <c r="S346" s="180">
        <v>11.023759999999999</v>
      </c>
      <c r="T346" s="181">
        <v>58.354660000000003</v>
      </c>
      <c r="U346" s="181">
        <v>142.4761</v>
      </c>
      <c r="V346" s="181">
        <v>150</v>
      </c>
      <c r="W346" s="181">
        <v>150</v>
      </c>
      <c r="X346" s="181">
        <v>50</v>
      </c>
      <c r="Y346" s="181">
        <v>80</v>
      </c>
      <c r="Z346" s="181">
        <v>8</v>
      </c>
      <c r="AA346" s="181">
        <v>0</v>
      </c>
      <c r="AB346" s="181">
        <v>0</v>
      </c>
      <c r="AC346" s="181">
        <v>0</v>
      </c>
      <c r="AD346" s="181">
        <v>0</v>
      </c>
      <c r="AE346" s="181">
        <v>0</v>
      </c>
      <c r="AF346" s="181">
        <v>0</v>
      </c>
      <c r="AG346" s="181">
        <v>0</v>
      </c>
      <c r="AH346" s="181">
        <v>0</v>
      </c>
      <c r="AI346" s="181">
        <v>0</v>
      </c>
      <c r="AJ346" s="181">
        <v>0</v>
      </c>
      <c r="AK346" s="181">
        <v>0</v>
      </c>
      <c r="AL346" s="181">
        <v>0</v>
      </c>
      <c r="AM346" s="181">
        <v>0</v>
      </c>
      <c r="AN346" s="181">
        <v>0</v>
      </c>
      <c r="AO346" s="181">
        <v>0</v>
      </c>
      <c r="AP346" s="182">
        <v>0</v>
      </c>
      <c r="AQ346" s="183"/>
    </row>
    <row r="347" spans="1:43" x14ac:dyDescent="0.25">
      <c r="A347" s="214" t="str">
        <f t="shared" si="202"/>
        <v>Colorado River Substation</v>
      </c>
      <c r="B347" s="179" t="s">
        <v>36</v>
      </c>
      <c r="C347" s="56" t="str">
        <f t="shared" ref="C347:J347" si="208">C334</f>
        <v>CET-ET-TP-RN-706102</v>
      </c>
      <c r="D347" s="66" t="str">
        <f t="shared" si="208"/>
        <v>Red Bluff Sub: Install the following SPS Relays at each location:" Two N6</v>
      </c>
      <c r="E347" s="58" t="str">
        <f t="shared" si="208"/>
        <v>7061</v>
      </c>
      <c r="F347" s="60" t="str">
        <f t="shared" si="208"/>
        <v>High</v>
      </c>
      <c r="G347" s="59">
        <f t="shared" si="208"/>
        <v>42125</v>
      </c>
      <c r="H347" s="60" t="str">
        <f t="shared" si="208"/>
        <v>TR-SUBINC</v>
      </c>
      <c r="I347" s="61">
        <f t="shared" si="208"/>
        <v>0</v>
      </c>
      <c r="J347" s="62">
        <f t="shared" si="208"/>
        <v>1</v>
      </c>
      <c r="K347" s="63"/>
      <c r="L347" s="234">
        <f t="shared" ref="L347:N347" si="209">L334</f>
        <v>203.90525</v>
      </c>
      <c r="M347" s="64">
        <f t="shared" si="209"/>
        <v>749.9502</v>
      </c>
      <c r="N347" s="64">
        <f t="shared" si="209"/>
        <v>0</v>
      </c>
      <c r="O347" s="64">
        <f t="shared" si="205"/>
        <v>203.90525</v>
      </c>
      <c r="P347" s="64">
        <f t="shared" si="206"/>
        <v>749.9502</v>
      </c>
      <c r="Q347" s="65">
        <f t="shared" si="207"/>
        <v>0</v>
      </c>
      <c r="R347" s="59"/>
      <c r="S347" s="180">
        <v>26.4331</v>
      </c>
      <c r="T347" s="181">
        <v>53.412169999999996</v>
      </c>
      <c r="U347" s="181">
        <v>320.10492999999997</v>
      </c>
      <c r="V347" s="181">
        <v>100</v>
      </c>
      <c r="W347" s="181">
        <v>150</v>
      </c>
      <c r="X347" s="181">
        <v>100</v>
      </c>
      <c r="Y347" s="181">
        <v>0</v>
      </c>
      <c r="Z347" s="181">
        <v>0</v>
      </c>
      <c r="AA347" s="181">
        <v>0</v>
      </c>
      <c r="AB347" s="181">
        <v>0</v>
      </c>
      <c r="AC347" s="181">
        <v>0</v>
      </c>
      <c r="AD347" s="181">
        <v>0</v>
      </c>
      <c r="AE347" s="181">
        <v>0</v>
      </c>
      <c r="AF347" s="181">
        <v>0</v>
      </c>
      <c r="AG347" s="181">
        <v>0</v>
      </c>
      <c r="AH347" s="181">
        <v>0</v>
      </c>
      <c r="AI347" s="181">
        <v>0</v>
      </c>
      <c r="AJ347" s="181">
        <v>0</v>
      </c>
      <c r="AK347" s="181">
        <v>0</v>
      </c>
      <c r="AL347" s="181">
        <v>0</v>
      </c>
      <c r="AM347" s="181">
        <v>0</v>
      </c>
      <c r="AN347" s="181">
        <v>0</v>
      </c>
      <c r="AO347" s="181">
        <v>0</v>
      </c>
      <c r="AP347" s="182">
        <v>0</v>
      </c>
      <c r="AQ347" s="183"/>
    </row>
    <row r="348" spans="1:43" ht="15.75" thickBot="1" x14ac:dyDescent="0.3">
      <c r="A348" s="214" t="str">
        <f>+$C$326</f>
        <v>Colorado River Substation</v>
      </c>
      <c r="B348" s="179" t="s">
        <v>36</v>
      </c>
      <c r="C348" s="245" t="str">
        <f t="shared" ref="C348:J348" si="210">C335</f>
        <v>CET-ET-TP-RN-706102</v>
      </c>
      <c r="D348" s="246" t="str">
        <f t="shared" si="210"/>
        <v>Colorado River Sub Install the following SPS Relays:" Four N60 relays (Tw</v>
      </c>
      <c r="E348" s="247" t="str">
        <f t="shared" si="210"/>
        <v>7061</v>
      </c>
      <c r="F348" s="248" t="str">
        <f t="shared" si="210"/>
        <v>High</v>
      </c>
      <c r="G348" s="249">
        <f t="shared" si="210"/>
        <v>42125</v>
      </c>
      <c r="H348" s="248" t="str">
        <f t="shared" si="210"/>
        <v>TR-SUBINC</v>
      </c>
      <c r="I348" s="250">
        <f t="shared" si="210"/>
        <v>0</v>
      </c>
      <c r="J348" s="251">
        <f t="shared" si="210"/>
        <v>1</v>
      </c>
      <c r="K348" s="63"/>
      <c r="L348" s="234">
        <f t="shared" ref="L348:N348" si="211">L335</f>
        <v>204.28922</v>
      </c>
      <c r="M348" s="64">
        <f t="shared" si="211"/>
        <v>650.43409999999994</v>
      </c>
      <c r="N348" s="64">
        <f t="shared" si="211"/>
        <v>0</v>
      </c>
      <c r="O348" s="64">
        <f t="shared" si="205"/>
        <v>204.28922</v>
      </c>
      <c r="P348" s="64">
        <f t="shared" si="206"/>
        <v>650.43409999999994</v>
      </c>
      <c r="Q348" s="65">
        <f t="shared" si="207"/>
        <v>0</v>
      </c>
      <c r="R348" s="59"/>
      <c r="S348" s="257">
        <v>12.40631</v>
      </c>
      <c r="T348" s="258">
        <v>29.91</v>
      </c>
      <c r="U348" s="258">
        <v>215.11779000000001</v>
      </c>
      <c r="V348" s="258">
        <v>138</v>
      </c>
      <c r="W348" s="258">
        <v>150</v>
      </c>
      <c r="X348" s="258">
        <v>105</v>
      </c>
      <c r="Y348" s="258">
        <v>0</v>
      </c>
      <c r="Z348" s="258">
        <v>0</v>
      </c>
      <c r="AA348" s="258">
        <v>0</v>
      </c>
      <c r="AB348" s="258">
        <v>0</v>
      </c>
      <c r="AC348" s="258">
        <v>0</v>
      </c>
      <c r="AD348" s="258">
        <v>0</v>
      </c>
      <c r="AE348" s="258">
        <v>0</v>
      </c>
      <c r="AF348" s="258">
        <v>0</v>
      </c>
      <c r="AG348" s="258">
        <v>0</v>
      </c>
      <c r="AH348" s="258">
        <v>0</v>
      </c>
      <c r="AI348" s="258">
        <v>0</v>
      </c>
      <c r="AJ348" s="258">
        <v>0</v>
      </c>
      <c r="AK348" s="258">
        <v>0</v>
      </c>
      <c r="AL348" s="258">
        <v>0</v>
      </c>
      <c r="AM348" s="258">
        <v>0</v>
      </c>
      <c r="AN348" s="258">
        <v>0</v>
      </c>
      <c r="AO348" s="258">
        <v>0</v>
      </c>
      <c r="AP348" s="259">
        <v>0</v>
      </c>
      <c r="AQ348" s="183"/>
    </row>
    <row r="349" spans="1:43" ht="15.75" thickBot="1" x14ac:dyDescent="0.3">
      <c r="C349" s="230" t="s">
        <v>37</v>
      </c>
      <c r="D349" s="231"/>
      <c r="E349" s="231"/>
      <c r="F349" s="231"/>
      <c r="G349" s="231"/>
      <c r="H349" s="231"/>
      <c r="I349" s="231"/>
      <c r="J349" s="232"/>
      <c r="K349" s="63"/>
      <c r="L349" s="125">
        <f t="shared" ref="L349:Q349" si="212">SUM(L345:L348)</f>
        <v>587.96336999999994</v>
      </c>
      <c r="M349" s="126">
        <f t="shared" si="212"/>
        <v>2250.5119799999998</v>
      </c>
      <c r="N349" s="126">
        <f t="shared" si="212"/>
        <v>0</v>
      </c>
      <c r="O349" s="126">
        <f t="shared" si="212"/>
        <v>587.96336999999994</v>
      </c>
      <c r="P349" s="126">
        <f t="shared" si="212"/>
        <v>2250.5119799999998</v>
      </c>
      <c r="Q349" s="127">
        <f t="shared" si="212"/>
        <v>0</v>
      </c>
      <c r="R349" s="58"/>
      <c r="S349" s="208">
        <f t="shared" ref="S349:AP349" si="213">SUM(S345:S348)</f>
        <v>50.914309999999993</v>
      </c>
      <c r="T349" s="209">
        <f t="shared" si="213"/>
        <v>141.67683</v>
      </c>
      <c r="U349" s="209">
        <f t="shared" si="213"/>
        <v>717.92084</v>
      </c>
      <c r="V349" s="209">
        <f t="shared" si="213"/>
        <v>408</v>
      </c>
      <c r="W349" s="209">
        <f t="shared" si="213"/>
        <v>470</v>
      </c>
      <c r="X349" s="209">
        <f t="shared" si="213"/>
        <v>275</v>
      </c>
      <c r="Y349" s="209">
        <f t="shared" si="213"/>
        <v>100</v>
      </c>
      <c r="Z349" s="209">
        <f t="shared" si="213"/>
        <v>27</v>
      </c>
      <c r="AA349" s="209">
        <f t="shared" si="213"/>
        <v>15</v>
      </c>
      <c r="AB349" s="209">
        <f t="shared" si="213"/>
        <v>15</v>
      </c>
      <c r="AC349" s="209">
        <f t="shared" si="213"/>
        <v>15</v>
      </c>
      <c r="AD349" s="210">
        <f t="shared" si="213"/>
        <v>15</v>
      </c>
      <c r="AE349" s="209">
        <f t="shared" si="213"/>
        <v>0</v>
      </c>
      <c r="AF349" s="209">
        <f t="shared" si="213"/>
        <v>0</v>
      </c>
      <c r="AG349" s="209">
        <f t="shared" si="213"/>
        <v>0</v>
      </c>
      <c r="AH349" s="209">
        <f t="shared" si="213"/>
        <v>0</v>
      </c>
      <c r="AI349" s="209">
        <f t="shared" si="213"/>
        <v>0</v>
      </c>
      <c r="AJ349" s="209">
        <f t="shared" si="213"/>
        <v>0</v>
      </c>
      <c r="AK349" s="209">
        <f t="shared" si="213"/>
        <v>0</v>
      </c>
      <c r="AL349" s="209">
        <f t="shared" si="213"/>
        <v>0</v>
      </c>
      <c r="AM349" s="209">
        <f t="shared" si="213"/>
        <v>0</v>
      </c>
      <c r="AN349" s="209">
        <f t="shared" si="213"/>
        <v>0</v>
      </c>
      <c r="AO349" s="209">
        <f t="shared" si="213"/>
        <v>0</v>
      </c>
      <c r="AP349" s="210">
        <f t="shared" si="213"/>
        <v>0</v>
      </c>
      <c r="AQ349" s="183"/>
    </row>
    <row r="350" spans="1:43" ht="15.75" thickTop="1" x14ac:dyDescent="0.25">
      <c r="K350" s="63"/>
      <c r="R350" s="58"/>
      <c r="S350" s="212"/>
      <c r="T350" s="212"/>
      <c r="U350" s="212"/>
      <c r="V350" s="212"/>
      <c r="W350" s="212"/>
      <c r="X350" s="212"/>
      <c r="Y350" s="212"/>
      <c r="Z350" s="212"/>
      <c r="AA350" s="212"/>
      <c r="AB350" s="212"/>
      <c r="AC350" s="212"/>
      <c r="AD350" s="212"/>
      <c r="AE350" s="212"/>
      <c r="AF350" s="212"/>
      <c r="AG350" s="212"/>
      <c r="AH350" s="212"/>
      <c r="AI350" s="212"/>
      <c r="AJ350" s="212"/>
      <c r="AK350" s="212"/>
      <c r="AL350" s="212"/>
      <c r="AM350" s="212"/>
      <c r="AN350" s="212"/>
      <c r="AO350" s="212"/>
      <c r="AP350" s="212"/>
      <c r="AQ350" s="183"/>
    </row>
    <row r="351" spans="1:43" x14ac:dyDescent="0.25">
      <c r="K351" s="63"/>
      <c r="R351" s="58"/>
      <c r="AQ351" s="183"/>
    </row>
    <row r="352" spans="1:43" x14ac:dyDescent="0.25">
      <c r="K352" s="63"/>
      <c r="R352" s="58"/>
      <c r="S352" s="212"/>
      <c r="T352" s="212"/>
      <c r="U352" s="212"/>
      <c r="V352" s="212"/>
      <c r="W352" s="212"/>
      <c r="X352" s="212"/>
      <c r="Y352" s="212"/>
      <c r="Z352" s="212"/>
      <c r="AA352" s="212"/>
      <c r="AB352" s="212"/>
      <c r="AC352" s="212"/>
      <c r="AD352" s="212"/>
      <c r="AE352" s="212"/>
      <c r="AF352" s="212"/>
      <c r="AG352" s="212"/>
      <c r="AH352" s="212"/>
      <c r="AI352" s="212"/>
      <c r="AJ352" s="212"/>
      <c r="AK352" s="212"/>
      <c r="AL352" s="212"/>
      <c r="AM352" s="212"/>
      <c r="AN352" s="212"/>
      <c r="AO352" s="212"/>
      <c r="AP352" s="212"/>
      <c r="AQ352" s="183"/>
    </row>
    <row r="353" spans="1:43" ht="18.75" x14ac:dyDescent="0.25">
      <c r="C353" s="275" t="s">
        <v>46</v>
      </c>
      <c r="D353" s="276"/>
      <c r="E353" s="276"/>
      <c r="F353" s="277"/>
      <c r="G353" s="277"/>
      <c r="H353" s="277"/>
      <c r="I353" s="277"/>
      <c r="J353" s="277"/>
      <c r="K353" s="63"/>
      <c r="R353" s="58"/>
      <c r="AQ353" s="183"/>
    </row>
    <row r="354" spans="1:43" x14ac:dyDescent="0.25">
      <c r="K354" s="63"/>
      <c r="R354" s="58"/>
      <c r="AQ354" s="183"/>
    </row>
    <row r="355" spans="1:43" x14ac:dyDescent="0.25">
      <c r="C355" s="176" t="s">
        <v>31</v>
      </c>
      <c r="K355" s="63"/>
      <c r="R355" s="58"/>
      <c r="AQ355" s="183"/>
    </row>
    <row r="356" spans="1:43" ht="15" customHeight="1" x14ac:dyDescent="0.25">
      <c r="C356" s="225" t="s">
        <v>44</v>
      </c>
      <c r="D356" s="225"/>
      <c r="E356" s="225"/>
      <c r="F356" s="225"/>
      <c r="G356" s="225"/>
      <c r="H356" s="225"/>
      <c r="I356" s="225"/>
      <c r="J356" s="225"/>
      <c r="K356" s="63"/>
      <c r="R356" s="58"/>
      <c r="AQ356" s="183"/>
    </row>
    <row r="357" spans="1:43" ht="15.75" thickBot="1" x14ac:dyDescent="0.3">
      <c r="K357" s="63"/>
      <c r="R357" s="58"/>
      <c r="AQ357" s="183"/>
    </row>
    <row r="358" spans="1:43" ht="30.75" thickBot="1" x14ac:dyDescent="0.3">
      <c r="C358" s="51" t="s">
        <v>15</v>
      </c>
      <c r="D358" s="52" t="s">
        <v>16</v>
      </c>
      <c r="E358" s="53" t="s">
        <v>17</v>
      </c>
      <c r="F358" s="54" t="s">
        <v>18</v>
      </c>
      <c r="G358" s="45" t="s">
        <v>19</v>
      </c>
      <c r="H358" s="45" t="s">
        <v>20</v>
      </c>
      <c r="I358" s="45" t="s">
        <v>21</v>
      </c>
      <c r="J358" s="46" t="s">
        <v>22</v>
      </c>
      <c r="K358" s="63"/>
      <c r="L358" s="44" t="str">
        <f t="shared" ref="L358:Q358" si="214">L$11</f>
        <v>2014 CWIP</v>
      </c>
      <c r="M358" s="45" t="str">
        <f t="shared" si="214"/>
        <v>2015 Total Expenditures</v>
      </c>
      <c r="N358" s="45" t="str">
        <f t="shared" si="214"/>
        <v>2016 Total Expenditures</v>
      </c>
      <c r="O358" s="45" t="str">
        <f t="shared" si="214"/>
        <v>2014 ISO CWIP Less Collectible</v>
      </c>
      <c r="P358" s="45" t="str">
        <f t="shared" si="214"/>
        <v>2015 ISO Expenditures Less Collectible</v>
      </c>
      <c r="Q358" s="46" t="str">
        <f t="shared" si="214"/>
        <v>2016 ISO Expenditures Less Collectible</v>
      </c>
      <c r="R358" s="58"/>
      <c r="S358" s="69">
        <f>$D$3</f>
        <v>42005</v>
      </c>
      <c r="T358" s="54">
        <f t="shared" ref="T358:AL358" si="215">DATE(YEAR(S358),MONTH(S358)+1,DAY(S358))</f>
        <v>42036</v>
      </c>
      <c r="U358" s="54">
        <f t="shared" si="215"/>
        <v>42064</v>
      </c>
      <c r="V358" s="54">
        <f t="shared" si="215"/>
        <v>42095</v>
      </c>
      <c r="W358" s="54">
        <f t="shared" si="215"/>
        <v>42125</v>
      </c>
      <c r="X358" s="54">
        <f t="shared" si="215"/>
        <v>42156</v>
      </c>
      <c r="Y358" s="54">
        <f t="shared" si="215"/>
        <v>42186</v>
      </c>
      <c r="Z358" s="54">
        <f t="shared" si="215"/>
        <v>42217</v>
      </c>
      <c r="AA358" s="54">
        <f t="shared" si="215"/>
        <v>42248</v>
      </c>
      <c r="AB358" s="54">
        <f t="shared" si="215"/>
        <v>42278</v>
      </c>
      <c r="AC358" s="54">
        <f t="shared" si="215"/>
        <v>42309</v>
      </c>
      <c r="AD358" s="177">
        <f t="shared" si="215"/>
        <v>42339</v>
      </c>
      <c r="AE358" s="54">
        <f>DATE(YEAR(AD358),MONTH(AD358)+1,DAY(AD358))</f>
        <v>42370</v>
      </c>
      <c r="AF358" s="54">
        <f t="shared" si="215"/>
        <v>42401</v>
      </c>
      <c r="AG358" s="54">
        <f t="shared" si="215"/>
        <v>42430</v>
      </c>
      <c r="AH358" s="54">
        <f t="shared" si="215"/>
        <v>42461</v>
      </c>
      <c r="AI358" s="54">
        <f t="shared" si="215"/>
        <v>42491</v>
      </c>
      <c r="AJ358" s="54">
        <f t="shared" si="215"/>
        <v>42522</v>
      </c>
      <c r="AK358" s="54">
        <f t="shared" si="215"/>
        <v>42552</v>
      </c>
      <c r="AL358" s="54">
        <f t="shared" si="215"/>
        <v>42583</v>
      </c>
      <c r="AM358" s="54">
        <f>DATE(YEAR(AL358),MONTH(AL358)+1,DAY(AL358))</f>
        <v>42614</v>
      </c>
      <c r="AN358" s="54">
        <f>DATE(YEAR(AM358),MONTH(AM358)+1,DAY(AM358))</f>
        <v>42644</v>
      </c>
      <c r="AO358" s="54">
        <f>DATE(YEAR(AN358),MONTH(AN358)+1,DAY(AN358))</f>
        <v>42675</v>
      </c>
      <c r="AP358" s="177">
        <f>DATE(YEAR(AO358),MONTH(AO358)+1,DAY(AO358))</f>
        <v>42705</v>
      </c>
      <c r="AQ358" s="183"/>
    </row>
    <row r="359" spans="1:43" x14ac:dyDescent="0.25">
      <c r="A359" s="169" t="str">
        <f>+$C$353</f>
        <v>Whirlwind Substation Expansion Project</v>
      </c>
      <c r="B359" s="179" t="s">
        <v>33</v>
      </c>
      <c r="C359" s="56" t="s">
        <v>252</v>
      </c>
      <c r="D359" s="57" t="s">
        <v>253</v>
      </c>
      <c r="E359" s="58" t="s">
        <v>324</v>
      </c>
      <c r="F359" s="155" t="s">
        <v>70</v>
      </c>
      <c r="G359" s="59">
        <v>41974</v>
      </c>
      <c r="H359" s="60" t="s">
        <v>288</v>
      </c>
      <c r="I359" s="61">
        <v>0</v>
      </c>
      <c r="J359" s="62">
        <v>1</v>
      </c>
      <c r="K359" s="63"/>
      <c r="L359" s="233">
        <v>0</v>
      </c>
      <c r="M359" s="64">
        <f>SUM($S372:$AD372)</f>
        <v>50.354990000000001</v>
      </c>
      <c r="N359" s="64">
        <f>SUM($AE372:$AP372)</f>
        <v>0</v>
      </c>
      <c r="O359" s="64">
        <f>$L359*$J359*(1-$I359)</f>
        <v>0</v>
      </c>
      <c r="P359" s="64">
        <f>$M359*$J359*(1-$I359)</f>
        <v>50.354990000000001</v>
      </c>
      <c r="Q359" s="65">
        <f>$N359*$J359*(1-$I359)</f>
        <v>0</v>
      </c>
      <c r="R359" s="59"/>
      <c r="S359" s="180">
        <f>IF(OR(RIGHT($H359,3)="RGT",RIGHT($H359,3)="INC"),IF($G359=S$188,SUM($S372:S372)+$O359,IF(S$188&gt;$G359,S372,0)),0)</f>
        <v>3.0012399999999997</v>
      </c>
      <c r="T359" s="181">
        <f>IF(OR(RIGHT($H359,3)="RGT",RIGHT($H359,3)="INC"),IF($G359=T$188,SUM($S372:T372)+$O359,IF(T$188&gt;$G359,T372,0)),0)</f>
        <v>23.74464</v>
      </c>
      <c r="U359" s="181">
        <f>IF(OR(RIGHT($H359,3)="RGT",RIGHT($H359,3)="INC"),IF($G359=U$188,SUM($S372:U372)+$O359,IF(U$188&gt;$G359,U372,0)),0)</f>
        <v>13.609110000000001</v>
      </c>
      <c r="V359" s="181">
        <f>IF(OR(RIGHT($H359,3)="RGT",RIGHT($H359,3)="INC"),IF($G359=V$188,SUM($S372:V372)+$O359,IF(V$188&gt;$G359,V372,0)),0)</f>
        <v>5</v>
      </c>
      <c r="W359" s="181">
        <f>IF(OR(RIGHT($H359,3)="RGT",RIGHT($H359,3)="INC"),IF($G359=W$188,SUM($S372:W372)+$O359,IF(W$188&gt;$G359,W372,0)),0)</f>
        <v>5</v>
      </c>
      <c r="X359" s="181">
        <f>IF(OR(RIGHT($H359,3)="RGT",RIGHT($H359,3)="INC"),IF($G359=X$188,SUM($S372:X372)+$O359,IF(X$188&gt;$G359,X372,0)),0)</f>
        <v>0</v>
      </c>
      <c r="Y359" s="181">
        <f>IF(OR(RIGHT($H359,3)="RGT",RIGHT($H359,3)="INC"),IF($G359=Y$188,SUM($S372:Y372)+$O359,IF(Y$188&gt;$G359,Y372,0)),0)</f>
        <v>0</v>
      </c>
      <c r="Z359" s="181">
        <f>IF(OR(RIGHT($H359,3)="RGT",RIGHT($H359,3)="INC"),IF($G359=Z$188,SUM($S372:Z372)+$O359,IF(Z$188&gt;$G359,Z372,0)),0)</f>
        <v>0</v>
      </c>
      <c r="AA359" s="181">
        <f>IF(OR(RIGHT($H359,3)="RGT",RIGHT($H359,3)="INC"),IF($G359=AA$188,SUM($S372:AA372)+$O359,IF(AA$188&gt;$G359,AA372,0)),0)</f>
        <v>0</v>
      </c>
      <c r="AB359" s="181">
        <f>IF(OR(RIGHT($H359,3)="RGT",RIGHT($H359,3)="INC"),IF($G359=AB$188,SUM($S372:AB372)+$O359,IF(AB$188&gt;$G359,AB372,0)),0)</f>
        <v>0</v>
      </c>
      <c r="AC359" s="181">
        <f>IF(OR(RIGHT($H359,3)="RGT",RIGHT($H359,3)="INC"),IF($G359=AC$188,SUM($S372:AC372)+$O359,IF(AC$188&gt;$G359,AC372,0)),0)</f>
        <v>0</v>
      </c>
      <c r="AD359" s="182">
        <f>IF(OR(RIGHT($H359,3)="RGT",RIGHT($H359,3)="INC"),IF($G359=AD$188,SUM($S372:AD372)+$O359,IF(AD$188&gt;$G359,AD372,0)),0)</f>
        <v>0</v>
      </c>
      <c r="AE359" s="181">
        <f>IF(OR(RIGHT($H359,3)="RGT",RIGHT($H359,3)="INC"),IF($G359=AE$188,SUM($S372:AE372)+$O359,IF(AE$188&gt;$G359,AE372,0)),0)</f>
        <v>0</v>
      </c>
      <c r="AF359" s="181">
        <f>IF(OR(RIGHT($H359,3)="RGT",RIGHT($H359,3)="INC"),IF($G359=AF$188,SUM($S372:AF372)+$O359,IF(AF$188&gt;$G359,AF372,0)),0)</f>
        <v>0</v>
      </c>
      <c r="AG359" s="181">
        <f>IF(OR(RIGHT($H359,3)="RGT",RIGHT($H359,3)="INC"),IF($G359=AG$188,SUM($S372:AG372)+$O359,IF(AG$188&gt;$G359,AG372,0)),0)</f>
        <v>0</v>
      </c>
      <c r="AH359" s="181">
        <f>IF(OR(RIGHT($H359,3)="RGT",RIGHT($H359,3)="INC"),IF($G359=AH$188,SUM($S372:AH372)+$O359,IF(AH$188&gt;$G359,AH372,0)),0)</f>
        <v>0</v>
      </c>
      <c r="AI359" s="181">
        <f>IF(OR(RIGHT($H359,3)="RGT",RIGHT($H359,3)="INC"),IF($G359=AI$188,SUM($S372:AI372)+$O359,IF(AI$188&gt;$G359,AI372,0)),0)</f>
        <v>0</v>
      </c>
      <c r="AJ359" s="181">
        <f>IF(OR(RIGHT($H359,3)="RGT",RIGHT($H359,3)="INC"),IF($G359=AJ$188,SUM($S372:AJ372)+$O359,IF(AJ$188&gt;$G359,AJ372,0)),0)</f>
        <v>0</v>
      </c>
      <c r="AK359" s="181">
        <f>IF(OR(RIGHT($H359,3)="RGT",RIGHT($H359,3)="INC"),IF($G359=AK$188,SUM($S372:AK372)+$O359,IF(AK$188&gt;$G359,AK372,0)),0)</f>
        <v>0</v>
      </c>
      <c r="AL359" s="181">
        <f>IF(OR(RIGHT($H359,3)="RGT",RIGHT($H359,3)="INC"),IF($G359=AL$188,SUM($S372:AL372)+$O359,IF(AL$188&gt;$G359,AL372,0)),0)</f>
        <v>0</v>
      </c>
      <c r="AM359" s="181">
        <f>IF(OR(RIGHT($H359,3)="RGT",RIGHT($H359,3)="INC"),IF($G359=AM$188,SUM($S372:AM372)+$O359,IF(AM$188&gt;$G359,AM372,0)),0)</f>
        <v>0</v>
      </c>
      <c r="AN359" s="181">
        <f>IF(OR(RIGHT($H359,3)="RGT",RIGHT($H359,3)="INC"),IF($G359=AN$188,SUM($S372:AN372)+$O359,IF(AN$188&gt;$G359,AN372,0)),0)</f>
        <v>0</v>
      </c>
      <c r="AO359" s="181">
        <f>IF(OR(RIGHT($H359,3)="RGT",RIGHT($H359,3)="INC"),IF($G359=AO$188,SUM($S372:AO372)+$O359,IF(AO$188&gt;$G359,AO372,0)),0)</f>
        <v>0</v>
      </c>
      <c r="AP359" s="182">
        <f>IF(OR(RIGHT($H359,3)="RGT",RIGHT($H359,3)="INC"),IF($G359=AP$188,SUM($S372:AP372)+$O359,IF(AP$188&gt;$G359,AP372,0)),0)</f>
        <v>0</v>
      </c>
      <c r="AQ359" s="183"/>
    </row>
    <row r="360" spans="1:43" x14ac:dyDescent="0.25">
      <c r="A360" s="169" t="str">
        <f t="shared" ref="A360:A362" si="216">+$C$353</f>
        <v>Whirlwind Substation Expansion Project</v>
      </c>
      <c r="B360" s="179" t="s">
        <v>33</v>
      </c>
      <c r="C360" s="56" t="s">
        <v>325</v>
      </c>
      <c r="D360" s="66" t="s">
        <v>326</v>
      </c>
      <c r="E360" s="58" t="s">
        <v>327</v>
      </c>
      <c r="F360" s="155" t="s">
        <v>70</v>
      </c>
      <c r="G360" s="59">
        <v>42339</v>
      </c>
      <c r="H360" s="60" t="s">
        <v>288</v>
      </c>
      <c r="I360" s="61">
        <v>0</v>
      </c>
      <c r="J360" s="62">
        <v>1</v>
      </c>
      <c r="K360" s="63"/>
      <c r="L360" s="282">
        <f>11.13493*0</f>
        <v>0</v>
      </c>
      <c r="M360" s="64">
        <f>SUM($S373:$AD373)</f>
        <v>299.90355</v>
      </c>
      <c r="N360" s="64">
        <f>SUM($AE373:$AP373)</f>
        <v>0</v>
      </c>
      <c r="O360" s="64">
        <f>$L360*$J360*(1-$I360)</f>
        <v>0</v>
      </c>
      <c r="P360" s="64">
        <f>$M360*$J360*(1-$I360)</f>
        <v>299.90355</v>
      </c>
      <c r="Q360" s="65">
        <f>$N360*$J360*(1-$I360)</f>
        <v>0</v>
      </c>
      <c r="R360" s="59"/>
      <c r="S360" s="180">
        <f>IF(OR(RIGHT($H360,3)="RGT",RIGHT($H360,3)="INC"),IF($G360=S$188,SUM($S373:S373)+$O360,IF(S$188&gt;$G360,S373,0)),0)</f>
        <v>0</v>
      </c>
      <c r="T360" s="181">
        <f>IF(OR(RIGHT($H360,3)="RGT",RIGHT($H360,3)="INC"),IF($G360=T$188,SUM($S373:T373)+$O360,IF(T$188&gt;$G360,T373,0)),0)</f>
        <v>0</v>
      </c>
      <c r="U360" s="181">
        <f>IF(OR(RIGHT($H360,3)="RGT",RIGHT($H360,3)="INC"),IF($G360=U$188,SUM($S373:U373)+$O360,IF(U$188&gt;$G360,U373,0)),0)</f>
        <v>0</v>
      </c>
      <c r="V360" s="181">
        <f>IF(OR(RIGHT($H360,3)="RGT",RIGHT($H360,3)="INC"),IF($G360=V$188,SUM($S373:V373)+$O360,IF(V$188&gt;$G360,V373,0)),0)</f>
        <v>0</v>
      </c>
      <c r="W360" s="181">
        <f>IF(OR(RIGHT($H360,3)="RGT",RIGHT($H360,3)="INC"),IF($G360=W$188,SUM($S373:W373)+$O360,IF(W$188&gt;$G360,W373,0)),0)</f>
        <v>0</v>
      </c>
      <c r="X360" s="181">
        <f>IF(OR(RIGHT($H360,3)="RGT",RIGHT($H360,3)="INC"),IF($G360=X$188,SUM($S373:X373)+$O360,IF(X$188&gt;$G360,X373,0)),0)</f>
        <v>0</v>
      </c>
      <c r="Y360" s="181">
        <f>IF(OR(RIGHT($H360,3)="RGT",RIGHT($H360,3)="INC"),IF($G360=Y$188,SUM($S373:Y373)+$O360,IF(Y$188&gt;$G360,Y373,0)),0)</f>
        <v>0</v>
      </c>
      <c r="Z360" s="181">
        <f>IF(OR(RIGHT($H360,3)="RGT",RIGHT($H360,3)="INC"),IF($G360=Z$188,SUM($S373:Z373)+$O360,IF(Z$188&gt;$G360,Z373,0)),0)</f>
        <v>0</v>
      </c>
      <c r="AA360" s="181">
        <f>IF(OR(RIGHT($H360,3)="RGT",RIGHT($H360,3)="INC"),IF($G360=AA$188,SUM($S373:AA373)+$O360,IF(AA$188&gt;$G360,AA373,0)),0)</f>
        <v>0</v>
      </c>
      <c r="AB360" s="181">
        <f>IF(OR(RIGHT($H360,3)="RGT",RIGHT($H360,3)="INC"),IF($G360=AB$188,SUM($S373:AB373)+$O360,IF(AB$188&gt;$G360,AB373,0)),0)</f>
        <v>0</v>
      </c>
      <c r="AC360" s="181">
        <f>IF(OR(RIGHT($H360,3)="RGT",RIGHT($H360,3)="INC"),IF($G360=AC$188,SUM($S373:AC373)+$O360,IF(AC$188&gt;$G360,AC373,0)),0)</f>
        <v>0</v>
      </c>
      <c r="AD360" s="182">
        <f>IF(OR(RIGHT($H360,3)="RGT",RIGHT($H360,3)="INC"),IF($G360=AD$188,SUM($S373:AD373)+$O360,IF(AD$188&gt;$G360,AD373,0)),0)</f>
        <v>299.90355</v>
      </c>
      <c r="AE360" s="181">
        <f>IF(OR(RIGHT($H360,3)="RGT",RIGHT($H360,3)="INC"),IF($G360=AE$188,SUM($S373:AE373)+$O360,IF(AE$188&gt;$G360,AE373,0)),0)</f>
        <v>0</v>
      </c>
      <c r="AF360" s="181">
        <f>IF(OR(RIGHT($H360,3)="RGT",RIGHT($H360,3)="INC"),IF($G360=AF$188,SUM($S373:AF373)+$O360,IF(AF$188&gt;$G360,AF373,0)),0)</f>
        <v>0</v>
      </c>
      <c r="AG360" s="181">
        <f>IF(OR(RIGHT($H360,3)="RGT",RIGHT($H360,3)="INC"),IF($G360=AG$188,SUM($S373:AG373)+$O360,IF(AG$188&gt;$G360,AG373,0)),0)</f>
        <v>0</v>
      </c>
      <c r="AH360" s="181">
        <f>IF(OR(RIGHT($H360,3)="RGT",RIGHT($H360,3)="INC"),IF($G360=AH$188,SUM($S373:AH373)+$O360,IF(AH$188&gt;$G360,AH373,0)),0)</f>
        <v>0</v>
      </c>
      <c r="AI360" s="181">
        <f>IF(OR(RIGHT($H360,3)="RGT",RIGHT($H360,3)="INC"),IF($G360=AI$188,SUM($S373:AI373)+$O360,IF(AI$188&gt;$G360,AI373,0)),0)</f>
        <v>0</v>
      </c>
      <c r="AJ360" s="181">
        <f>IF(OR(RIGHT($H360,3)="RGT",RIGHT($H360,3)="INC"),IF($G360=AJ$188,SUM($S373:AJ373)+$O360,IF(AJ$188&gt;$G360,AJ373,0)),0)</f>
        <v>0</v>
      </c>
      <c r="AK360" s="181">
        <f>IF(OR(RIGHT($H360,3)="RGT",RIGHT($H360,3)="INC"),IF($G360=AK$188,SUM($S373:AK373)+$O360,IF(AK$188&gt;$G360,AK373,0)),0)</f>
        <v>0</v>
      </c>
      <c r="AL360" s="181">
        <f>IF(OR(RIGHT($H360,3)="RGT",RIGHT($H360,3)="INC"),IF($G360=AL$188,SUM($S373:AL373)+$O360,IF(AL$188&gt;$G360,AL373,0)),0)</f>
        <v>0</v>
      </c>
      <c r="AM360" s="181">
        <f>IF(OR(RIGHT($H360,3)="RGT",RIGHT($H360,3)="INC"),IF($G360=AM$188,SUM($S373:AM373)+$O360,IF(AM$188&gt;$G360,AM373,0)),0)</f>
        <v>0</v>
      </c>
      <c r="AN360" s="181">
        <f>IF(OR(RIGHT($H360,3)="RGT",RIGHT($H360,3)="INC"),IF($G360=AN$188,SUM($S373:AN373)+$O360,IF(AN$188&gt;$G360,AN373,0)),0)</f>
        <v>0</v>
      </c>
      <c r="AO360" s="181">
        <f>IF(OR(RIGHT($H360,3)="RGT",RIGHT($H360,3)="INC"),IF($G360=AO$188,SUM($S373:AO373)+$O360,IF(AO$188&gt;$G360,AO373,0)),0)</f>
        <v>0</v>
      </c>
      <c r="AP360" s="182">
        <f>IF(OR(RIGHT($H360,3)="RGT",RIGHT($H360,3)="INC"),IF($G360=AP$188,SUM($S373:AP373)+$O360,IF(AP$188&gt;$G360,AP373,0)),0)</f>
        <v>0</v>
      </c>
      <c r="AQ360" s="183"/>
    </row>
    <row r="361" spans="1:43" x14ac:dyDescent="0.25">
      <c r="A361" s="169" t="str">
        <f t="shared" si="216"/>
        <v>Whirlwind Substation Expansion Project</v>
      </c>
      <c r="B361" s="179" t="s">
        <v>33</v>
      </c>
      <c r="C361" s="56" t="s">
        <v>254</v>
      </c>
      <c r="D361" s="66" t="s">
        <v>255</v>
      </c>
      <c r="E361" s="58" t="s">
        <v>324</v>
      </c>
      <c r="F361" s="155" t="s">
        <v>70</v>
      </c>
      <c r="G361" s="59">
        <v>41974</v>
      </c>
      <c r="H361" s="60" t="s">
        <v>288</v>
      </c>
      <c r="I361" s="61">
        <v>0</v>
      </c>
      <c r="J361" s="62">
        <v>1</v>
      </c>
      <c r="K361" s="63"/>
      <c r="L361" s="122">
        <v>0</v>
      </c>
      <c r="M361" s="64">
        <f>SUM($S374:$AD374)</f>
        <v>9.8383600000000015</v>
      </c>
      <c r="N361" s="64">
        <f>SUM($AE374:$AP374)</f>
        <v>0</v>
      </c>
      <c r="O361" s="64">
        <f>$L361*$J361*(1-$I361)</f>
        <v>0</v>
      </c>
      <c r="P361" s="64">
        <f>$M361*$J361*(1-$I361)</f>
        <v>9.8383600000000015</v>
      </c>
      <c r="Q361" s="65">
        <f>$N361*$J361*(1-$I361)</f>
        <v>0</v>
      </c>
      <c r="R361" s="59"/>
      <c r="S361" s="180">
        <f>IF(OR(RIGHT($H361,3)="RGT",RIGHT($H361,3)="INC"),IF($G361=S$188,SUM($S374:S374)+$O361,IF(S$188&gt;$G361,S374,0)),0)</f>
        <v>0.9516</v>
      </c>
      <c r="T361" s="181">
        <f>IF(OR(RIGHT($H361,3)="RGT",RIGHT($H361,3)="INC"),IF($G361=T$188,SUM($S374:T374)+$O361,IF(T$188&gt;$G361,T374,0)),0)</f>
        <v>10.625030000000001</v>
      </c>
      <c r="U361" s="181">
        <f>IF(OR(RIGHT($H361,3)="RGT",RIGHT($H361,3)="INC"),IF($G361=U$188,SUM($S374:U374)+$O361,IF(U$188&gt;$G361,U374,0)),0)</f>
        <v>-3.73827</v>
      </c>
      <c r="V361" s="181">
        <f>IF(OR(RIGHT($H361,3)="RGT",RIGHT($H361,3)="INC"),IF($G361=V$188,SUM($S374:V374)+$O361,IF(V$188&gt;$G361,V374,0)),0)</f>
        <v>2</v>
      </c>
      <c r="W361" s="181">
        <f>IF(OR(RIGHT($H361,3)="RGT",RIGHT($H361,3)="INC"),IF($G361=W$188,SUM($S374:W374)+$O361,IF(W$188&gt;$G361,W374,0)),0)</f>
        <v>0</v>
      </c>
      <c r="X361" s="181">
        <f>IF(OR(RIGHT($H361,3)="RGT",RIGHT($H361,3)="INC"),IF($G361=X$188,SUM($S374:X374)+$O361,IF(X$188&gt;$G361,X374,0)),0)</f>
        <v>0</v>
      </c>
      <c r="Y361" s="181">
        <f>IF(OR(RIGHT($H361,3)="RGT",RIGHT($H361,3)="INC"),IF($G361=Y$188,SUM($S374:Y374)+$O361,IF(Y$188&gt;$G361,Y374,0)),0)</f>
        <v>0</v>
      </c>
      <c r="Z361" s="181">
        <f>IF(OR(RIGHT($H361,3)="RGT",RIGHT($H361,3)="INC"),IF($G361=Z$188,SUM($S374:Z374)+$O361,IF(Z$188&gt;$G361,Z374,0)),0)</f>
        <v>0</v>
      </c>
      <c r="AA361" s="181">
        <f>IF(OR(RIGHT($H361,3)="RGT",RIGHT($H361,3)="INC"),IF($G361=AA$188,SUM($S374:AA374)+$O361,IF(AA$188&gt;$G361,AA374,0)),0)</f>
        <v>0</v>
      </c>
      <c r="AB361" s="181">
        <f>IF(OR(RIGHT($H361,3)="RGT",RIGHT($H361,3)="INC"),IF($G361=AB$188,SUM($S374:AB374)+$O361,IF(AB$188&gt;$G361,AB374,0)),0)</f>
        <v>0</v>
      </c>
      <c r="AC361" s="181">
        <f>IF(OR(RIGHT($H361,3)="RGT",RIGHT($H361,3)="INC"),IF($G361=AC$188,SUM($S374:AC374)+$O361,IF(AC$188&gt;$G361,AC374,0)),0)</f>
        <v>0</v>
      </c>
      <c r="AD361" s="182">
        <f>IF(OR(RIGHT($H361,3)="RGT",RIGHT($H361,3)="INC"),IF($G361=AD$188,SUM($S374:AD374)+$O361,IF(AD$188&gt;$G361,AD374,0)),0)</f>
        <v>0</v>
      </c>
      <c r="AE361" s="181">
        <f>IF(OR(RIGHT($H361,3)="RGT",RIGHT($H361,3)="INC"),IF($G361=AE$188,SUM($S374:AE374)+$O361,IF(AE$188&gt;$G361,AE374,0)),0)</f>
        <v>0</v>
      </c>
      <c r="AF361" s="181">
        <f>IF(OR(RIGHT($H361,3)="RGT",RIGHT($H361,3)="INC"),IF($G361=AF$188,SUM($S374:AF374)+$O361,IF(AF$188&gt;$G361,AF374,0)),0)</f>
        <v>0</v>
      </c>
      <c r="AG361" s="181">
        <f>IF(OR(RIGHT($H361,3)="RGT",RIGHT($H361,3)="INC"),IF($G361=AG$188,SUM($S374:AG374)+$O361,IF(AG$188&gt;$G361,AG374,0)),0)</f>
        <v>0</v>
      </c>
      <c r="AH361" s="181">
        <f>IF(OR(RIGHT($H361,3)="RGT",RIGHT($H361,3)="INC"),IF($G361=AH$188,SUM($S374:AH374)+$O361,IF(AH$188&gt;$G361,AH374,0)),0)</f>
        <v>0</v>
      </c>
      <c r="AI361" s="181">
        <f>IF(OR(RIGHT($H361,3)="RGT",RIGHT($H361,3)="INC"),IF($G361=AI$188,SUM($S374:AI374)+$O361,IF(AI$188&gt;$G361,AI374,0)),0)</f>
        <v>0</v>
      </c>
      <c r="AJ361" s="181">
        <f>IF(OR(RIGHT($H361,3)="RGT",RIGHT($H361,3)="INC"),IF($G361=AJ$188,SUM($S374:AJ374)+$O361,IF(AJ$188&gt;$G361,AJ374,0)),0)</f>
        <v>0</v>
      </c>
      <c r="AK361" s="181">
        <f>IF(OR(RIGHT($H361,3)="RGT",RIGHT($H361,3)="INC"),IF($G361=AK$188,SUM($S374:AK374)+$O361,IF(AK$188&gt;$G361,AK374,0)),0)</f>
        <v>0</v>
      </c>
      <c r="AL361" s="181">
        <f>IF(OR(RIGHT($H361,3)="RGT",RIGHT($H361,3)="INC"),IF($G361=AL$188,SUM($S374:AL374)+$O361,IF(AL$188&gt;$G361,AL374,0)),0)</f>
        <v>0</v>
      </c>
      <c r="AM361" s="181">
        <f>IF(OR(RIGHT($H361,3)="RGT",RIGHT($H361,3)="INC"),IF($G361=AM$188,SUM($S374:AM374)+$O361,IF(AM$188&gt;$G361,AM374,0)),0)</f>
        <v>0</v>
      </c>
      <c r="AN361" s="181">
        <f>IF(OR(RIGHT($H361,3)="RGT",RIGHT($H361,3)="INC"),IF($G361=AN$188,SUM($S374:AN374)+$O361,IF(AN$188&gt;$G361,AN374,0)),0)</f>
        <v>0</v>
      </c>
      <c r="AO361" s="181">
        <f>IF(OR(RIGHT($H361,3)="RGT",RIGHT($H361,3)="INC"),IF($G361=AO$188,SUM($S374:AO374)+$O361,IF(AO$188&gt;$G361,AO374,0)),0)</f>
        <v>0</v>
      </c>
      <c r="AP361" s="182">
        <f>IF(OR(RIGHT($H361,3)="RGT",RIGHT($H361,3)="INC"),IF($G361=AP$188,SUM($S374:AP374)+$O361,IF(AP$188&gt;$G361,AP374,0)),0)</f>
        <v>0</v>
      </c>
      <c r="AQ361" s="183"/>
    </row>
    <row r="362" spans="1:43" x14ac:dyDescent="0.25">
      <c r="A362" s="169" t="str">
        <f t="shared" si="216"/>
        <v>Whirlwind Substation Expansion Project</v>
      </c>
      <c r="B362" s="179" t="s">
        <v>33</v>
      </c>
      <c r="C362" s="56" t="s">
        <v>328</v>
      </c>
      <c r="D362" s="66" t="s">
        <v>329</v>
      </c>
      <c r="E362" s="58" t="s">
        <v>330</v>
      </c>
      <c r="F362" s="155" t="s">
        <v>70</v>
      </c>
      <c r="G362" s="59">
        <v>42705</v>
      </c>
      <c r="H362" s="60" t="s">
        <v>288</v>
      </c>
      <c r="I362" s="61">
        <v>0</v>
      </c>
      <c r="J362" s="62">
        <v>1</v>
      </c>
      <c r="K362" s="63"/>
      <c r="L362" s="122">
        <v>23.158429999999999</v>
      </c>
      <c r="M362" s="64">
        <f>SUM($S375:$AD375)</f>
        <v>11799.62484</v>
      </c>
      <c r="N362" s="64">
        <f>SUM($AE375:$AP375)</f>
        <v>26700</v>
      </c>
      <c r="O362" s="64">
        <f>$L362*$J362*(1-$I362)</f>
        <v>23.158429999999999</v>
      </c>
      <c r="P362" s="64">
        <f>$M362*$J362*(1-$I362)</f>
        <v>11799.62484</v>
      </c>
      <c r="Q362" s="65">
        <f>$N362*$J362*(1-$I362)</f>
        <v>26700</v>
      </c>
      <c r="R362" s="59"/>
      <c r="S362" s="180">
        <f>IF(OR(RIGHT($H362,3)="RGT",RIGHT($H362,3)="INC"),IF($G362=S$188,SUM($S375:S375)+$O362,IF(S$188&gt;$G362,S375,0)),0)</f>
        <v>0</v>
      </c>
      <c r="T362" s="181">
        <f>IF(OR(RIGHT($H362,3)="RGT",RIGHT($H362,3)="INC"),IF($G362=T$188,SUM($S375:T375)+$O362,IF(T$188&gt;$G362,T375,0)),0)</f>
        <v>0</v>
      </c>
      <c r="U362" s="181">
        <f>IF(OR(RIGHT($H362,3)="RGT",RIGHT($H362,3)="INC"),IF($G362=U$188,SUM($S375:U375)+$O362,IF(U$188&gt;$G362,U375,0)),0)</f>
        <v>0</v>
      </c>
      <c r="V362" s="181">
        <f>IF(OR(RIGHT($H362,3)="RGT",RIGHT($H362,3)="INC"),IF($G362=V$188,SUM($S375:V375)+$O362,IF(V$188&gt;$G362,V375,0)),0)</f>
        <v>0</v>
      </c>
      <c r="W362" s="181">
        <f>IF(OR(RIGHT($H362,3)="RGT",RIGHT($H362,3)="INC"),IF($G362=W$188,SUM($S375:W375)+$O362,IF(W$188&gt;$G362,W375,0)),0)</f>
        <v>0</v>
      </c>
      <c r="X362" s="181">
        <f>IF(OR(RIGHT($H362,3)="RGT",RIGHT($H362,3)="INC"),IF($G362=X$188,SUM($S375:X375)+$O362,IF(X$188&gt;$G362,X375,0)),0)</f>
        <v>0</v>
      </c>
      <c r="Y362" s="181">
        <f>IF(OR(RIGHT($H362,3)="RGT",RIGHT($H362,3)="INC"),IF($G362=Y$188,SUM($S375:Y375)+$O362,IF(Y$188&gt;$G362,Y375,0)),0)</f>
        <v>0</v>
      </c>
      <c r="Z362" s="181">
        <f>IF(OR(RIGHT($H362,3)="RGT",RIGHT($H362,3)="INC"),IF($G362=Z$188,SUM($S375:Z375)+$O362,IF(Z$188&gt;$G362,Z375,0)),0)</f>
        <v>0</v>
      </c>
      <c r="AA362" s="181">
        <f>IF(OR(RIGHT($H362,3)="RGT",RIGHT($H362,3)="INC"),IF($G362=AA$188,SUM($S375:AA375)+$O362,IF(AA$188&gt;$G362,AA375,0)),0)</f>
        <v>0</v>
      </c>
      <c r="AB362" s="181">
        <f>IF(OR(RIGHT($H362,3)="RGT",RIGHT($H362,3)="INC"),IF($G362=AB$188,SUM($S375:AB375)+$O362,IF(AB$188&gt;$G362,AB375,0)),0)</f>
        <v>0</v>
      </c>
      <c r="AC362" s="181">
        <f>IF(OR(RIGHT($H362,3)="RGT",RIGHT($H362,3)="INC"),IF($G362=AC$188,SUM($S375:AC375)+$O362,IF(AC$188&gt;$G362,AC375,0)),0)</f>
        <v>0</v>
      </c>
      <c r="AD362" s="182">
        <f>IF(OR(RIGHT($H362,3)="RGT",RIGHT($H362,3)="INC"),IF($G362=AD$188,SUM($S375:AD375)+$O362,IF(AD$188&gt;$G362,AD375,0)),0)</f>
        <v>0</v>
      </c>
      <c r="AE362" s="181">
        <f>IF(OR(RIGHT($H362,3)="RGT",RIGHT($H362,3)="INC"),IF($G362=AE$188,SUM($S375:AE375)+$O362,IF(AE$188&gt;$G362,AE375,0)),0)</f>
        <v>0</v>
      </c>
      <c r="AF362" s="181">
        <f>IF(OR(RIGHT($H362,3)="RGT",RIGHT($H362,3)="INC"),IF($G362=AF$188,SUM($S375:AF375)+$O362,IF(AF$188&gt;$G362,AF375,0)),0)</f>
        <v>0</v>
      </c>
      <c r="AG362" s="181">
        <f>IF(OR(RIGHT($H362,3)="RGT",RIGHT($H362,3)="INC"),IF($G362=AG$188,SUM($S375:AG375)+$O362,IF(AG$188&gt;$G362,AG375,0)),0)</f>
        <v>0</v>
      </c>
      <c r="AH362" s="181">
        <f>IF(OR(RIGHT($H362,3)="RGT",RIGHT($H362,3)="INC"),IF($G362=AH$188,SUM($S375:AH375)+$O362,IF(AH$188&gt;$G362,AH375,0)),0)</f>
        <v>0</v>
      </c>
      <c r="AI362" s="181">
        <f>IF(OR(RIGHT($H362,3)="RGT",RIGHT($H362,3)="INC"),IF($G362=AI$188,SUM($S375:AI375)+$O362,IF(AI$188&gt;$G362,AI375,0)),0)</f>
        <v>0</v>
      </c>
      <c r="AJ362" s="181">
        <f>IF(OR(RIGHT($H362,3)="RGT",RIGHT($H362,3)="INC"),IF($G362=AJ$188,SUM($S375:AJ375)+$O362,IF(AJ$188&gt;$G362,AJ375,0)),0)</f>
        <v>0</v>
      </c>
      <c r="AK362" s="181">
        <f>IF(OR(RIGHT($H362,3)="RGT",RIGHT($H362,3)="INC"),IF($G362=AK$188,SUM($S375:AK375)+$O362,IF(AK$188&gt;$G362,AK375,0)),0)</f>
        <v>0</v>
      </c>
      <c r="AL362" s="181">
        <f>IF(OR(RIGHT($H362,3)="RGT",RIGHT($H362,3)="INC"),IF($G362=AL$188,SUM($S375:AL375)+$O362,IF(AL$188&gt;$G362,AL375,0)),0)</f>
        <v>0</v>
      </c>
      <c r="AM362" s="181">
        <f>IF(OR(RIGHT($H362,3)="RGT",RIGHT($H362,3)="INC"),IF($G362=AM$188,SUM($S375:AM375)+$O362,IF(AM$188&gt;$G362,AM375,0)),0)</f>
        <v>0</v>
      </c>
      <c r="AN362" s="181">
        <f>IF(OR(RIGHT($H362,3)="RGT",RIGHT($H362,3)="INC"),IF($G362=AN$188,SUM($S375:AN375)+$O362,IF(AN$188&gt;$G362,AN375,0)),0)</f>
        <v>0</v>
      </c>
      <c r="AO362" s="181">
        <f>IF(OR(RIGHT($H362,3)="RGT",RIGHT($H362,3)="INC"),IF($G362=AO$188,SUM($S375:AO375)+$O362,IF(AO$188&gt;$G362,AO375,0)),0)</f>
        <v>0</v>
      </c>
      <c r="AP362" s="182">
        <f>IF(OR(RIGHT($H362,3)="RGT",RIGHT($H362,3)="INC"),IF($G362=AP$188,SUM($S375:AP375)+$O362,IF(AP$188&gt;$G362,AP375,0)),0)</f>
        <v>38522.783270000007</v>
      </c>
      <c r="AQ362" s="183"/>
    </row>
    <row r="363" spans="1:43" ht="15.75" thickBot="1" x14ac:dyDescent="0.3">
      <c r="B363" s="170" t="s">
        <v>65</v>
      </c>
      <c r="C363" s="226" t="s">
        <v>26</v>
      </c>
      <c r="D363" s="227"/>
      <c r="E363" s="227"/>
      <c r="F363" s="227"/>
      <c r="G363" s="227"/>
      <c r="H363" s="227"/>
      <c r="I363" s="227"/>
      <c r="J363" s="228"/>
      <c r="K363" s="63"/>
      <c r="L363" s="125">
        <f t="shared" ref="L363:Q363" si="217">SUM(L359:L362)</f>
        <v>23.158429999999999</v>
      </c>
      <c r="M363" s="126">
        <f t="shared" si="217"/>
        <v>12159.721740000001</v>
      </c>
      <c r="N363" s="126">
        <f t="shared" si="217"/>
        <v>26700</v>
      </c>
      <c r="O363" s="126">
        <f t="shared" si="217"/>
        <v>23.158429999999999</v>
      </c>
      <c r="P363" s="126">
        <f t="shared" si="217"/>
        <v>12159.721740000001</v>
      </c>
      <c r="Q363" s="127">
        <f t="shared" si="217"/>
        <v>26700</v>
      </c>
      <c r="R363" s="58"/>
      <c r="S363" s="184">
        <f t="shared" ref="S363:AP363" si="218">SUM(S359:S362)</f>
        <v>3.9528399999999997</v>
      </c>
      <c r="T363" s="185">
        <f t="shared" si="218"/>
        <v>34.369669999999999</v>
      </c>
      <c r="U363" s="185">
        <f t="shared" si="218"/>
        <v>9.8708400000000012</v>
      </c>
      <c r="V363" s="185">
        <f t="shared" si="218"/>
        <v>7</v>
      </c>
      <c r="W363" s="185">
        <f t="shared" si="218"/>
        <v>5</v>
      </c>
      <c r="X363" s="185">
        <f t="shared" si="218"/>
        <v>0</v>
      </c>
      <c r="Y363" s="185">
        <f t="shared" si="218"/>
        <v>0</v>
      </c>
      <c r="Z363" s="185">
        <f t="shared" si="218"/>
        <v>0</v>
      </c>
      <c r="AA363" s="185">
        <f t="shared" si="218"/>
        <v>0</v>
      </c>
      <c r="AB363" s="185">
        <f t="shared" si="218"/>
        <v>0</v>
      </c>
      <c r="AC363" s="185">
        <f t="shared" si="218"/>
        <v>0</v>
      </c>
      <c r="AD363" s="186">
        <f t="shared" si="218"/>
        <v>299.90355</v>
      </c>
      <c r="AE363" s="185">
        <f t="shared" si="218"/>
        <v>0</v>
      </c>
      <c r="AF363" s="185">
        <f t="shared" si="218"/>
        <v>0</v>
      </c>
      <c r="AG363" s="185">
        <f t="shared" si="218"/>
        <v>0</v>
      </c>
      <c r="AH363" s="185">
        <f t="shared" si="218"/>
        <v>0</v>
      </c>
      <c r="AI363" s="185">
        <f t="shared" si="218"/>
        <v>0</v>
      </c>
      <c r="AJ363" s="185">
        <f t="shared" si="218"/>
        <v>0</v>
      </c>
      <c r="AK363" s="185">
        <f t="shared" si="218"/>
        <v>0</v>
      </c>
      <c r="AL363" s="185">
        <f t="shared" si="218"/>
        <v>0</v>
      </c>
      <c r="AM363" s="185">
        <f t="shared" si="218"/>
        <v>0</v>
      </c>
      <c r="AN363" s="185">
        <f t="shared" si="218"/>
        <v>0</v>
      </c>
      <c r="AO363" s="185">
        <f t="shared" si="218"/>
        <v>0</v>
      </c>
      <c r="AP363" s="186">
        <f t="shared" si="218"/>
        <v>38522.783270000007</v>
      </c>
      <c r="AQ363" s="183"/>
    </row>
    <row r="364" spans="1:43" ht="15.75" thickTop="1" x14ac:dyDescent="0.25">
      <c r="C364" s="189"/>
      <c r="D364" s="190"/>
      <c r="E364" s="191"/>
      <c r="F364" s="192"/>
      <c r="G364" s="192"/>
      <c r="H364" s="107"/>
      <c r="I364" s="192"/>
      <c r="J364" s="192"/>
      <c r="K364" s="63"/>
      <c r="L364" s="107"/>
      <c r="M364" s="107"/>
      <c r="N364" s="107"/>
      <c r="O364" s="107"/>
      <c r="P364" s="107"/>
      <c r="Q364" s="107"/>
      <c r="R364" s="58"/>
      <c r="S364" s="192"/>
      <c r="T364" s="192"/>
      <c r="U364" s="192"/>
      <c r="V364" s="192"/>
      <c r="W364" s="192"/>
      <c r="X364" s="192"/>
      <c r="Y364" s="192"/>
      <c r="Z364" s="192"/>
      <c r="AA364" s="192"/>
      <c r="AB364" s="192"/>
      <c r="AC364" s="192"/>
      <c r="AD364" s="192"/>
      <c r="AE364" s="192"/>
      <c r="AF364" s="192"/>
      <c r="AG364" s="192"/>
      <c r="AH364" s="192"/>
      <c r="AI364" s="192"/>
      <c r="AJ364" s="192"/>
      <c r="AK364" s="192"/>
      <c r="AL364" s="192"/>
      <c r="AM364" s="192"/>
      <c r="AN364" s="192"/>
      <c r="AO364" s="192"/>
      <c r="AP364" s="192"/>
      <c r="AQ364" s="183"/>
    </row>
    <row r="365" spans="1:43" ht="15.75" thickBot="1" x14ac:dyDescent="0.3">
      <c r="C365" s="226" t="str">
        <f>"Total Incremental Plant Balance - "&amp;C353</f>
        <v>Total Incremental Plant Balance - Whirlwind Substation Expansion Project</v>
      </c>
      <c r="D365" s="227"/>
      <c r="E365" s="227"/>
      <c r="F365" s="227"/>
      <c r="G365" s="227"/>
      <c r="H365" s="227"/>
      <c r="I365" s="227"/>
      <c r="J365" s="228"/>
      <c r="K365" s="63"/>
      <c r="L365" s="125"/>
      <c r="M365" s="126"/>
      <c r="N365" s="126"/>
      <c r="O365" s="126"/>
      <c r="P365" s="126"/>
      <c r="Q365" s="126"/>
      <c r="R365" s="58"/>
      <c r="S365" s="184">
        <f>S363</f>
        <v>3.9528399999999997</v>
      </c>
      <c r="T365" s="185">
        <f t="shared" ref="T365:AL365" si="219">T363+S365</f>
        <v>38.322510000000001</v>
      </c>
      <c r="U365" s="185">
        <f t="shared" si="219"/>
        <v>48.193350000000002</v>
      </c>
      <c r="V365" s="185">
        <f t="shared" si="219"/>
        <v>55.193350000000002</v>
      </c>
      <c r="W365" s="185">
        <f t="shared" si="219"/>
        <v>60.193350000000002</v>
      </c>
      <c r="X365" s="185">
        <f t="shared" si="219"/>
        <v>60.193350000000002</v>
      </c>
      <c r="Y365" s="185">
        <f t="shared" si="219"/>
        <v>60.193350000000002</v>
      </c>
      <c r="Z365" s="185">
        <f t="shared" si="219"/>
        <v>60.193350000000002</v>
      </c>
      <c r="AA365" s="185">
        <f t="shared" si="219"/>
        <v>60.193350000000002</v>
      </c>
      <c r="AB365" s="185">
        <f t="shared" si="219"/>
        <v>60.193350000000002</v>
      </c>
      <c r="AC365" s="185">
        <f t="shared" si="219"/>
        <v>60.193350000000002</v>
      </c>
      <c r="AD365" s="186">
        <f t="shared" si="219"/>
        <v>360.09690000000001</v>
      </c>
      <c r="AE365" s="185">
        <f>AE363+AD365</f>
        <v>360.09690000000001</v>
      </c>
      <c r="AF365" s="185">
        <f t="shared" si="219"/>
        <v>360.09690000000001</v>
      </c>
      <c r="AG365" s="185">
        <f t="shared" si="219"/>
        <v>360.09690000000001</v>
      </c>
      <c r="AH365" s="185">
        <f t="shared" si="219"/>
        <v>360.09690000000001</v>
      </c>
      <c r="AI365" s="185">
        <f t="shared" si="219"/>
        <v>360.09690000000001</v>
      </c>
      <c r="AJ365" s="185">
        <f t="shared" si="219"/>
        <v>360.09690000000001</v>
      </c>
      <c r="AK365" s="185">
        <f t="shared" si="219"/>
        <v>360.09690000000001</v>
      </c>
      <c r="AL365" s="185">
        <f t="shared" si="219"/>
        <v>360.09690000000001</v>
      </c>
      <c r="AM365" s="185">
        <f>AM363+AL365</f>
        <v>360.09690000000001</v>
      </c>
      <c r="AN365" s="185">
        <f>AN363+AM365</f>
        <v>360.09690000000001</v>
      </c>
      <c r="AO365" s="185">
        <f>AO363+AN365</f>
        <v>360.09690000000001</v>
      </c>
      <c r="AP365" s="186">
        <f>AP363+AO365</f>
        <v>38882.880170000004</v>
      </c>
      <c r="AQ365" s="183"/>
    </row>
    <row r="366" spans="1:43" ht="15.75" thickTop="1" x14ac:dyDescent="0.25">
      <c r="C366" s="67"/>
      <c r="D366" s="68"/>
      <c r="E366" s="67"/>
      <c r="F366" s="273"/>
      <c r="G366" s="273"/>
      <c r="H366" s="273"/>
      <c r="I366" s="273"/>
      <c r="J366" s="273"/>
      <c r="K366" s="63"/>
      <c r="L366" s="129"/>
      <c r="M366" s="129"/>
      <c r="N366" s="129"/>
      <c r="O366" s="129"/>
      <c r="P366" s="129"/>
      <c r="Q366" s="129"/>
      <c r="R366" s="58"/>
      <c r="S366" s="193"/>
      <c r="T366" s="193"/>
      <c r="U366" s="193"/>
      <c r="V366" s="193"/>
      <c r="W366" s="193"/>
      <c r="X366" s="193"/>
      <c r="Y366" s="193"/>
      <c r="Z366" s="193"/>
      <c r="AA366" s="193"/>
      <c r="AB366" s="193"/>
      <c r="AC366" s="193"/>
      <c r="AD366" s="193"/>
      <c r="AE366" s="193"/>
      <c r="AF366" s="193"/>
      <c r="AG366" s="193"/>
      <c r="AH366" s="193"/>
      <c r="AI366" s="193"/>
      <c r="AJ366" s="193"/>
      <c r="AK366" s="193"/>
      <c r="AL366" s="193"/>
      <c r="AM366" s="193"/>
      <c r="AN366" s="193"/>
      <c r="AO366" s="193"/>
      <c r="AP366" s="193"/>
      <c r="AQ366" s="183"/>
    </row>
    <row r="367" spans="1:43" x14ac:dyDescent="0.25">
      <c r="C367" s="189"/>
      <c r="D367" s="190"/>
      <c r="E367" s="191"/>
      <c r="F367" s="192"/>
      <c r="G367" s="192"/>
      <c r="H367" s="107"/>
      <c r="I367" s="192"/>
      <c r="J367" s="192"/>
      <c r="K367" s="63"/>
      <c r="L367" s="107"/>
      <c r="M367" s="107"/>
      <c r="N367" s="107"/>
      <c r="O367" s="107"/>
      <c r="P367" s="107"/>
      <c r="Q367" s="107"/>
      <c r="R367" s="58"/>
      <c r="S367" s="192"/>
      <c r="T367" s="192"/>
      <c r="U367" s="192"/>
      <c r="V367" s="192"/>
      <c r="W367" s="192"/>
      <c r="X367" s="192"/>
      <c r="Y367" s="192"/>
      <c r="Z367" s="192"/>
      <c r="AA367" s="192"/>
      <c r="AB367" s="192"/>
      <c r="AC367" s="192"/>
      <c r="AD367" s="192"/>
      <c r="AE367" s="192"/>
      <c r="AF367" s="192"/>
      <c r="AG367" s="192"/>
      <c r="AH367" s="192"/>
      <c r="AI367" s="192"/>
      <c r="AJ367" s="192"/>
      <c r="AK367" s="192"/>
      <c r="AL367" s="192"/>
      <c r="AM367" s="192"/>
      <c r="AN367" s="192"/>
      <c r="AO367" s="192"/>
      <c r="AP367" s="192"/>
      <c r="AQ367" s="183"/>
    </row>
    <row r="368" spans="1:43" x14ac:dyDescent="0.25">
      <c r="C368" s="176" t="s">
        <v>34</v>
      </c>
      <c r="K368" s="63"/>
      <c r="L368" s="121"/>
      <c r="M368" s="121"/>
      <c r="N368" s="121"/>
      <c r="O368" s="121"/>
      <c r="P368" s="121"/>
      <c r="Q368" s="121"/>
      <c r="R368" s="58"/>
      <c r="AQ368" s="183"/>
    </row>
    <row r="369" spans="1:43" x14ac:dyDescent="0.25">
      <c r="C369" s="173" t="s">
        <v>35</v>
      </c>
      <c r="K369" s="63"/>
      <c r="R369" s="58"/>
      <c r="AQ369" s="183"/>
    </row>
    <row r="370" spans="1:43" ht="15.75" thickBot="1" x14ac:dyDescent="0.3">
      <c r="K370" s="63"/>
      <c r="R370" s="58"/>
      <c r="AQ370" s="183"/>
    </row>
    <row r="371" spans="1:43" ht="30.75" thickBot="1" x14ac:dyDescent="0.3">
      <c r="C371" s="51" t="s">
        <v>15</v>
      </c>
      <c r="D371" s="52" t="s">
        <v>16</v>
      </c>
      <c r="E371" s="53" t="s">
        <v>17</v>
      </c>
      <c r="F371" s="54" t="s">
        <v>18</v>
      </c>
      <c r="G371" s="45" t="s">
        <v>19</v>
      </c>
      <c r="H371" s="45" t="s">
        <v>20</v>
      </c>
      <c r="I371" s="45" t="s">
        <v>21</v>
      </c>
      <c r="J371" s="46" t="s">
        <v>22</v>
      </c>
      <c r="K371" s="63"/>
      <c r="L371" s="44" t="str">
        <f t="shared" ref="L371:Q371" si="220">L$11</f>
        <v>2014 CWIP</v>
      </c>
      <c r="M371" s="45" t="str">
        <f t="shared" si="220"/>
        <v>2015 Total Expenditures</v>
      </c>
      <c r="N371" s="45" t="str">
        <f t="shared" si="220"/>
        <v>2016 Total Expenditures</v>
      </c>
      <c r="O371" s="45" t="str">
        <f t="shared" si="220"/>
        <v>2014 ISO CWIP Less Collectible</v>
      </c>
      <c r="P371" s="45" t="str">
        <f t="shared" si="220"/>
        <v>2015 ISO Expenditures Less Collectible</v>
      </c>
      <c r="Q371" s="46" t="str">
        <f t="shared" si="220"/>
        <v>2016 ISO Expenditures Less Collectible</v>
      </c>
      <c r="R371" s="58"/>
      <c r="S371" s="204">
        <f>$D$3</f>
        <v>42005</v>
      </c>
      <c r="T371" s="84">
        <f t="shared" ref="T371:AL371" si="221">DATE(YEAR(S371),MONTH(S371)+1,DAY(S371))</f>
        <v>42036</v>
      </c>
      <c r="U371" s="84">
        <f t="shared" si="221"/>
        <v>42064</v>
      </c>
      <c r="V371" s="84">
        <f t="shared" si="221"/>
        <v>42095</v>
      </c>
      <c r="W371" s="84">
        <f t="shared" si="221"/>
        <v>42125</v>
      </c>
      <c r="X371" s="84">
        <f t="shared" si="221"/>
        <v>42156</v>
      </c>
      <c r="Y371" s="84">
        <f t="shared" si="221"/>
        <v>42186</v>
      </c>
      <c r="Z371" s="84">
        <f t="shared" si="221"/>
        <v>42217</v>
      </c>
      <c r="AA371" s="84">
        <f t="shared" si="221"/>
        <v>42248</v>
      </c>
      <c r="AB371" s="84">
        <f t="shared" si="221"/>
        <v>42278</v>
      </c>
      <c r="AC371" s="84">
        <f t="shared" si="221"/>
        <v>42309</v>
      </c>
      <c r="AD371" s="205">
        <f t="shared" si="221"/>
        <v>42339</v>
      </c>
      <c r="AE371" s="84">
        <f>DATE(YEAR(AD371),MONTH(AD371)+1,DAY(AD371))</f>
        <v>42370</v>
      </c>
      <c r="AF371" s="84">
        <f t="shared" si="221"/>
        <v>42401</v>
      </c>
      <c r="AG371" s="84">
        <f t="shared" si="221"/>
        <v>42430</v>
      </c>
      <c r="AH371" s="84">
        <f t="shared" si="221"/>
        <v>42461</v>
      </c>
      <c r="AI371" s="84">
        <f t="shared" si="221"/>
        <v>42491</v>
      </c>
      <c r="AJ371" s="84">
        <f t="shared" si="221"/>
        <v>42522</v>
      </c>
      <c r="AK371" s="84">
        <f t="shared" si="221"/>
        <v>42552</v>
      </c>
      <c r="AL371" s="84">
        <f t="shared" si="221"/>
        <v>42583</v>
      </c>
      <c r="AM371" s="84">
        <f>DATE(YEAR(AL371),MONTH(AL371)+1,DAY(AL371))</f>
        <v>42614</v>
      </c>
      <c r="AN371" s="84">
        <f>DATE(YEAR(AM371),MONTH(AM371)+1,DAY(AM371))</f>
        <v>42644</v>
      </c>
      <c r="AO371" s="84">
        <f>DATE(YEAR(AN371),MONTH(AN371)+1,DAY(AN371))</f>
        <v>42675</v>
      </c>
      <c r="AP371" s="205">
        <f>DATE(YEAR(AO371),MONTH(AO371)+1,DAY(AO371))</f>
        <v>42705</v>
      </c>
      <c r="AQ371" s="183"/>
    </row>
    <row r="372" spans="1:43" x14ac:dyDescent="0.25">
      <c r="A372" s="169" t="str">
        <f>+$C$353</f>
        <v>Whirlwind Substation Expansion Project</v>
      </c>
      <c r="B372" s="179" t="s">
        <v>36</v>
      </c>
      <c r="C372" s="56" t="str">
        <f t="shared" ref="C372:J374" si="222">C359</f>
        <v>CET-ET-TP-RN-706700</v>
      </c>
      <c r="D372" s="57" t="str">
        <f t="shared" si="222"/>
        <v>Whirlwind 2nd AA Bank</v>
      </c>
      <c r="E372" s="58" t="str">
        <f t="shared" si="222"/>
        <v>7067</v>
      </c>
      <c r="F372" s="60" t="str">
        <f t="shared" si="222"/>
        <v>High</v>
      </c>
      <c r="G372" s="59">
        <f t="shared" si="222"/>
        <v>41974</v>
      </c>
      <c r="H372" s="60" t="str">
        <f t="shared" si="222"/>
        <v>TR-SUBINC</v>
      </c>
      <c r="I372" s="61">
        <f t="shared" si="222"/>
        <v>0</v>
      </c>
      <c r="J372" s="62">
        <f t="shared" si="222"/>
        <v>1</v>
      </c>
      <c r="K372" s="63"/>
      <c r="L372" s="234">
        <f t="shared" ref="L372:N374" si="223">L359</f>
        <v>0</v>
      </c>
      <c r="M372" s="64">
        <f t="shared" si="223"/>
        <v>50.354990000000001</v>
      </c>
      <c r="N372" s="64">
        <f t="shared" si="223"/>
        <v>0</v>
      </c>
      <c r="O372" s="64">
        <f>$L372*$J372*(1-$I372)</f>
        <v>0</v>
      </c>
      <c r="P372" s="64">
        <f>$M372*$J372*(1-$I372)</f>
        <v>50.354990000000001</v>
      </c>
      <c r="Q372" s="65">
        <f>$N372*$J372*(1-$I372)</f>
        <v>0</v>
      </c>
      <c r="R372" s="59"/>
      <c r="S372" s="206">
        <v>3.0012399999999997</v>
      </c>
      <c r="T372" s="207">
        <v>23.74464</v>
      </c>
      <c r="U372" s="207">
        <v>13.609110000000001</v>
      </c>
      <c r="V372" s="207">
        <v>5</v>
      </c>
      <c r="W372" s="207">
        <v>5</v>
      </c>
      <c r="X372" s="207">
        <v>0</v>
      </c>
      <c r="Y372" s="207">
        <v>0</v>
      </c>
      <c r="Z372" s="207">
        <v>0</v>
      </c>
      <c r="AA372" s="207">
        <v>0</v>
      </c>
      <c r="AB372" s="207">
        <v>0</v>
      </c>
      <c r="AC372" s="207">
        <v>0</v>
      </c>
      <c r="AD372" s="207">
        <v>0</v>
      </c>
      <c r="AE372" s="207">
        <v>0</v>
      </c>
      <c r="AF372" s="207">
        <v>0</v>
      </c>
      <c r="AG372" s="207">
        <v>0</v>
      </c>
      <c r="AH372" s="207">
        <v>0</v>
      </c>
      <c r="AI372" s="207">
        <v>0</v>
      </c>
      <c r="AJ372" s="207">
        <v>0</v>
      </c>
      <c r="AK372" s="207">
        <v>0</v>
      </c>
      <c r="AL372" s="207">
        <v>0</v>
      </c>
      <c r="AM372" s="207">
        <v>0</v>
      </c>
      <c r="AN372" s="207">
        <v>0</v>
      </c>
      <c r="AO372" s="207">
        <v>0</v>
      </c>
      <c r="AP372" s="197">
        <v>0</v>
      </c>
      <c r="AQ372" s="183"/>
    </row>
    <row r="373" spans="1:43" x14ac:dyDescent="0.25">
      <c r="A373" s="169" t="str">
        <f t="shared" ref="A373:A375" si="224">+$C$353</f>
        <v>Whirlwind Substation Expansion Project</v>
      </c>
      <c r="B373" s="179" t="s">
        <v>36</v>
      </c>
      <c r="C373" s="56" t="str">
        <f t="shared" si="222"/>
        <v>CET-ET-TP-RL-769500</v>
      </c>
      <c r="D373" s="66" t="str">
        <f t="shared" si="222"/>
        <v>Install N60 relays to add generation to Whirlwind AA Bank SPS</v>
      </c>
      <c r="E373" s="58" t="str">
        <f t="shared" si="222"/>
        <v>7695</v>
      </c>
      <c r="F373" s="60" t="str">
        <f t="shared" si="222"/>
        <v>High</v>
      </c>
      <c r="G373" s="59">
        <f t="shared" si="222"/>
        <v>42339</v>
      </c>
      <c r="H373" s="60" t="str">
        <f t="shared" si="222"/>
        <v>TR-SUBINC</v>
      </c>
      <c r="I373" s="61">
        <f t="shared" si="222"/>
        <v>0</v>
      </c>
      <c r="J373" s="62">
        <f t="shared" si="222"/>
        <v>1</v>
      </c>
      <c r="K373" s="63"/>
      <c r="L373" s="234">
        <f t="shared" si="223"/>
        <v>0</v>
      </c>
      <c r="M373" s="64">
        <f t="shared" si="223"/>
        <v>299.90355</v>
      </c>
      <c r="N373" s="64">
        <f t="shared" si="223"/>
        <v>0</v>
      </c>
      <c r="O373" s="64">
        <f>$L373*$J373*(1-$I373)</f>
        <v>0</v>
      </c>
      <c r="P373" s="64">
        <f>$M373*$J373*(1-$I373)</f>
        <v>299.90355</v>
      </c>
      <c r="Q373" s="65">
        <f>$N373*$J373*(1-$I373)</f>
        <v>0</v>
      </c>
      <c r="R373" s="59"/>
      <c r="S373" s="180">
        <v>0</v>
      </c>
      <c r="T373" s="181">
        <v>1.1087799999999999</v>
      </c>
      <c r="U373" s="181">
        <v>3.7947700000000002</v>
      </c>
      <c r="V373" s="181">
        <v>5</v>
      </c>
      <c r="W373" s="181">
        <v>10</v>
      </c>
      <c r="X373" s="181">
        <v>15</v>
      </c>
      <c r="Y373" s="181">
        <v>50</v>
      </c>
      <c r="Z373" s="181">
        <v>50</v>
      </c>
      <c r="AA373" s="181">
        <v>35</v>
      </c>
      <c r="AB373" s="181">
        <v>30</v>
      </c>
      <c r="AC373" s="181">
        <v>50</v>
      </c>
      <c r="AD373" s="181">
        <v>50</v>
      </c>
      <c r="AE373" s="181">
        <v>0</v>
      </c>
      <c r="AF373" s="181">
        <v>0</v>
      </c>
      <c r="AG373" s="181">
        <v>0</v>
      </c>
      <c r="AH373" s="181">
        <v>0</v>
      </c>
      <c r="AI373" s="181">
        <v>0</v>
      </c>
      <c r="AJ373" s="181">
        <v>0</v>
      </c>
      <c r="AK373" s="181">
        <v>0</v>
      </c>
      <c r="AL373" s="181">
        <v>0</v>
      </c>
      <c r="AM373" s="181">
        <v>0</v>
      </c>
      <c r="AN373" s="181">
        <v>0</v>
      </c>
      <c r="AO373" s="181">
        <v>0</v>
      </c>
      <c r="AP373" s="182">
        <v>0</v>
      </c>
      <c r="AQ373" s="183"/>
    </row>
    <row r="374" spans="1:43" x14ac:dyDescent="0.25">
      <c r="A374" s="169" t="str">
        <f t="shared" si="224"/>
        <v>Whirlwind Substation Expansion Project</v>
      </c>
      <c r="B374" s="179" t="s">
        <v>36</v>
      </c>
      <c r="C374" s="56" t="str">
        <f t="shared" si="222"/>
        <v>CET-ET-TP-RN-706701</v>
      </c>
      <c r="D374" s="66" t="str">
        <f t="shared" si="222"/>
        <v>Whirlwind 2nd AA bank and SPS</v>
      </c>
      <c r="E374" s="58" t="str">
        <f t="shared" si="222"/>
        <v>7067</v>
      </c>
      <c r="F374" s="60" t="str">
        <f t="shared" si="222"/>
        <v>High</v>
      </c>
      <c r="G374" s="59">
        <f t="shared" si="222"/>
        <v>41974</v>
      </c>
      <c r="H374" s="60" t="str">
        <f t="shared" si="222"/>
        <v>TR-SUBINC</v>
      </c>
      <c r="I374" s="61">
        <f t="shared" si="222"/>
        <v>0</v>
      </c>
      <c r="J374" s="62">
        <f t="shared" si="222"/>
        <v>1</v>
      </c>
      <c r="K374" s="63"/>
      <c r="L374" s="234">
        <f t="shared" si="223"/>
        <v>0</v>
      </c>
      <c r="M374" s="64">
        <f t="shared" si="223"/>
        <v>9.8383600000000015</v>
      </c>
      <c r="N374" s="64">
        <f t="shared" si="223"/>
        <v>0</v>
      </c>
      <c r="O374" s="64">
        <f>$L374*$J374*(1-$I374)</f>
        <v>0</v>
      </c>
      <c r="P374" s="64">
        <f>$M374*$J374*(1-$I374)</f>
        <v>9.8383600000000015</v>
      </c>
      <c r="Q374" s="65">
        <f>$N374*$J374*(1-$I374)</f>
        <v>0</v>
      </c>
      <c r="R374" s="59"/>
      <c r="S374" s="180">
        <v>0.9516</v>
      </c>
      <c r="T374" s="181">
        <v>10.625030000000001</v>
      </c>
      <c r="U374" s="181">
        <v>-3.73827</v>
      </c>
      <c r="V374" s="181">
        <v>2</v>
      </c>
      <c r="W374" s="181">
        <v>0</v>
      </c>
      <c r="X374" s="181">
        <v>0</v>
      </c>
      <c r="Y374" s="181">
        <v>0</v>
      </c>
      <c r="Z374" s="181">
        <v>0</v>
      </c>
      <c r="AA374" s="181">
        <v>0</v>
      </c>
      <c r="AB374" s="181">
        <v>0</v>
      </c>
      <c r="AC374" s="181">
        <v>0</v>
      </c>
      <c r="AD374" s="181">
        <v>0</v>
      </c>
      <c r="AE374" s="181">
        <v>0</v>
      </c>
      <c r="AF374" s="181">
        <v>0</v>
      </c>
      <c r="AG374" s="181">
        <v>0</v>
      </c>
      <c r="AH374" s="181">
        <v>0</v>
      </c>
      <c r="AI374" s="181">
        <v>0</v>
      </c>
      <c r="AJ374" s="181">
        <v>0</v>
      </c>
      <c r="AK374" s="181">
        <v>0</v>
      </c>
      <c r="AL374" s="181">
        <v>0</v>
      </c>
      <c r="AM374" s="181">
        <v>0</v>
      </c>
      <c r="AN374" s="181">
        <v>0</v>
      </c>
      <c r="AO374" s="181">
        <v>0</v>
      </c>
      <c r="AP374" s="182">
        <v>0</v>
      </c>
      <c r="AQ374" s="183"/>
    </row>
    <row r="375" spans="1:43" ht="15.75" thickBot="1" x14ac:dyDescent="0.3">
      <c r="A375" s="169" t="str">
        <f t="shared" si="224"/>
        <v>Whirlwind Substation Expansion Project</v>
      </c>
      <c r="B375" s="179" t="s">
        <v>36</v>
      </c>
      <c r="C375" s="56" t="str">
        <f t="shared" ref="C375:J375" si="225">C362</f>
        <v>CET-ET-TP-RN-765000</v>
      </c>
      <c r="D375" s="66" t="str">
        <f t="shared" si="225"/>
        <v>Whirlwind 3rd AA bank and SPS</v>
      </c>
      <c r="E375" s="58" t="str">
        <f t="shared" si="225"/>
        <v>7650</v>
      </c>
      <c r="F375" s="60" t="str">
        <f t="shared" si="225"/>
        <v>High</v>
      </c>
      <c r="G375" s="59">
        <f t="shared" si="225"/>
        <v>42705</v>
      </c>
      <c r="H375" s="60" t="str">
        <f t="shared" si="225"/>
        <v>TR-SUBINC</v>
      </c>
      <c r="I375" s="61">
        <f t="shared" si="225"/>
        <v>0</v>
      </c>
      <c r="J375" s="62">
        <f t="shared" si="225"/>
        <v>1</v>
      </c>
      <c r="K375" s="63"/>
      <c r="L375" s="234">
        <f t="shared" ref="L375:N375" si="226">L362</f>
        <v>23.158429999999999</v>
      </c>
      <c r="M375" s="64">
        <f t="shared" si="226"/>
        <v>11799.62484</v>
      </c>
      <c r="N375" s="64">
        <f t="shared" si="226"/>
        <v>26700</v>
      </c>
      <c r="O375" s="64">
        <f>$L375*$J375*(1-$I375)</f>
        <v>23.158429999999999</v>
      </c>
      <c r="P375" s="64">
        <f>$M375*$J375*(1-$I375)</f>
        <v>11799.62484</v>
      </c>
      <c r="Q375" s="65">
        <f>$N375*$J375*(1-$I375)</f>
        <v>26700</v>
      </c>
      <c r="R375" s="59"/>
      <c r="S375" s="257">
        <v>16.218510000000002</v>
      </c>
      <c r="T375" s="258">
        <v>20.867570000000001</v>
      </c>
      <c r="U375" s="258">
        <v>17.53876</v>
      </c>
      <c r="V375" s="258">
        <v>20</v>
      </c>
      <c r="W375" s="258">
        <v>50</v>
      </c>
      <c r="X375" s="258">
        <v>100</v>
      </c>
      <c r="Y375" s="258">
        <v>100</v>
      </c>
      <c r="Z375" s="258">
        <v>2500</v>
      </c>
      <c r="AA375" s="258">
        <v>3500</v>
      </c>
      <c r="AB375" s="258">
        <v>300</v>
      </c>
      <c r="AC375" s="258">
        <v>2400</v>
      </c>
      <c r="AD375" s="258">
        <v>2775</v>
      </c>
      <c r="AE375" s="258">
        <v>3500</v>
      </c>
      <c r="AF375" s="258">
        <v>3600</v>
      </c>
      <c r="AG375" s="258">
        <v>6100</v>
      </c>
      <c r="AH375" s="258">
        <v>3200</v>
      </c>
      <c r="AI375" s="258">
        <v>2650</v>
      </c>
      <c r="AJ375" s="258">
        <v>1850</v>
      </c>
      <c r="AK375" s="258">
        <v>1100</v>
      </c>
      <c r="AL375" s="258">
        <v>1500</v>
      </c>
      <c r="AM375" s="258">
        <v>1100</v>
      </c>
      <c r="AN375" s="258">
        <v>1100</v>
      </c>
      <c r="AO375" s="258">
        <v>500</v>
      </c>
      <c r="AP375" s="259">
        <v>500</v>
      </c>
      <c r="AQ375" s="183"/>
    </row>
    <row r="376" spans="1:43" ht="15.75" thickBot="1" x14ac:dyDescent="0.3">
      <c r="C376" s="226" t="s">
        <v>37</v>
      </c>
      <c r="D376" s="227"/>
      <c r="E376" s="227"/>
      <c r="F376" s="227"/>
      <c r="G376" s="227"/>
      <c r="H376" s="227"/>
      <c r="I376" s="227"/>
      <c r="J376" s="228"/>
      <c r="K376" s="55"/>
      <c r="L376" s="125">
        <f t="shared" ref="L376:Q376" si="227">SUM(L372:L375)</f>
        <v>23.158429999999999</v>
      </c>
      <c r="M376" s="126">
        <f t="shared" si="227"/>
        <v>12159.721740000001</v>
      </c>
      <c r="N376" s="126">
        <f t="shared" si="227"/>
        <v>26700</v>
      </c>
      <c r="O376" s="126">
        <f t="shared" si="227"/>
        <v>23.158429999999999</v>
      </c>
      <c r="P376" s="126">
        <f t="shared" si="227"/>
        <v>12159.721740000001</v>
      </c>
      <c r="Q376" s="127">
        <f t="shared" si="227"/>
        <v>26700</v>
      </c>
      <c r="R376" s="58"/>
      <c r="S376" s="208">
        <f t="shared" ref="S376:AP376" si="228">SUM(S372:S375)</f>
        <v>20.17135</v>
      </c>
      <c r="T376" s="209">
        <f t="shared" si="228"/>
        <v>56.346020000000003</v>
      </c>
      <c r="U376" s="209">
        <f t="shared" si="228"/>
        <v>31.204370000000001</v>
      </c>
      <c r="V376" s="209">
        <f t="shared" si="228"/>
        <v>32</v>
      </c>
      <c r="W376" s="209">
        <f t="shared" si="228"/>
        <v>65</v>
      </c>
      <c r="X376" s="209">
        <f t="shared" si="228"/>
        <v>115</v>
      </c>
      <c r="Y376" s="209">
        <f t="shared" si="228"/>
        <v>150</v>
      </c>
      <c r="Z376" s="209">
        <f t="shared" si="228"/>
        <v>2550</v>
      </c>
      <c r="AA376" s="209">
        <f t="shared" si="228"/>
        <v>3535</v>
      </c>
      <c r="AB376" s="209">
        <f t="shared" si="228"/>
        <v>330</v>
      </c>
      <c r="AC376" s="209">
        <f t="shared" si="228"/>
        <v>2450</v>
      </c>
      <c r="AD376" s="210">
        <f t="shared" si="228"/>
        <v>2825</v>
      </c>
      <c r="AE376" s="209">
        <f t="shared" si="228"/>
        <v>3500</v>
      </c>
      <c r="AF376" s="209">
        <f t="shared" si="228"/>
        <v>3600</v>
      </c>
      <c r="AG376" s="209">
        <f t="shared" si="228"/>
        <v>6100</v>
      </c>
      <c r="AH376" s="209">
        <f t="shared" si="228"/>
        <v>3200</v>
      </c>
      <c r="AI376" s="209">
        <f t="shared" si="228"/>
        <v>2650</v>
      </c>
      <c r="AJ376" s="209">
        <f t="shared" si="228"/>
        <v>1850</v>
      </c>
      <c r="AK376" s="209">
        <f t="shared" si="228"/>
        <v>1100</v>
      </c>
      <c r="AL376" s="209">
        <f t="shared" si="228"/>
        <v>1500</v>
      </c>
      <c r="AM376" s="209">
        <f t="shared" si="228"/>
        <v>1100</v>
      </c>
      <c r="AN376" s="209">
        <f t="shared" si="228"/>
        <v>1100</v>
      </c>
      <c r="AO376" s="209">
        <f t="shared" si="228"/>
        <v>500</v>
      </c>
      <c r="AP376" s="210">
        <f t="shared" si="228"/>
        <v>500</v>
      </c>
      <c r="AQ376" s="183"/>
    </row>
    <row r="377" spans="1:43" ht="15.75" thickTop="1" x14ac:dyDescent="0.25">
      <c r="A377" s="105"/>
      <c r="B377" s="105"/>
      <c r="K377" s="59"/>
      <c r="S377" s="212"/>
      <c r="T377" s="212"/>
      <c r="U377" s="212"/>
      <c r="V377" s="212"/>
      <c r="W377" s="212"/>
      <c r="X377" s="212"/>
      <c r="Y377" s="212"/>
      <c r="Z377" s="212"/>
      <c r="AA377" s="212"/>
      <c r="AB377" s="212"/>
      <c r="AC377" s="212"/>
      <c r="AD377" s="212"/>
      <c r="AE377" s="212"/>
      <c r="AF377" s="212"/>
      <c r="AG377" s="212"/>
      <c r="AH377" s="212"/>
      <c r="AI377" s="212"/>
      <c r="AJ377" s="212"/>
      <c r="AK377" s="212"/>
      <c r="AL377" s="212"/>
      <c r="AM377" s="212"/>
      <c r="AN377" s="212"/>
      <c r="AO377" s="212"/>
      <c r="AP377" s="212"/>
      <c r="AQ377" s="183"/>
    </row>
    <row r="378" spans="1:43" x14ac:dyDescent="0.25">
      <c r="A378" s="105"/>
      <c r="B378" s="105"/>
      <c r="AQ378" s="183"/>
    </row>
    <row r="379" spans="1:43" s="87" customFormat="1" x14ac:dyDescent="0.25">
      <c r="D379" s="216"/>
      <c r="F379" s="195"/>
      <c r="G379" s="195"/>
      <c r="I379" s="195"/>
      <c r="J379" s="195"/>
      <c r="R379" s="270"/>
      <c r="AQ379" s="217"/>
    </row>
    <row r="380" spans="1:43" x14ac:dyDescent="0.25">
      <c r="A380" s="105"/>
      <c r="B380" s="105"/>
      <c r="L380" s="129"/>
      <c r="M380" s="129"/>
      <c r="N380" s="129"/>
      <c r="S380" s="193"/>
      <c r="T380" s="193"/>
      <c r="U380" s="193"/>
      <c r="V380" s="193"/>
      <c r="AQ380" s="183"/>
    </row>
    <row r="381" spans="1:43" x14ac:dyDescent="0.25">
      <c r="A381" s="105"/>
      <c r="B381" s="105"/>
      <c r="G381" s="221"/>
      <c r="H381" s="220"/>
      <c r="I381" s="105"/>
      <c r="L381" s="129"/>
      <c r="S381" s="193"/>
      <c r="T381" s="193"/>
      <c r="U381" s="193"/>
      <c r="V381" s="193"/>
      <c r="AQ381" s="183"/>
    </row>
    <row r="382" spans="1:43" x14ac:dyDescent="0.25">
      <c r="A382" s="105"/>
      <c r="B382" s="105"/>
      <c r="G382" s="221"/>
      <c r="H382" s="220"/>
      <c r="L382" s="222"/>
      <c r="O382" s="218"/>
      <c r="S382" s="193"/>
      <c r="T382" s="193"/>
      <c r="U382" s="193"/>
      <c r="V382" s="193"/>
      <c r="AQ382" s="183"/>
    </row>
    <row r="383" spans="1:43" x14ac:dyDescent="0.25">
      <c r="A383" s="105"/>
      <c r="B383" s="105"/>
      <c r="G383" s="221"/>
      <c r="H383" s="220"/>
      <c r="L383" s="218"/>
      <c r="M383" s="218"/>
      <c r="N383" s="218"/>
      <c r="O383" s="218"/>
      <c r="P383" s="218"/>
      <c r="Q383" s="218"/>
      <c r="S383" s="218"/>
      <c r="T383" s="218"/>
      <c r="U383" s="218"/>
      <c r="V383" s="218"/>
      <c r="W383" s="218"/>
      <c r="X383" s="218"/>
      <c r="Y383" s="218"/>
      <c r="Z383" s="218"/>
      <c r="AA383" s="218"/>
      <c r="AB383" s="218"/>
      <c r="AC383" s="218"/>
      <c r="AD383" s="218"/>
      <c r="AE383" s="218"/>
      <c r="AF383" s="218"/>
      <c r="AG383" s="218"/>
      <c r="AH383" s="218"/>
      <c r="AI383" s="218"/>
      <c r="AJ383" s="218"/>
      <c r="AK383" s="218"/>
      <c r="AL383" s="218"/>
      <c r="AM383" s="218"/>
      <c r="AN383" s="218"/>
      <c r="AO383" s="218"/>
      <c r="AP383" s="218"/>
      <c r="AQ383" s="183"/>
    </row>
    <row r="384" spans="1:43" x14ac:dyDescent="0.25">
      <c r="A384" s="105"/>
      <c r="B384" s="105"/>
      <c r="G384" s="221"/>
      <c r="H384" s="220"/>
      <c r="L384" s="218"/>
      <c r="S384" s="219"/>
      <c r="T384" s="219"/>
      <c r="U384" s="219"/>
      <c r="AQ384" s="183"/>
    </row>
    <row r="385" spans="7:42" s="105" customFormat="1" x14ac:dyDescent="0.25">
      <c r="G385" s="221"/>
      <c r="H385" s="220"/>
      <c r="I385" s="106"/>
      <c r="J385" s="106"/>
      <c r="K385" s="50"/>
      <c r="R385" s="173"/>
      <c r="S385" s="212"/>
      <c r="T385" s="212"/>
      <c r="U385" s="212"/>
      <c r="V385" s="212"/>
      <c r="W385" s="212"/>
      <c r="X385" s="212"/>
      <c r="Y385" s="212"/>
      <c r="Z385" s="212"/>
      <c r="AA385" s="212"/>
      <c r="AB385" s="212"/>
      <c r="AC385" s="212"/>
      <c r="AD385" s="212"/>
      <c r="AE385" s="212"/>
      <c r="AF385" s="212"/>
      <c r="AG385" s="212"/>
      <c r="AH385" s="212"/>
      <c r="AI385" s="212"/>
      <c r="AJ385" s="212"/>
      <c r="AK385" s="212"/>
      <c r="AL385" s="212"/>
      <c r="AM385" s="212"/>
      <c r="AN385" s="212"/>
      <c r="AO385" s="212"/>
      <c r="AP385" s="212"/>
    </row>
    <row r="386" spans="7:42" s="105" customFormat="1" x14ac:dyDescent="0.25">
      <c r="G386" s="221"/>
      <c r="H386" s="220"/>
      <c r="I386" s="106"/>
      <c r="J386" s="106"/>
      <c r="K386" s="50"/>
      <c r="R386" s="173"/>
      <c r="S386" s="106"/>
      <c r="T386" s="106"/>
      <c r="U386" s="106"/>
      <c r="V386" s="106"/>
      <c r="W386" s="106"/>
      <c r="X386" s="106"/>
      <c r="Y386" s="106"/>
      <c r="Z386" s="106"/>
      <c r="AA386" s="106"/>
      <c r="AB386" s="106"/>
      <c r="AC386" s="106"/>
      <c r="AD386" s="106"/>
      <c r="AE386" s="106"/>
      <c r="AF386" s="106"/>
      <c r="AG386" s="106"/>
      <c r="AH386" s="106"/>
      <c r="AI386" s="106"/>
      <c r="AJ386" s="106"/>
      <c r="AK386" s="106"/>
      <c r="AL386" s="106"/>
      <c r="AM386" s="106"/>
      <c r="AN386" s="106"/>
      <c r="AO386" s="106"/>
      <c r="AP386" s="106"/>
    </row>
    <row r="387" spans="7:42" s="105" customFormat="1" x14ac:dyDescent="0.25">
      <c r="G387" s="221"/>
      <c r="H387" s="220"/>
      <c r="I387" s="106"/>
      <c r="J387" s="106"/>
      <c r="K387" s="50"/>
      <c r="R387" s="173"/>
      <c r="S387" s="106"/>
      <c r="T387" s="106"/>
      <c r="U387" s="106"/>
      <c r="V387" s="106"/>
      <c r="W387" s="106"/>
      <c r="X387" s="106"/>
      <c r="Y387" s="106"/>
      <c r="Z387" s="106"/>
      <c r="AA387" s="106"/>
      <c r="AB387" s="106"/>
      <c r="AC387" s="106"/>
      <c r="AD387" s="106"/>
      <c r="AE387" s="106"/>
      <c r="AF387" s="106"/>
      <c r="AG387" s="106"/>
      <c r="AH387" s="106"/>
      <c r="AI387" s="106"/>
      <c r="AJ387" s="106"/>
      <c r="AK387" s="106"/>
      <c r="AL387" s="106"/>
      <c r="AM387" s="106"/>
      <c r="AN387" s="106"/>
      <c r="AO387" s="106"/>
      <c r="AP387" s="106"/>
    </row>
    <row r="388" spans="7:42" s="105" customFormat="1" x14ac:dyDescent="0.25">
      <c r="G388" s="221"/>
      <c r="H388" s="220"/>
      <c r="I388" s="106"/>
      <c r="J388" s="106"/>
      <c r="K388" s="50"/>
      <c r="R388" s="173"/>
      <c r="S388" s="106"/>
      <c r="T388" s="106"/>
      <c r="U388" s="106"/>
      <c r="V388" s="106"/>
      <c r="W388" s="106"/>
      <c r="X388" s="106"/>
      <c r="Y388" s="106"/>
      <c r="Z388" s="106"/>
      <c r="AA388" s="106"/>
      <c r="AB388" s="106"/>
      <c r="AC388" s="106"/>
      <c r="AD388" s="106"/>
      <c r="AE388" s="106"/>
      <c r="AF388" s="106"/>
      <c r="AG388" s="106"/>
      <c r="AH388" s="106"/>
      <c r="AI388" s="106"/>
      <c r="AJ388" s="106"/>
      <c r="AK388" s="106"/>
      <c r="AL388" s="106"/>
      <c r="AM388" s="106"/>
      <c r="AN388" s="106"/>
      <c r="AO388" s="106"/>
      <c r="AP388" s="106"/>
    </row>
    <row r="389" spans="7:42" s="105" customFormat="1" x14ac:dyDescent="0.25">
      <c r="G389" s="221"/>
      <c r="H389" s="220"/>
      <c r="I389" s="106"/>
      <c r="J389" s="106"/>
      <c r="K389" s="50"/>
      <c r="R389" s="173"/>
      <c r="S389" s="106"/>
      <c r="T389" s="106"/>
      <c r="U389" s="106"/>
      <c r="V389" s="106"/>
      <c r="W389" s="106"/>
      <c r="X389" s="106"/>
      <c r="Y389" s="106"/>
      <c r="Z389" s="106"/>
      <c r="AA389" s="106"/>
      <c r="AB389" s="106"/>
      <c r="AC389" s="106"/>
      <c r="AD389" s="106"/>
      <c r="AE389" s="106"/>
      <c r="AF389" s="106"/>
      <c r="AG389" s="106"/>
      <c r="AH389" s="106"/>
      <c r="AI389" s="106"/>
      <c r="AJ389" s="106"/>
      <c r="AK389" s="106"/>
      <c r="AL389" s="106"/>
      <c r="AM389" s="106"/>
      <c r="AN389" s="106"/>
      <c r="AO389" s="106"/>
      <c r="AP389" s="106"/>
    </row>
    <row r="390" spans="7:42" s="105" customFormat="1" x14ac:dyDescent="0.25">
      <c r="G390" s="221"/>
      <c r="H390" s="220"/>
      <c r="I390" s="106"/>
      <c r="J390" s="106"/>
      <c r="K390" s="50"/>
      <c r="R390" s="173"/>
      <c r="S390" s="106"/>
      <c r="T390" s="106"/>
      <c r="U390" s="106"/>
      <c r="V390" s="106"/>
      <c r="W390" s="106"/>
      <c r="X390" s="106"/>
      <c r="Y390" s="106"/>
      <c r="Z390" s="106"/>
      <c r="AA390" s="106"/>
      <c r="AB390" s="106"/>
      <c r="AC390" s="106"/>
      <c r="AD390" s="106"/>
      <c r="AE390" s="106"/>
      <c r="AF390" s="106"/>
      <c r="AG390" s="106"/>
      <c r="AH390" s="106"/>
      <c r="AI390" s="106"/>
      <c r="AJ390" s="106"/>
      <c r="AK390" s="106"/>
      <c r="AL390" s="106"/>
      <c r="AM390" s="106"/>
      <c r="AN390" s="106"/>
      <c r="AO390" s="106"/>
      <c r="AP390" s="106"/>
    </row>
    <row r="391" spans="7:42" s="105" customFormat="1" x14ac:dyDescent="0.25">
      <c r="G391" s="221"/>
      <c r="H391" s="220"/>
      <c r="I391" s="106"/>
      <c r="J391" s="106"/>
      <c r="K391" s="50"/>
      <c r="R391" s="173"/>
      <c r="S391" s="106"/>
      <c r="T391" s="106"/>
      <c r="U391" s="106"/>
      <c r="V391" s="106"/>
      <c r="W391" s="106"/>
      <c r="X391" s="106"/>
      <c r="Y391" s="106"/>
      <c r="Z391" s="106"/>
      <c r="AA391" s="106"/>
      <c r="AB391" s="106"/>
      <c r="AC391" s="106"/>
      <c r="AD391" s="106"/>
      <c r="AE391" s="106"/>
      <c r="AF391" s="106"/>
      <c r="AG391" s="106"/>
      <c r="AH391" s="106"/>
      <c r="AI391" s="106"/>
      <c r="AJ391" s="106"/>
      <c r="AK391" s="106"/>
      <c r="AL391" s="106"/>
      <c r="AM391" s="106"/>
      <c r="AN391" s="106"/>
      <c r="AO391" s="106"/>
      <c r="AP391" s="106"/>
    </row>
    <row r="392" spans="7:42" s="105" customFormat="1" x14ac:dyDescent="0.25">
      <c r="G392" s="221"/>
      <c r="H392" s="220"/>
      <c r="I392" s="106"/>
      <c r="J392" s="106"/>
      <c r="K392" s="50"/>
      <c r="R392" s="173"/>
      <c r="S392" s="106"/>
      <c r="T392" s="106"/>
      <c r="U392" s="106"/>
      <c r="V392" s="106"/>
      <c r="W392" s="106"/>
      <c r="X392" s="106"/>
      <c r="Y392" s="106"/>
      <c r="Z392" s="106"/>
      <c r="AA392" s="106"/>
      <c r="AB392" s="106"/>
      <c r="AC392" s="106"/>
      <c r="AD392" s="106"/>
      <c r="AE392" s="106"/>
      <c r="AF392" s="106"/>
      <c r="AG392" s="106"/>
      <c r="AH392" s="106"/>
      <c r="AI392" s="106"/>
      <c r="AJ392" s="106"/>
      <c r="AK392" s="106"/>
      <c r="AL392" s="106"/>
      <c r="AM392" s="106"/>
      <c r="AN392" s="106"/>
      <c r="AO392" s="106"/>
      <c r="AP392" s="106"/>
    </row>
    <row r="393" spans="7:42" s="105" customFormat="1" x14ac:dyDescent="0.25">
      <c r="G393" s="221"/>
      <c r="H393" s="220"/>
      <c r="I393" s="106"/>
      <c r="J393" s="106"/>
      <c r="K393" s="50"/>
      <c r="R393" s="173"/>
      <c r="S393" s="106"/>
      <c r="T393" s="106"/>
      <c r="U393" s="106"/>
      <c r="V393" s="106"/>
      <c r="W393" s="106"/>
      <c r="X393" s="106"/>
      <c r="Y393" s="106"/>
      <c r="Z393" s="106"/>
      <c r="AA393" s="106"/>
      <c r="AB393" s="106"/>
      <c r="AC393" s="106"/>
      <c r="AD393" s="106"/>
      <c r="AE393" s="106"/>
      <c r="AF393" s="106"/>
      <c r="AG393" s="106"/>
      <c r="AH393" s="106"/>
      <c r="AI393" s="106"/>
      <c r="AJ393" s="106"/>
      <c r="AK393" s="106"/>
      <c r="AL393" s="106"/>
      <c r="AM393" s="106"/>
      <c r="AN393" s="106"/>
      <c r="AO393" s="106"/>
      <c r="AP393" s="106"/>
    </row>
    <row r="394" spans="7:42" s="105" customFormat="1" x14ac:dyDescent="0.25">
      <c r="G394" s="221"/>
      <c r="H394" s="220"/>
      <c r="I394" s="106"/>
      <c r="J394" s="106"/>
      <c r="K394" s="50"/>
      <c r="R394" s="173"/>
      <c r="S394" s="106"/>
      <c r="T394" s="106"/>
      <c r="U394" s="106"/>
      <c r="V394" s="106"/>
      <c r="W394" s="106"/>
      <c r="X394" s="106"/>
      <c r="Y394" s="106"/>
      <c r="Z394" s="106"/>
      <c r="AA394" s="106"/>
      <c r="AB394" s="106"/>
      <c r="AC394" s="106"/>
      <c r="AD394" s="106"/>
      <c r="AE394" s="106"/>
      <c r="AF394" s="106"/>
      <c r="AG394" s="106"/>
      <c r="AH394" s="106"/>
      <c r="AI394" s="106"/>
      <c r="AJ394" s="106"/>
      <c r="AK394" s="106"/>
      <c r="AL394" s="106"/>
      <c r="AM394" s="106"/>
      <c r="AN394" s="106"/>
      <c r="AO394" s="106"/>
      <c r="AP394" s="106"/>
    </row>
    <row r="395" spans="7:42" s="105" customFormat="1" x14ac:dyDescent="0.25">
      <c r="G395" s="221"/>
      <c r="H395" s="220"/>
      <c r="I395" s="106"/>
      <c r="J395" s="106"/>
      <c r="K395" s="50"/>
      <c r="R395" s="173"/>
      <c r="S395" s="106"/>
      <c r="T395" s="106"/>
      <c r="U395" s="106"/>
      <c r="V395" s="106"/>
      <c r="W395" s="106"/>
      <c r="X395" s="106"/>
      <c r="Y395" s="106"/>
      <c r="Z395" s="106"/>
      <c r="AA395" s="106"/>
      <c r="AB395" s="106"/>
      <c r="AC395" s="106"/>
      <c r="AD395" s="106"/>
      <c r="AE395" s="106"/>
      <c r="AF395" s="106"/>
      <c r="AG395" s="106"/>
      <c r="AH395" s="106"/>
      <c r="AI395" s="106"/>
      <c r="AJ395" s="106"/>
      <c r="AK395" s="106"/>
      <c r="AL395" s="106"/>
      <c r="AM395" s="106"/>
      <c r="AN395" s="106"/>
      <c r="AO395" s="106"/>
      <c r="AP395" s="106"/>
    </row>
    <row r="396" spans="7:42" s="105" customFormat="1" x14ac:dyDescent="0.25">
      <c r="G396" s="221"/>
      <c r="H396" s="220"/>
      <c r="I396" s="106"/>
      <c r="J396" s="106"/>
      <c r="K396" s="50"/>
      <c r="R396" s="173"/>
      <c r="S396" s="106"/>
      <c r="T396" s="106"/>
      <c r="U396" s="106"/>
      <c r="V396" s="106"/>
      <c r="W396" s="106"/>
      <c r="X396" s="106"/>
      <c r="Y396" s="106"/>
      <c r="Z396" s="106"/>
      <c r="AA396" s="106"/>
      <c r="AB396" s="106"/>
      <c r="AC396" s="106"/>
      <c r="AD396" s="106"/>
      <c r="AE396" s="106"/>
      <c r="AF396" s="106"/>
      <c r="AG396" s="106"/>
      <c r="AH396" s="106"/>
      <c r="AI396" s="106"/>
      <c r="AJ396" s="106"/>
      <c r="AK396" s="106"/>
      <c r="AL396" s="106"/>
      <c r="AM396" s="106"/>
      <c r="AN396" s="106"/>
      <c r="AO396" s="106"/>
      <c r="AP396" s="106"/>
    </row>
    <row r="397" spans="7:42" s="105" customFormat="1" x14ac:dyDescent="0.25">
      <c r="G397" s="221"/>
      <c r="H397" s="220"/>
      <c r="I397" s="106"/>
      <c r="J397" s="106"/>
      <c r="K397" s="50"/>
      <c r="R397" s="173"/>
      <c r="S397" s="106"/>
      <c r="T397" s="106"/>
      <c r="U397" s="106"/>
      <c r="V397" s="106"/>
      <c r="W397" s="106"/>
      <c r="X397" s="106"/>
      <c r="Y397" s="106"/>
      <c r="Z397" s="106"/>
      <c r="AA397" s="106"/>
      <c r="AB397" s="106"/>
      <c r="AC397" s="106"/>
      <c r="AD397" s="106"/>
      <c r="AE397" s="106"/>
      <c r="AF397" s="106"/>
      <c r="AG397" s="106"/>
      <c r="AH397" s="106"/>
      <c r="AI397" s="106"/>
      <c r="AJ397" s="106"/>
      <c r="AK397" s="106"/>
      <c r="AL397" s="106"/>
      <c r="AM397" s="106"/>
      <c r="AN397" s="106"/>
      <c r="AO397" s="106"/>
      <c r="AP397" s="106"/>
    </row>
    <row r="398" spans="7:42" s="105" customFormat="1" x14ac:dyDescent="0.25">
      <c r="G398" s="221"/>
      <c r="H398" s="220"/>
      <c r="I398" s="106"/>
      <c r="J398" s="106"/>
      <c r="K398" s="50"/>
      <c r="R398" s="173"/>
      <c r="S398" s="106"/>
      <c r="T398" s="106"/>
      <c r="U398" s="106"/>
      <c r="V398" s="106"/>
      <c r="W398" s="106"/>
      <c r="X398" s="106"/>
      <c r="Y398" s="106"/>
      <c r="Z398" s="106"/>
      <c r="AA398" s="106"/>
      <c r="AB398" s="106"/>
      <c r="AC398" s="106"/>
      <c r="AD398" s="106"/>
      <c r="AE398" s="106"/>
      <c r="AF398" s="106"/>
      <c r="AG398" s="106"/>
      <c r="AH398" s="106"/>
      <c r="AI398" s="106"/>
      <c r="AJ398" s="106"/>
      <c r="AK398" s="106"/>
      <c r="AL398" s="106"/>
      <c r="AM398" s="106"/>
      <c r="AN398" s="106"/>
      <c r="AO398" s="106"/>
      <c r="AP398" s="106"/>
    </row>
    <row r="399" spans="7:42" s="105" customFormat="1" x14ac:dyDescent="0.25">
      <c r="G399" s="221"/>
      <c r="H399" s="220"/>
      <c r="I399" s="106"/>
      <c r="J399" s="106"/>
      <c r="K399" s="50"/>
      <c r="R399" s="173"/>
      <c r="S399" s="106"/>
      <c r="T399" s="106"/>
      <c r="U399" s="106"/>
      <c r="V399" s="106"/>
      <c r="W399" s="106"/>
      <c r="X399" s="106"/>
      <c r="Y399" s="106"/>
      <c r="Z399" s="106"/>
      <c r="AA399" s="106"/>
      <c r="AB399" s="106"/>
      <c r="AC399" s="106"/>
      <c r="AD399" s="106"/>
      <c r="AE399" s="106"/>
      <c r="AF399" s="106"/>
      <c r="AG399" s="106"/>
      <c r="AH399" s="106"/>
      <c r="AI399" s="106"/>
      <c r="AJ399" s="106"/>
      <c r="AK399" s="106"/>
      <c r="AL399" s="106"/>
      <c r="AM399" s="106"/>
      <c r="AN399" s="106"/>
      <c r="AO399" s="106"/>
      <c r="AP399" s="106"/>
    </row>
    <row r="400" spans="7:42" s="105" customFormat="1" x14ac:dyDescent="0.25">
      <c r="G400" s="221"/>
      <c r="H400" s="220"/>
      <c r="I400" s="106"/>
      <c r="J400" s="106"/>
      <c r="K400" s="50"/>
      <c r="R400" s="173"/>
      <c r="S400" s="106"/>
      <c r="T400" s="106"/>
      <c r="U400" s="106"/>
      <c r="V400" s="106"/>
      <c r="W400" s="106"/>
      <c r="X400" s="106"/>
      <c r="Y400" s="106"/>
      <c r="Z400" s="106"/>
      <c r="AA400" s="106"/>
      <c r="AB400" s="106"/>
      <c r="AC400" s="106"/>
      <c r="AD400" s="106"/>
      <c r="AE400" s="106"/>
      <c r="AF400" s="106"/>
      <c r="AG400" s="106"/>
      <c r="AH400" s="106"/>
      <c r="AI400" s="106"/>
      <c r="AJ400" s="106"/>
      <c r="AK400" s="106"/>
      <c r="AL400" s="106"/>
      <c r="AM400" s="106"/>
      <c r="AN400" s="106"/>
      <c r="AO400" s="106"/>
      <c r="AP400" s="106"/>
    </row>
    <row r="401" spans="7:8" s="105" customFormat="1" x14ac:dyDescent="0.25">
      <c r="G401" s="221"/>
      <c r="H401" s="220"/>
    </row>
    <row r="402" spans="7:8" s="105" customFormat="1" x14ac:dyDescent="0.25">
      <c r="G402" s="221"/>
      <c r="H402" s="220"/>
    </row>
    <row r="403" spans="7:8" s="105" customFormat="1" x14ac:dyDescent="0.25">
      <c r="G403" s="221"/>
      <c r="H403" s="220"/>
    </row>
    <row r="404" spans="7:8" s="105" customFormat="1" x14ac:dyDescent="0.25">
      <c r="G404" s="221"/>
      <c r="H404" s="220"/>
    </row>
  </sheetData>
  <autoFilter ref="A11:AQ404"/>
  <printOptions horizontalCentered="1"/>
  <pageMargins left="0.25" right="0.25" top="0.75" bottom="0.75" header="0.3" footer="0.3"/>
  <pageSetup scale="30" pageOrder="overThenDown" orientation="landscape" r:id="rId1"/>
  <headerFooter>
    <oddHeader>&amp;RTO10 Draft Annual Update
Attachment 4
WP-Schedule 10 and 16
Page &amp;P of &amp;N</oddHeader>
  </headerFooter>
  <rowBreaks count="6" manualBreakCount="6">
    <brk id="46" max="16383" man="1"/>
    <brk id="80" max="16383" man="1"/>
    <brk id="133" max="16383" man="1"/>
    <brk id="181" max="16383" man="1"/>
    <brk id="259" max="41" man="1"/>
    <brk id="351" max="41" man="1"/>
  </rowBreaks>
  <colBreaks count="3" manualBreakCount="3">
    <brk id="18" max="375" man="1"/>
    <brk id="30" max="1048575" man="1"/>
    <brk id="42"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7" tint="0.59999389629810485"/>
    <pageSetUpPr fitToPage="1"/>
  </sheetPr>
  <dimension ref="A1:P96"/>
  <sheetViews>
    <sheetView topLeftCell="A62" zoomScale="90" zoomScaleNormal="90" zoomScaleSheetLayoutView="85" zoomScalePageLayoutView="50" workbookViewId="0"/>
  </sheetViews>
  <sheetFormatPr defaultRowHeight="15" customHeight="1" x14ac:dyDescent="0.25"/>
  <cols>
    <col min="1" max="16" width="14.42578125" style="80" customWidth="1"/>
    <col min="17" max="17" width="6.140625" style="80" customWidth="1"/>
    <col min="18" max="64" width="8.85546875" style="80" customWidth="1"/>
    <col min="65" max="16384" width="9.140625" style="80"/>
  </cols>
  <sheetData>
    <row r="1" spans="1:16" x14ac:dyDescent="0.25">
      <c r="A1" s="297"/>
      <c r="B1" s="297"/>
      <c r="C1" s="297"/>
      <c r="D1" s="297"/>
      <c r="E1" s="297"/>
      <c r="F1" s="297"/>
      <c r="G1" s="297"/>
      <c r="H1" s="297"/>
      <c r="I1" s="297"/>
      <c r="J1" s="297"/>
      <c r="K1" s="297"/>
      <c r="L1" s="297"/>
      <c r="M1" s="297"/>
      <c r="N1" s="297"/>
      <c r="O1" s="297"/>
      <c r="P1" s="297"/>
    </row>
    <row r="2" spans="1:16" ht="26.25" x14ac:dyDescent="0.25">
      <c r="A2" s="298" t="s">
        <v>47</v>
      </c>
      <c r="B2" s="297"/>
      <c r="C2" s="297"/>
      <c r="D2" s="297"/>
      <c r="E2" s="297"/>
      <c r="F2" s="297"/>
      <c r="G2" s="297"/>
      <c r="H2" s="297"/>
      <c r="I2" s="297"/>
      <c r="J2" s="297"/>
      <c r="K2" s="297"/>
      <c r="L2" s="297"/>
      <c r="M2" s="297"/>
      <c r="N2" s="297"/>
      <c r="O2" s="297"/>
      <c r="P2" s="297"/>
    </row>
    <row r="3" spans="1:16" x14ac:dyDescent="0.25">
      <c r="A3" s="297"/>
      <c r="B3" s="299"/>
      <c r="C3" s="297"/>
      <c r="D3" s="300"/>
      <c r="E3" s="297"/>
      <c r="F3" s="297"/>
      <c r="G3" s="297"/>
      <c r="H3" s="297"/>
      <c r="I3" s="297"/>
      <c r="J3" s="297"/>
      <c r="K3" s="297"/>
      <c r="L3" s="297"/>
      <c r="M3" s="297"/>
      <c r="N3" s="297"/>
      <c r="O3" s="297"/>
      <c r="P3" s="297"/>
    </row>
    <row r="4" spans="1:16" ht="16.5" thickBot="1" x14ac:dyDescent="0.3">
      <c r="A4" s="299"/>
      <c r="B4" s="299"/>
      <c r="C4" s="297"/>
      <c r="D4" s="301" t="s">
        <v>48</v>
      </c>
      <c r="E4" s="302"/>
      <c r="F4" s="302"/>
      <c r="G4" s="302"/>
      <c r="H4" s="302"/>
      <c r="I4" s="302"/>
      <c r="J4" s="302"/>
      <c r="K4" s="302"/>
      <c r="L4" s="302"/>
      <c r="M4" s="302"/>
      <c r="N4" s="302"/>
      <c r="O4" s="302"/>
      <c r="P4" s="302"/>
    </row>
    <row r="5" spans="1:16" ht="42.75" customHeight="1" x14ac:dyDescent="0.25">
      <c r="A5" s="303"/>
      <c r="B5" s="304" t="s">
        <v>9</v>
      </c>
      <c r="C5" s="304"/>
      <c r="D5" s="305" t="s">
        <v>49</v>
      </c>
      <c r="E5" s="306" t="s">
        <v>30</v>
      </c>
      <c r="F5" s="306" t="s">
        <v>50</v>
      </c>
      <c r="G5" s="306" t="s">
        <v>38</v>
      </c>
      <c r="H5" s="306" t="s">
        <v>39</v>
      </c>
      <c r="I5" s="306" t="s">
        <v>40</v>
      </c>
      <c r="J5" s="306" t="s">
        <v>41</v>
      </c>
      <c r="K5" s="306" t="s">
        <v>42</v>
      </c>
      <c r="L5" s="306" t="s">
        <v>66</v>
      </c>
      <c r="M5" s="306" t="s">
        <v>43</v>
      </c>
      <c r="N5" s="306" t="s">
        <v>45</v>
      </c>
      <c r="O5" s="306" t="s">
        <v>46</v>
      </c>
      <c r="P5" s="306" t="s">
        <v>53</v>
      </c>
    </row>
    <row r="6" spans="1:16" x14ac:dyDescent="0.25">
      <c r="A6" s="297" t="s">
        <v>51</v>
      </c>
      <c r="B6" s="307">
        <v>41974</v>
      </c>
      <c r="C6" s="308" t="s">
        <v>36</v>
      </c>
      <c r="D6" s="309">
        <f>SUM(E6:P6)</f>
        <v>0</v>
      </c>
      <c r="E6" s="310">
        <f>SUMPRODUCT(('Inc CWIP &amp; Plant'!$A$12:$A$375=E$5)*
('Inc CWIP &amp; Plant'!$S$11:$AP$11=$B6)*
('Inc CWIP &amp; Plant'!$B$12:$B$375=$C6)*
('Inc CWIP &amp; Plant'!$S$12:$AP$375))</f>
        <v>0</v>
      </c>
      <c r="F6" s="310">
        <f>SUMPRODUCT(('Inc CWIP &amp; Plant'!$A$12:$A$375=F$5)*
('Inc CWIP &amp; Plant'!$S$11:$AP$11=$B6)*
('Inc CWIP &amp; Plant'!$B$12:$B$375=$C6)*
('Inc CWIP &amp; Plant'!$S$12:$AP$375))</f>
        <v>0</v>
      </c>
      <c r="G6" s="310">
        <f>SUMPRODUCT(('Inc CWIP &amp; Plant'!$A$12:$A$375=G$5)*
('Inc CWIP &amp; Plant'!$S$11:$AP$11=$B6)*
('Inc CWIP &amp; Plant'!$B$12:$B$375=$C6)*
('Inc CWIP &amp; Plant'!$S$12:$AP$375))</f>
        <v>0</v>
      </c>
      <c r="H6" s="310">
        <f>SUMPRODUCT(('Inc CWIP &amp; Plant'!$A$12:$A$375=H$5)*
('Inc CWIP &amp; Plant'!$S$11:$AP$11=$B6)*
('Inc CWIP &amp; Plant'!$B$12:$B$375=$C6)*
('Inc CWIP &amp; Plant'!$S$12:$AP$375))</f>
        <v>0</v>
      </c>
      <c r="I6" s="310">
        <f>SUMPRODUCT(('Inc CWIP &amp; Plant'!$A$12:$A$375=I$5)*
('Inc CWIP &amp; Plant'!$S$11:$AP$11=$B6)*
('Inc CWIP &amp; Plant'!$B$12:$B$375=$C6)*
('Inc CWIP &amp; Plant'!$S$12:$AP$375))</f>
        <v>0</v>
      </c>
      <c r="J6" s="310">
        <f>SUMPRODUCT(('Inc CWIP &amp; Plant'!$A$12:$A$375=J$5)*
('Inc CWIP &amp; Plant'!$S$11:$AP$11=$B6)*
('Inc CWIP &amp; Plant'!$B$12:$B$375=$C6)*
('Inc CWIP &amp; Plant'!$S$12:$AP$375))</f>
        <v>0</v>
      </c>
      <c r="K6" s="310">
        <f>SUMPRODUCT(('Inc CWIP &amp; Plant'!$A$12:$A$375=K$5)*
('Inc CWIP &amp; Plant'!$S$11:$AP$11=$B6)*
('Inc CWIP &amp; Plant'!$B$12:$B$375=$C6)*
('Inc CWIP &amp; Plant'!$S$12:$AP$375))</f>
        <v>0</v>
      </c>
      <c r="L6" s="310">
        <f>SUMPRODUCT(('Inc CWIP &amp; Plant'!$A$12:$A$375=L$5)*
('Inc CWIP &amp; Plant'!$S$11:$AP$11=$B6)*
('Inc CWIP &amp; Plant'!$B$12:$B$375=$C6)*
('Inc CWIP &amp; Plant'!$S$12:$AP$375))</f>
        <v>0</v>
      </c>
      <c r="M6" s="310">
        <f>SUMPRODUCT(('Inc CWIP &amp; Plant'!$A$12:$A$375=M$5)*
('Inc CWIP &amp; Plant'!$S$11:$AP$11=$B6)*
('Inc CWIP &amp; Plant'!$B$12:$B$375=$C6)*
('Inc CWIP &amp; Plant'!$S$12:$AP$375))</f>
        <v>0</v>
      </c>
      <c r="N6" s="310">
        <f>SUMPRODUCT(('Inc CWIP &amp; Plant'!$A$12:$A$375=N$5)*
('Inc CWIP &amp; Plant'!$S$11:$AP$11=$B6)*
('Inc CWIP &amp; Plant'!$B$12:$B$375=$C6)*
('Inc CWIP &amp; Plant'!$S$12:$AP$375))</f>
        <v>0</v>
      </c>
      <c r="O6" s="310">
        <f>SUMPRODUCT(('Inc CWIP &amp; Plant'!$A$12:$A$375=O$5)*
('Inc CWIP &amp; Plant'!$S$11:$AP$11=$B6)*
('Inc CWIP &amp; Plant'!$B$12:$B$375=$C6)*
('Inc CWIP &amp; Plant'!$S$12:$AP$375))</f>
        <v>0</v>
      </c>
      <c r="P6" s="311">
        <f>SUMPRODUCT(('Inc CWIP &amp; Plant'!$A$12:$A$375=P$5)*
('Inc CWIP &amp; Plant'!$S$11:$AP$11=$B6)*
('Inc CWIP &amp; Plant'!$B$12:$B$375=$C6)*
('Inc CWIP &amp; Plant'!$S$12:$AP$375))</f>
        <v>0</v>
      </c>
    </row>
    <row r="7" spans="1:16" ht="15" customHeight="1" x14ac:dyDescent="0.25">
      <c r="A7" s="297" t="s">
        <v>52</v>
      </c>
      <c r="B7" s="308">
        <f>EOMONTH(B6,0)+1</f>
        <v>42005</v>
      </c>
      <c r="C7" s="308" t="s">
        <v>36</v>
      </c>
      <c r="D7" s="312">
        <f>SUM(E7:P7)</f>
        <v>26802.463269999986</v>
      </c>
      <c r="E7" s="299">
        <f>SUMPRODUCT(('Inc CWIP &amp; Plant'!$A$12:$A$375=E$5)*
('Inc CWIP &amp; Plant'!$S$11:$AP$11=$B7)*
('Inc CWIP &amp; Plant'!$B$12:$B$375=$C7)*
('Inc CWIP &amp; Plant'!$S$12:$AP$375))</f>
        <v>209.16646999999998</v>
      </c>
      <c r="F7" s="299">
        <f>SUMPRODUCT(('Inc CWIP &amp; Plant'!$A$12:$A$375=F$5)*
('Inc CWIP &amp; Plant'!$S$11:$AP$11=$B7)*
('Inc CWIP &amp; Plant'!$B$12:$B$375=$C7)*
('Inc CWIP &amp; Plant'!$S$12:$AP$375))</f>
        <v>0</v>
      </c>
      <c r="G7" s="299">
        <f>SUMPRODUCT(('Inc CWIP &amp; Plant'!$A$12:$A$375=G$5)*
('Inc CWIP &amp; Plant'!$S$11:$AP$11=$B7)*
('Inc CWIP &amp; Plant'!$B$12:$B$375=$C7)*
('Inc CWIP &amp; Plant'!$S$12:$AP$375))</f>
        <v>57.148359999999997</v>
      </c>
      <c r="H7" s="299">
        <f>SUMPRODUCT(('Inc CWIP &amp; Plant'!$A$12:$A$375=H$5)*
('Inc CWIP &amp; Plant'!$S$11:$AP$11=$B7)*
('Inc CWIP &amp; Plant'!$B$12:$B$375=$C7)*
('Inc CWIP &amp; Plant'!$S$12:$AP$375))</f>
        <v>25624.25299999999</v>
      </c>
      <c r="I7" s="299">
        <f>SUMPRODUCT(('Inc CWIP &amp; Plant'!$A$12:$A$375=I$5)*
('Inc CWIP &amp; Plant'!$S$11:$AP$11=$B7)*
('Inc CWIP &amp; Plant'!$B$12:$B$375=$C7)*
('Inc CWIP &amp; Plant'!$S$12:$AP$375))</f>
        <v>198.17558000000002</v>
      </c>
      <c r="J7" s="299">
        <f>SUMPRODUCT(('Inc CWIP &amp; Plant'!$A$12:$A$375=J$5)*
('Inc CWIP &amp; Plant'!$S$11:$AP$11=$B7)*
('Inc CWIP &amp; Plant'!$B$12:$B$375=$C7)*
('Inc CWIP &amp; Plant'!$S$12:$AP$375))</f>
        <v>-44.976069999999993</v>
      </c>
      <c r="K7" s="299">
        <f>SUMPRODUCT(('Inc CWIP &amp; Plant'!$A$12:$A$375=K$5)*
('Inc CWIP &amp; Plant'!$S$11:$AP$11=$B7)*
('Inc CWIP &amp; Plant'!$B$12:$B$375=$C7)*
('Inc CWIP &amp; Plant'!$S$12:$AP$375))</f>
        <v>0</v>
      </c>
      <c r="L7" s="299">
        <f>SUMPRODUCT(('Inc CWIP &amp; Plant'!$A$12:$A$375=L$5)*
('Inc CWIP &amp; Plant'!$S$11:$AP$11=$B7)*
('Inc CWIP &amp; Plant'!$B$12:$B$375=$C7)*
('Inc CWIP &amp; Plant'!$S$12:$AP$375))</f>
        <v>362.02051</v>
      </c>
      <c r="M7" s="299">
        <f>SUMPRODUCT(('Inc CWIP &amp; Plant'!$A$12:$A$375=M$5)*
('Inc CWIP &amp; Plant'!$S$11:$AP$11=$B7)*
('Inc CWIP &amp; Plant'!$B$12:$B$375=$C7)*
('Inc CWIP &amp; Plant'!$S$12:$AP$375))</f>
        <v>325.58976000000001</v>
      </c>
      <c r="N7" s="299">
        <f>SUMPRODUCT(('Inc CWIP &amp; Plant'!$A$12:$A$375=N$5)*
('Inc CWIP &amp; Plant'!$S$11:$AP$11=$B7)*
('Inc CWIP &amp; Plant'!$B$12:$B$375=$C7)*
('Inc CWIP &amp; Plant'!$S$12:$AP$375))</f>
        <v>50.914309999999993</v>
      </c>
      <c r="O7" s="299">
        <f>SUMPRODUCT(('Inc CWIP &amp; Plant'!$A$12:$A$375=O$5)*
('Inc CWIP &amp; Plant'!$S$11:$AP$11=$B7)*
('Inc CWIP &amp; Plant'!$B$12:$B$375=$C7)*
('Inc CWIP &amp; Plant'!$S$12:$AP$375))</f>
        <v>20.17135</v>
      </c>
      <c r="P7" s="313">
        <f>SUMPRODUCT(('Inc CWIP &amp; Plant'!$A$12:$A$375=P$5)*
('Inc CWIP &amp; Plant'!$S$11:$AP$11=$B7)*
('Inc CWIP &amp; Plant'!$B$12:$B$375=$C7)*
('Inc CWIP &amp; Plant'!$S$12:$AP$375))</f>
        <v>0</v>
      </c>
    </row>
    <row r="8" spans="1:16" ht="15" customHeight="1" x14ac:dyDescent="0.25">
      <c r="A8" s="297"/>
      <c r="B8" s="308">
        <f t="shared" ref="B8:B30" si="0">EOMONTH(B7,0)+1</f>
        <v>42036</v>
      </c>
      <c r="C8" s="308" t="s">
        <v>36</v>
      </c>
      <c r="D8" s="312">
        <f t="shared" ref="D8:D29" si="1">SUM(E8:P8)</f>
        <v>37757.588019999988</v>
      </c>
      <c r="E8" s="299">
        <f>SUMPRODUCT(('Inc CWIP &amp; Plant'!$A$12:$A$375=E$5)*
('Inc CWIP &amp; Plant'!$S$11:$AP$11=$B8)*
('Inc CWIP &amp; Plant'!$B$12:$B$375=$C8)*
('Inc CWIP &amp; Plant'!$S$12:$AP$375))</f>
        <v>221.56031999999999</v>
      </c>
      <c r="F8" s="299">
        <f>SUMPRODUCT(('Inc CWIP &amp; Plant'!$A$12:$A$375=F$5)*
('Inc CWIP &amp; Plant'!$S$11:$AP$11=$B8)*
('Inc CWIP &amp; Plant'!$B$12:$B$375=$C8)*
('Inc CWIP &amp; Plant'!$S$12:$AP$375))</f>
        <v>0</v>
      </c>
      <c r="G8" s="299">
        <f>SUMPRODUCT(('Inc CWIP &amp; Plant'!$A$12:$A$375=G$5)*
('Inc CWIP &amp; Plant'!$S$11:$AP$11=$B8)*
('Inc CWIP &amp; Plant'!$B$12:$B$375=$C8)*
('Inc CWIP &amp; Plant'!$S$12:$AP$375))</f>
        <v>116.40249999999999</v>
      </c>
      <c r="H8" s="299">
        <f>SUMPRODUCT(('Inc CWIP &amp; Plant'!$A$12:$A$375=H$5)*
('Inc CWIP &amp; Plant'!$S$11:$AP$11=$B8)*
('Inc CWIP &amp; Plant'!$B$12:$B$375=$C8)*
('Inc CWIP &amp; Plant'!$S$12:$AP$375))</f>
        <v>34237.454180000001</v>
      </c>
      <c r="I8" s="299">
        <f>SUMPRODUCT(('Inc CWIP &amp; Plant'!$A$12:$A$375=I$5)*
('Inc CWIP &amp; Plant'!$S$11:$AP$11=$B8)*
('Inc CWIP &amp; Plant'!$B$12:$B$375=$C8)*
('Inc CWIP &amp; Plant'!$S$12:$AP$375))</f>
        <v>1395.2882500000001</v>
      </c>
      <c r="J8" s="299">
        <f>SUMPRODUCT(('Inc CWIP &amp; Plant'!$A$12:$A$375=J$5)*
('Inc CWIP &amp; Plant'!$S$11:$AP$11=$B8)*
('Inc CWIP &amp; Plant'!$B$12:$B$375=$C8)*
('Inc CWIP &amp; Plant'!$S$12:$AP$375))</f>
        <v>1.9637399999999998</v>
      </c>
      <c r="K8" s="299">
        <f>SUMPRODUCT(('Inc CWIP &amp; Plant'!$A$12:$A$375=K$5)*
('Inc CWIP &amp; Plant'!$S$11:$AP$11=$B8)*
('Inc CWIP &amp; Plant'!$B$12:$B$375=$C8)*
('Inc CWIP &amp; Plant'!$S$12:$AP$375))</f>
        <v>0</v>
      </c>
      <c r="L8" s="299">
        <f>SUMPRODUCT(('Inc CWIP &amp; Plant'!$A$12:$A$375=L$5)*
('Inc CWIP &amp; Plant'!$S$11:$AP$11=$B8)*
('Inc CWIP &amp; Plant'!$B$12:$B$375=$C8)*
('Inc CWIP &amp; Plant'!$S$12:$AP$375))</f>
        <v>770.57375999999999</v>
      </c>
      <c r="M8" s="299">
        <f>SUMPRODUCT(('Inc CWIP &amp; Plant'!$A$12:$A$375=M$5)*
('Inc CWIP &amp; Plant'!$S$11:$AP$11=$B8)*
('Inc CWIP &amp; Plant'!$B$12:$B$375=$C8)*
('Inc CWIP &amp; Plant'!$S$12:$AP$375))</f>
        <v>816.32241999999997</v>
      </c>
      <c r="N8" s="299">
        <f>SUMPRODUCT(('Inc CWIP &amp; Plant'!$A$12:$A$375=N$5)*
('Inc CWIP &amp; Plant'!$S$11:$AP$11=$B8)*
('Inc CWIP &amp; Plant'!$B$12:$B$375=$C8)*
('Inc CWIP &amp; Plant'!$S$12:$AP$375))</f>
        <v>141.67683</v>
      </c>
      <c r="O8" s="299">
        <f>SUMPRODUCT(('Inc CWIP &amp; Plant'!$A$12:$A$375=O$5)*
('Inc CWIP &amp; Plant'!$S$11:$AP$11=$B8)*
('Inc CWIP &amp; Plant'!$B$12:$B$375=$C8)*
('Inc CWIP &amp; Plant'!$S$12:$AP$375))</f>
        <v>56.346020000000003</v>
      </c>
      <c r="P8" s="313">
        <f>SUMPRODUCT(('Inc CWIP &amp; Plant'!$A$12:$A$375=P$5)*
('Inc CWIP &amp; Plant'!$S$11:$AP$11=$B8)*
('Inc CWIP &amp; Plant'!$B$12:$B$375=$C8)*
('Inc CWIP &amp; Plant'!$S$12:$AP$375))</f>
        <v>0</v>
      </c>
    </row>
    <row r="9" spans="1:16" ht="15" customHeight="1" x14ac:dyDescent="0.25">
      <c r="A9" s="297"/>
      <c r="B9" s="308">
        <f t="shared" si="0"/>
        <v>42064</v>
      </c>
      <c r="C9" s="308" t="s">
        <v>36</v>
      </c>
      <c r="D9" s="312">
        <f t="shared" si="1"/>
        <v>19833.725539999996</v>
      </c>
      <c r="E9" s="299">
        <f>SUMPRODUCT(('Inc CWIP &amp; Plant'!$A$12:$A$375=E$5)*
('Inc CWIP &amp; Plant'!$S$11:$AP$11=$B9)*
('Inc CWIP &amp; Plant'!$B$12:$B$375=$C9)*
('Inc CWIP &amp; Plant'!$S$12:$AP$375))</f>
        <v>-57.131149999999955</v>
      </c>
      <c r="F9" s="299">
        <f>SUMPRODUCT(('Inc CWIP &amp; Plant'!$A$12:$A$375=F$5)*
('Inc CWIP &amp; Plant'!$S$11:$AP$11=$B9)*
('Inc CWIP &amp; Plant'!$B$12:$B$375=$C9)*
('Inc CWIP &amp; Plant'!$S$12:$AP$375))</f>
        <v>0</v>
      </c>
      <c r="G9" s="299">
        <f>SUMPRODUCT(('Inc CWIP &amp; Plant'!$A$12:$A$375=G$5)*
('Inc CWIP &amp; Plant'!$S$11:$AP$11=$B9)*
('Inc CWIP &amp; Plant'!$B$12:$B$375=$C9)*
('Inc CWIP &amp; Plant'!$S$12:$AP$375))</f>
        <v>22.563580000000002</v>
      </c>
      <c r="H9" s="299">
        <f>SUMPRODUCT(('Inc CWIP &amp; Plant'!$A$12:$A$375=H$5)*
('Inc CWIP &amp; Plant'!$S$11:$AP$11=$B9)*
('Inc CWIP &amp; Plant'!$B$12:$B$375=$C9)*
('Inc CWIP &amp; Plant'!$S$12:$AP$375))</f>
        <v>16627.795189999997</v>
      </c>
      <c r="I9" s="299">
        <f>SUMPRODUCT(('Inc CWIP &amp; Plant'!$A$12:$A$375=I$5)*
('Inc CWIP &amp; Plant'!$S$11:$AP$11=$B9)*
('Inc CWIP &amp; Plant'!$B$12:$B$375=$C9)*
('Inc CWIP &amp; Plant'!$S$12:$AP$375))</f>
        <v>254.35746999999998</v>
      </c>
      <c r="J9" s="299">
        <f>SUMPRODUCT(('Inc CWIP &amp; Plant'!$A$12:$A$375=J$5)*
('Inc CWIP &amp; Plant'!$S$11:$AP$11=$B9)*
('Inc CWIP &amp; Plant'!$B$12:$B$375=$C9)*
('Inc CWIP &amp; Plant'!$S$12:$AP$375))</f>
        <v>164.39805999999999</v>
      </c>
      <c r="K9" s="299">
        <f>SUMPRODUCT(('Inc CWIP &amp; Plant'!$A$12:$A$375=K$5)*
('Inc CWIP &amp; Plant'!$S$11:$AP$11=$B9)*
('Inc CWIP &amp; Plant'!$B$12:$B$375=$C9)*
('Inc CWIP &amp; Plant'!$S$12:$AP$375))</f>
        <v>0</v>
      </c>
      <c r="L9" s="299">
        <f>SUMPRODUCT(('Inc CWIP &amp; Plant'!$A$12:$A$375=L$5)*
('Inc CWIP &amp; Plant'!$S$11:$AP$11=$B9)*
('Inc CWIP &amp; Plant'!$B$12:$B$375=$C9)*
('Inc CWIP &amp; Plant'!$S$12:$AP$375))</f>
        <v>1197.7672399999999</v>
      </c>
      <c r="M9" s="299">
        <f>SUMPRODUCT(('Inc CWIP &amp; Plant'!$A$12:$A$375=M$5)*
('Inc CWIP &amp; Plant'!$S$11:$AP$11=$B9)*
('Inc CWIP &amp; Plant'!$B$12:$B$375=$C9)*
('Inc CWIP &amp; Plant'!$S$12:$AP$375))</f>
        <v>874.84993999999995</v>
      </c>
      <c r="N9" s="299">
        <f>SUMPRODUCT(('Inc CWIP &amp; Plant'!$A$12:$A$375=N$5)*
('Inc CWIP &amp; Plant'!$S$11:$AP$11=$B9)*
('Inc CWIP &amp; Plant'!$B$12:$B$375=$C9)*
('Inc CWIP &amp; Plant'!$S$12:$AP$375))</f>
        <v>717.92084</v>
      </c>
      <c r="O9" s="299">
        <f>SUMPRODUCT(('Inc CWIP &amp; Plant'!$A$12:$A$375=O$5)*
('Inc CWIP &amp; Plant'!$S$11:$AP$11=$B9)*
('Inc CWIP &amp; Plant'!$B$12:$B$375=$C9)*
('Inc CWIP &amp; Plant'!$S$12:$AP$375))</f>
        <v>31.204370000000001</v>
      </c>
      <c r="P9" s="313">
        <f>SUMPRODUCT(('Inc CWIP &amp; Plant'!$A$12:$A$375=P$5)*
('Inc CWIP &amp; Plant'!$S$11:$AP$11=$B9)*
('Inc CWIP &amp; Plant'!$B$12:$B$375=$C9)*
('Inc CWIP &amp; Plant'!$S$12:$AP$375))</f>
        <v>0</v>
      </c>
    </row>
    <row r="10" spans="1:16" ht="15" customHeight="1" x14ac:dyDescent="0.25">
      <c r="A10" s="297"/>
      <c r="B10" s="308">
        <f t="shared" si="0"/>
        <v>42095</v>
      </c>
      <c r="C10" s="308" t="s">
        <v>36</v>
      </c>
      <c r="D10" s="312">
        <f t="shared" si="1"/>
        <v>24804.297313018389</v>
      </c>
      <c r="E10" s="299">
        <f>SUMPRODUCT(('Inc CWIP &amp; Plant'!$A$12:$A$375=E$5)*
('Inc CWIP &amp; Plant'!$S$11:$AP$11=$B10)*
('Inc CWIP &amp; Plant'!$B$12:$B$375=$C10)*
('Inc CWIP &amp; Plant'!$S$12:$AP$375))</f>
        <v>500.20190000000002</v>
      </c>
      <c r="F10" s="299">
        <f>SUMPRODUCT(('Inc CWIP &amp; Plant'!$A$12:$A$375=F$5)*
('Inc CWIP &amp; Plant'!$S$11:$AP$11=$B10)*
('Inc CWIP &amp; Plant'!$B$12:$B$375=$C10)*
('Inc CWIP &amp; Plant'!$S$12:$AP$375))</f>
        <v>0</v>
      </c>
      <c r="G10" s="299">
        <f>SUMPRODUCT(('Inc CWIP &amp; Plant'!$A$12:$A$375=G$5)*
('Inc CWIP &amp; Plant'!$S$11:$AP$11=$B10)*
('Inc CWIP &amp; Plant'!$B$12:$B$375=$C10)*
('Inc CWIP &amp; Plant'!$S$12:$AP$375))</f>
        <v>71.703299999999999</v>
      </c>
      <c r="H10" s="299">
        <f>SUMPRODUCT(('Inc CWIP &amp; Plant'!$A$12:$A$375=H$5)*
('Inc CWIP &amp; Plant'!$S$11:$AP$11=$B10)*
('Inc CWIP &amp; Plant'!$B$12:$B$375=$C10)*
('Inc CWIP &amp; Plant'!$S$12:$AP$375))</f>
        <v>18584.127020200001</v>
      </c>
      <c r="I10" s="299">
        <f>SUMPRODUCT(('Inc CWIP &amp; Plant'!$A$12:$A$375=I$5)*
('Inc CWIP &amp; Plant'!$S$11:$AP$11=$B10)*
('Inc CWIP &amp; Plant'!$B$12:$B$375=$C10)*
('Inc CWIP &amp; Plant'!$S$12:$AP$375))</f>
        <v>911</v>
      </c>
      <c r="J10" s="299">
        <f>SUMPRODUCT(('Inc CWIP &amp; Plant'!$A$12:$A$375=J$5)*
('Inc CWIP &amp; Plant'!$S$11:$AP$11=$B10)*
('Inc CWIP &amp; Plant'!$B$12:$B$375=$C10)*
('Inc CWIP &amp; Plant'!$S$12:$AP$375))</f>
        <v>0</v>
      </c>
      <c r="K10" s="299">
        <f>SUMPRODUCT(('Inc CWIP &amp; Plant'!$A$12:$A$375=K$5)*
('Inc CWIP &amp; Plant'!$S$11:$AP$11=$B10)*
('Inc CWIP &amp; Plant'!$B$12:$B$375=$C10)*
('Inc CWIP &amp; Plant'!$S$12:$AP$375))</f>
        <v>0</v>
      </c>
      <c r="L10" s="299">
        <f>SUMPRODUCT(('Inc CWIP &amp; Plant'!$A$12:$A$375=L$5)*
('Inc CWIP &amp; Plant'!$S$11:$AP$11=$B10)*
('Inc CWIP &amp; Plant'!$B$12:$B$375=$C10)*
('Inc CWIP &amp; Plant'!$S$12:$AP$375))</f>
        <v>904.80354999999997</v>
      </c>
      <c r="M10" s="299">
        <f>SUMPRODUCT(('Inc CWIP &amp; Plant'!$A$12:$A$375=M$5)*
('Inc CWIP &amp; Plant'!$S$11:$AP$11=$B10)*
('Inc CWIP &amp; Plant'!$B$12:$B$375=$C10)*
('Inc CWIP &amp; Plant'!$S$12:$AP$375))</f>
        <v>3392.4615428183856</v>
      </c>
      <c r="N10" s="299">
        <f>SUMPRODUCT(('Inc CWIP &amp; Plant'!$A$12:$A$375=N$5)*
('Inc CWIP &amp; Plant'!$S$11:$AP$11=$B10)*
('Inc CWIP &amp; Plant'!$B$12:$B$375=$C10)*
('Inc CWIP &amp; Plant'!$S$12:$AP$375))</f>
        <v>408</v>
      </c>
      <c r="O10" s="299">
        <f>SUMPRODUCT(('Inc CWIP &amp; Plant'!$A$12:$A$375=O$5)*
('Inc CWIP &amp; Plant'!$S$11:$AP$11=$B10)*
('Inc CWIP &amp; Plant'!$B$12:$B$375=$C10)*
('Inc CWIP &amp; Plant'!$S$12:$AP$375))</f>
        <v>32</v>
      </c>
      <c r="P10" s="313">
        <f>SUMPRODUCT(('Inc CWIP &amp; Plant'!$A$12:$A$375=P$5)*
('Inc CWIP &amp; Plant'!$S$11:$AP$11=$B10)*
('Inc CWIP &amp; Plant'!$B$12:$B$375=$C10)*
('Inc CWIP &amp; Plant'!$S$12:$AP$375))</f>
        <v>0</v>
      </c>
    </row>
    <row r="11" spans="1:16" ht="15" customHeight="1" x14ac:dyDescent="0.25">
      <c r="A11" s="297"/>
      <c r="B11" s="308">
        <f t="shared" si="0"/>
        <v>42125</v>
      </c>
      <c r="C11" s="308" t="s">
        <v>36</v>
      </c>
      <c r="D11" s="312">
        <f t="shared" si="1"/>
        <v>25668.557692244402</v>
      </c>
      <c r="E11" s="299">
        <f>SUMPRODUCT(('Inc CWIP &amp; Plant'!$A$12:$A$375=E$5)*
('Inc CWIP &amp; Plant'!$S$11:$AP$11=$B11)*
('Inc CWIP &amp; Plant'!$B$12:$B$375=$C11)*
('Inc CWIP &amp; Plant'!$S$12:$AP$375))</f>
        <v>503.03834749999999</v>
      </c>
      <c r="F11" s="299">
        <f>SUMPRODUCT(('Inc CWIP &amp; Plant'!$A$12:$A$375=F$5)*
('Inc CWIP &amp; Plant'!$S$11:$AP$11=$B11)*
('Inc CWIP &amp; Plant'!$B$12:$B$375=$C11)*
('Inc CWIP &amp; Plant'!$S$12:$AP$375))</f>
        <v>0</v>
      </c>
      <c r="G11" s="299">
        <f>SUMPRODUCT(('Inc CWIP &amp; Plant'!$A$12:$A$375=G$5)*
('Inc CWIP &amp; Plant'!$S$11:$AP$11=$B11)*
('Inc CWIP &amp; Plant'!$B$12:$B$375=$C11)*
('Inc CWIP &amp; Plant'!$S$12:$AP$375))</f>
        <v>71.704400000000007</v>
      </c>
      <c r="H11" s="299">
        <f>SUMPRODUCT(('Inc CWIP &amp; Plant'!$A$12:$A$375=H$5)*
('Inc CWIP &amp; Plant'!$S$11:$AP$11=$B11)*
('Inc CWIP &amp; Plant'!$B$12:$B$375=$C11)*
('Inc CWIP &amp; Plant'!$S$12:$AP$375))</f>
        <v>22758.2370386</v>
      </c>
      <c r="I11" s="299">
        <f>SUMPRODUCT(('Inc CWIP &amp; Plant'!$A$12:$A$375=I$5)*
('Inc CWIP &amp; Plant'!$S$11:$AP$11=$B11)*
('Inc CWIP &amp; Plant'!$B$12:$B$375=$C11)*
('Inc CWIP &amp; Plant'!$S$12:$AP$375))</f>
        <v>165</v>
      </c>
      <c r="J11" s="299">
        <f>SUMPRODUCT(('Inc CWIP &amp; Plant'!$A$12:$A$375=J$5)*
('Inc CWIP &amp; Plant'!$S$11:$AP$11=$B11)*
('Inc CWIP &amp; Plant'!$B$12:$B$375=$C11)*
('Inc CWIP &amp; Plant'!$S$12:$AP$375))</f>
        <v>0</v>
      </c>
      <c r="K11" s="299">
        <f>SUMPRODUCT(('Inc CWIP &amp; Plant'!$A$12:$A$375=K$5)*
('Inc CWIP &amp; Plant'!$S$11:$AP$11=$B11)*
('Inc CWIP &amp; Plant'!$B$12:$B$375=$C11)*
('Inc CWIP &amp; Plant'!$S$12:$AP$375))</f>
        <v>0</v>
      </c>
      <c r="L11" s="299">
        <f>SUMPRODUCT(('Inc CWIP &amp; Plant'!$A$12:$A$375=L$5)*
('Inc CWIP &amp; Plant'!$S$11:$AP$11=$B11)*
('Inc CWIP &amp; Plant'!$B$12:$B$375=$C11)*
('Inc CWIP &amp; Plant'!$S$12:$AP$375))</f>
        <v>459.13049749999999</v>
      </c>
      <c r="M11" s="299">
        <f>SUMPRODUCT(('Inc CWIP &amp; Plant'!$A$12:$A$375=M$5)*
('Inc CWIP &amp; Plant'!$S$11:$AP$11=$B11)*
('Inc CWIP &amp; Plant'!$B$12:$B$375=$C11)*
('Inc CWIP &amp; Plant'!$S$12:$AP$375))</f>
        <v>1176.4474086444027</v>
      </c>
      <c r="N11" s="299">
        <f>SUMPRODUCT(('Inc CWIP &amp; Plant'!$A$12:$A$375=N$5)*
('Inc CWIP &amp; Plant'!$S$11:$AP$11=$B11)*
('Inc CWIP &amp; Plant'!$B$12:$B$375=$C11)*
('Inc CWIP &amp; Plant'!$S$12:$AP$375))</f>
        <v>470</v>
      </c>
      <c r="O11" s="299">
        <f>SUMPRODUCT(('Inc CWIP &amp; Plant'!$A$12:$A$375=O$5)*
('Inc CWIP &amp; Plant'!$S$11:$AP$11=$B11)*
('Inc CWIP &amp; Plant'!$B$12:$B$375=$C11)*
('Inc CWIP &amp; Plant'!$S$12:$AP$375))</f>
        <v>65</v>
      </c>
      <c r="P11" s="313">
        <f>SUMPRODUCT(('Inc CWIP &amp; Plant'!$A$12:$A$375=P$5)*
('Inc CWIP &amp; Plant'!$S$11:$AP$11=$B11)*
('Inc CWIP &amp; Plant'!$B$12:$B$375=$C11)*
('Inc CWIP &amp; Plant'!$S$12:$AP$375))</f>
        <v>0</v>
      </c>
    </row>
    <row r="12" spans="1:16" ht="15" customHeight="1" x14ac:dyDescent="0.25">
      <c r="A12" s="297"/>
      <c r="B12" s="308">
        <f t="shared" si="0"/>
        <v>42156</v>
      </c>
      <c r="C12" s="308" t="s">
        <v>36</v>
      </c>
      <c r="D12" s="312">
        <f t="shared" si="1"/>
        <v>40810.021578944405</v>
      </c>
      <c r="E12" s="299">
        <f>SUMPRODUCT(('Inc CWIP &amp; Plant'!$A$12:$A$375=E$5)*
('Inc CWIP &amp; Plant'!$S$11:$AP$11=$B12)*
('Inc CWIP &amp; Plant'!$B$12:$B$375=$C12)*
('Inc CWIP &amp; Plant'!$S$12:$AP$375))</f>
        <v>164.03834749999999</v>
      </c>
      <c r="F12" s="299">
        <f>SUMPRODUCT(('Inc CWIP &amp; Plant'!$A$12:$A$375=F$5)*
('Inc CWIP &amp; Plant'!$S$11:$AP$11=$B12)*
('Inc CWIP &amp; Plant'!$B$12:$B$375=$C12)*
('Inc CWIP &amp; Plant'!$S$12:$AP$375))</f>
        <v>0</v>
      </c>
      <c r="G12" s="299">
        <f>SUMPRODUCT(('Inc CWIP &amp; Plant'!$A$12:$A$375=G$5)*
('Inc CWIP &amp; Plant'!$S$11:$AP$11=$B12)*
('Inc CWIP &amp; Plant'!$B$12:$B$375=$C12)*
('Inc CWIP &amp; Plant'!$S$12:$AP$375))</f>
        <v>104.7055</v>
      </c>
      <c r="H12" s="299">
        <f>SUMPRODUCT(('Inc CWIP &amp; Plant'!$A$12:$A$375=H$5)*
('Inc CWIP &amp; Plant'!$S$11:$AP$11=$B12)*
('Inc CWIP &amp; Plant'!$B$12:$B$375=$C12)*
('Inc CWIP &amp; Plant'!$S$12:$AP$375))</f>
        <v>38328.213834800001</v>
      </c>
      <c r="I12" s="299">
        <f>SUMPRODUCT(('Inc CWIP &amp; Plant'!$A$12:$A$375=I$5)*
('Inc CWIP &amp; Plant'!$S$11:$AP$11=$B12)*
('Inc CWIP &amp; Plant'!$B$12:$B$375=$C12)*
('Inc CWIP &amp; Plant'!$S$12:$AP$375))</f>
        <v>565</v>
      </c>
      <c r="J12" s="299">
        <f>SUMPRODUCT(('Inc CWIP &amp; Plant'!$A$12:$A$375=J$5)*
('Inc CWIP &amp; Plant'!$S$11:$AP$11=$B12)*
('Inc CWIP &amp; Plant'!$B$12:$B$375=$C12)*
('Inc CWIP &amp; Plant'!$S$12:$AP$375))</f>
        <v>0</v>
      </c>
      <c r="K12" s="299">
        <f>SUMPRODUCT(('Inc CWIP &amp; Plant'!$A$12:$A$375=K$5)*
('Inc CWIP &amp; Plant'!$S$11:$AP$11=$B12)*
('Inc CWIP &amp; Plant'!$B$12:$B$375=$C12)*
('Inc CWIP &amp; Plant'!$S$12:$AP$375))</f>
        <v>0</v>
      </c>
      <c r="L12" s="299">
        <f>SUMPRODUCT(('Inc CWIP &amp; Plant'!$A$12:$A$375=L$5)*
('Inc CWIP &amp; Plant'!$S$11:$AP$11=$B12)*
('Inc CWIP &amp; Plant'!$B$12:$B$375=$C12)*
('Inc CWIP &amp; Plant'!$S$12:$AP$375))</f>
        <v>216.13049749999999</v>
      </c>
      <c r="M12" s="299">
        <f>SUMPRODUCT(('Inc CWIP &amp; Plant'!$A$12:$A$375=M$5)*
('Inc CWIP &amp; Plant'!$S$11:$AP$11=$B12)*
('Inc CWIP &amp; Plant'!$B$12:$B$375=$C12)*
('Inc CWIP &amp; Plant'!$S$12:$AP$375))</f>
        <v>1041.9333991444028</v>
      </c>
      <c r="N12" s="299">
        <f>SUMPRODUCT(('Inc CWIP &amp; Plant'!$A$12:$A$375=N$5)*
('Inc CWIP &amp; Plant'!$S$11:$AP$11=$B12)*
('Inc CWIP &amp; Plant'!$B$12:$B$375=$C12)*
('Inc CWIP &amp; Plant'!$S$12:$AP$375))</f>
        <v>275</v>
      </c>
      <c r="O12" s="299">
        <f>SUMPRODUCT(('Inc CWIP &amp; Plant'!$A$12:$A$375=O$5)*
('Inc CWIP &amp; Plant'!$S$11:$AP$11=$B12)*
('Inc CWIP &amp; Plant'!$B$12:$B$375=$C12)*
('Inc CWIP &amp; Plant'!$S$12:$AP$375))</f>
        <v>115</v>
      </c>
      <c r="P12" s="313">
        <f>SUMPRODUCT(('Inc CWIP &amp; Plant'!$A$12:$A$375=P$5)*
('Inc CWIP &amp; Plant'!$S$11:$AP$11=$B12)*
('Inc CWIP &amp; Plant'!$B$12:$B$375=$C12)*
('Inc CWIP &amp; Plant'!$S$12:$AP$375))</f>
        <v>0</v>
      </c>
    </row>
    <row r="13" spans="1:16" ht="15" customHeight="1" x14ac:dyDescent="0.25">
      <c r="A13" s="297"/>
      <c r="B13" s="308">
        <f t="shared" si="0"/>
        <v>42186</v>
      </c>
      <c r="C13" s="308" t="s">
        <v>36</v>
      </c>
      <c r="D13" s="312">
        <f t="shared" si="1"/>
        <v>30438.118306994402</v>
      </c>
      <c r="E13" s="299">
        <f>SUMPRODUCT(('Inc CWIP &amp; Plant'!$A$12:$A$375=E$5)*
('Inc CWIP &amp; Plant'!$S$11:$AP$11=$B13)*
('Inc CWIP &amp; Plant'!$B$12:$B$375=$C13)*
('Inc CWIP &amp; Plant'!$S$12:$AP$375))</f>
        <v>215.03834749999999</v>
      </c>
      <c r="F13" s="299">
        <f>SUMPRODUCT(('Inc CWIP &amp; Plant'!$A$12:$A$375=F$5)*
('Inc CWIP &amp; Plant'!$S$11:$AP$11=$B13)*
('Inc CWIP &amp; Plant'!$B$12:$B$375=$C13)*
('Inc CWIP &amp; Plant'!$S$12:$AP$375))</f>
        <v>0</v>
      </c>
      <c r="G13" s="299">
        <f>SUMPRODUCT(('Inc CWIP &amp; Plant'!$A$12:$A$375=G$5)*
('Inc CWIP &amp; Plant'!$S$11:$AP$11=$B13)*
('Inc CWIP &amp; Plant'!$B$12:$B$375=$C13)*
('Inc CWIP &amp; Plant'!$S$12:$AP$375))</f>
        <v>434.56560000000002</v>
      </c>
      <c r="H13" s="299">
        <f>SUMPRODUCT(('Inc CWIP &amp; Plant'!$A$12:$A$375=H$5)*
('Inc CWIP &amp; Plant'!$S$11:$AP$11=$B13)*
('Inc CWIP &amp; Plant'!$B$12:$B$375=$C13)*
('Inc CWIP &amp; Plant'!$S$12:$AP$375))</f>
        <v>27130.978476800003</v>
      </c>
      <c r="I13" s="299">
        <f>SUMPRODUCT(('Inc CWIP &amp; Plant'!$A$12:$A$375=I$5)*
('Inc CWIP &amp; Plant'!$S$11:$AP$11=$B13)*
('Inc CWIP &amp; Plant'!$B$12:$B$375=$C13)*
('Inc CWIP &amp; Plant'!$S$12:$AP$375))</f>
        <v>565</v>
      </c>
      <c r="J13" s="299">
        <f>SUMPRODUCT(('Inc CWIP &amp; Plant'!$A$12:$A$375=J$5)*
('Inc CWIP &amp; Plant'!$S$11:$AP$11=$B13)*
('Inc CWIP &amp; Plant'!$B$12:$B$375=$C13)*
('Inc CWIP &amp; Plant'!$S$12:$AP$375))</f>
        <v>0</v>
      </c>
      <c r="K13" s="299">
        <f>SUMPRODUCT(('Inc CWIP &amp; Plant'!$A$12:$A$375=K$5)*
('Inc CWIP &amp; Plant'!$S$11:$AP$11=$B13)*
('Inc CWIP &amp; Plant'!$B$12:$B$375=$C13)*
('Inc CWIP &amp; Plant'!$S$12:$AP$375))</f>
        <v>0</v>
      </c>
      <c r="L13" s="299">
        <f>SUMPRODUCT(('Inc CWIP &amp; Plant'!$A$12:$A$375=L$5)*
('Inc CWIP &amp; Plant'!$S$11:$AP$11=$B13)*
('Inc CWIP &amp; Plant'!$B$12:$B$375=$C13)*
('Inc CWIP &amp; Plant'!$S$12:$AP$375))</f>
        <v>6.1304974999999997</v>
      </c>
      <c r="M13" s="299">
        <f>SUMPRODUCT(('Inc CWIP &amp; Plant'!$A$12:$A$375=M$5)*
('Inc CWIP &amp; Plant'!$S$11:$AP$11=$B13)*
('Inc CWIP &amp; Plant'!$B$12:$B$375=$C13)*
('Inc CWIP &amp; Plant'!$S$12:$AP$375))</f>
        <v>1836.4053851944027</v>
      </c>
      <c r="N13" s="299">
        <f>SUMPRODUCT(('Inc CWIP &amp; Plant'!$A$12:$A$375=N$5)*
('Inc CWIP &amp; Plant'!$S$11:$AP$11=$B13)*
('Inc CWIP &amp; Plant'!$B$12:$B$375=$C13)*
('Inc CWIP &amp; Plant'!$S$12:$AP$375))</f>
        <v>100</v>
      </c>
      <c r="O13" s="299">
        <f>SUMPRODUCT(('Inc CWIP &amp; Plant'!$A$12:$A$375=O$5)*
('Inc CWIP &amp; Plant'!$S$11:$AP$11=$B13)*
('Inc CWIP &amp; Plant'!$B$12:$B$375=$C13)*
('Inc CWIP &amp; Plant'!$S$12:$AP$375))</f>
        <v>150</v>
      </c>
      <c r="P13" s="313">
        <f>SUMPRODUCT(('Inc CWIP &amp; Plant'!$A$12:$A$375=P$5)*
('Inc CWIP &amp; Plant'!$S$11:$AP$11=$B13)*
('Inc CWIP &amp; Plant'!$B$12:$B$375=$C13)*
('Inc CWIP &amp; Plant'!$S$12:$AP$375))</f>
        <v>0</v>
      </c>
    </row>
    <row r="14" spans="1:16" ht="15" customHeight="1" x14ac:dyDescent="0.25">
      <c r="A14" s="297"/>
      <c r="B14" s="308">
        <f t="shared" si="0"/>
        <v>42217</v>
      </c>
      <c r="C14" s="308" t="s">
        <v>36</v>
      </c>
      <c r="D14" s="312">
        <f t="shared" si="1"/>
        <v>34426.009006394408</v>
      </c>
      <c r="E14" s="299">
        <f>SUMPRODUCT(('Inc CWIP &amp; Plant'!$A$12:$A$375=E$5)*
('Inc CWIP &amp; Plant'!$S$11:$AP$11=$B14)*
('Inc CWIP &amp; Plant'!$B$12:$B$375=$C14)*
('Inc CWIP &amp; Plant'!$S$12:$AP$375))</f>
        <v>215.03834749999999</v>
      </c>
      <c r="F14" s="299">
        <f>SUMPRODUCT(('Inc CWIP &amp; Plant'!$A$12:$A$375=F$5)*
('Inc CWIP &amp; Plant'!$S$11:$AP$11=$B14)*
('Inc CWIP &amp; Plant'!$B$12:$B$375=$C14)*
('Inc CWIP &amp; Plant'!$S$12:$AP$375))</f>
        <v>0</v>
      </c>
      <c r="G14" s="299">
        <f>SUMPRODUCT(('Inc CWIP &amp; Plant'!$A$12:$A$375=G$5)*
('Inc CWIP &amp; Plant'!$S$11:$AP$11=$B14)*
('Inc CWIP &amp; Plant'!$B$12:$B$375=$C14)*
('Inc CWIP &amp; Plant'!$S$12:$AP$375))</f>
        <v>98.707700000000003</v>
      </c>
      <c r="H14" s="299">
        <f>SUMPRODUCT(('Inc CWIP &amp; Plant'!$A$12:$A$375=H$5)*
('Inc CWIP &amp; Plant'!$S$11:$AP$11=$B14)*
('Inc CWIP &amp; Plant'!$B$12:$B$375=$C14)*
('Inc CWIP &amp; Plant'!$S$12:$AP$375))</f>
        <v>29621.990289200003</v>
      </c>
      <c r="I14" s="299">
        <f>SUMPRODUCT(('Inc CWIP &amp; Plant'!$A$12:$A$375=I$5)*
('Inc CWIP &amp; Plant'!$S$11:$AP$11=$B14)*
('Inc CWIP &amp; Plant'!$B$12:$B$375=$C14)*
('Inc CWIP &amp; Plant'!$S$12:$AP$375))</f>
        <v>125</v>
      </c>
      <c r="J14" s="299">
        <f>SUMPRODUCT(('Inc CWIP &amp; Plant'!$A$12:$A$375=J$5)*
('Inc CWIP &amp; Plant'!$S$11:$AP$11=$B14)*
('Inc CWIP &amp; Plant'!$B$12:$B$375=$C14)*
('Inc CWIP &amp; Plant'!$S$12:$AP$375))</f>
        <v>0</v>
      </c>
      <c r="K14" s="299">
        <f>SUMPRODUCT(('Inc CWIP &amp; Plant'!$A$12:$A$375=K$5)*
('Inc CWIP &amp; Plant'!$S$11:$AP$11=$B14)*
('Inc CWIP &amp; Plant'!$B$12:$B$375=$C14)*
('Inc CWIP &amp; Plant'!$S$12:$AP$375))</f>
        <v>0</v>
      </c>
      <c r="L14" s="299">
        <f>SUMPRODUCT(('Inc CWIP &amp; Plant'!$A$12:$A$375=L$5)*
('Inc CWIP &amp; Plant'!$S$11:$AP$11=$B14)*
('Inc CWIP &amp; Plant'!$B$12:$B$375=$C14)*
('Inc CWIP &amp; Plant'!$S$12:$AP$375))</f>
        <v>6.1304974999999997</v>
      </c>
      <c r="M14" s="299">
        <f>SUMPRODUCT(('Inc CWIP &amp; Plant'!$A$12:$A$375=M$5)*
('Inc CWIP &amp; Plant'!$S$11:$AP$11=$B14)*
('Inc CWIP &amp; Plant'!$B$12:$B$375=$C14)*
('Inc CWIP &amp; Plant'!$S$12:$AP$375))</f>
        <v>1782.142172194403</v>
      </c>
      <c r="N14" s="299">
        <f>SUMPRODUCT(('Inc CWIP &amp; Plant'!$A$12:$A$375=N$5)*
('Inc CWIP &amp; Plant'!$S$11:$AP$11=$B14)*
('Inc CWIP &amp; Plant'!$B$12:$B$375=$C14)*
('Inc CWIP &amp; Plant'!$S$12:$AP$375))</f>
        <v>27</v>
      </c>
      <c r="O14" s="299">
        <f>SUMPRODUCT(('Inc CWIP &amp; Plant'!$A$12:$A$375=O$5)*
('Inc CWIP &amp; Plant'!$S$11:$AP$11=$B14)*
('Inc CWIP &amp; Plant'!$B$12:$B$375=$C14)*
('Inc CWIP &amp; Plant'!$S$12:$AP$375))</f>
        <v>2550</v>
      </c>
      <c r="P14" s="313">
        <f>SUMPRODUCT(('Inc CWIP &amp; Plant'!$A$12:$A$375=P$5)*
('Inc CWIP &amp; Plant'!$S$11:$AP$11=$B14)*
('Inc CWIP &amp; Plant'!$B$12:$B$375=$C14)*
('Inc CWIP &amp; Plant'!$S$12:$AP$375))</f>
        <v>0</v>
      </c>
    </row>
    <row r="15" spans="1:16" ht="15" customHeight="1" x14ac:dyDescent="0.25">
      <c r="A15" s="297"/>
      <c r="B15" s="308">
        <f t="shared" si="0"/>
        <v>42248</v>
      </c>
      <c r="C15" s="308" t="s">
        <v>36</v>
      </c>
      <c r="D15" s="312">
        <f t="shared" si="1"/>
        <v>33802.172949094398</v>
      </c>
      <c r="E15" s="299">
        <f>SUMPRODUCT(('Inc CWIP &amp; Plant'!$A$12:$A$375=E$5)*
('Inc CWIP &amp; Plant'!$S$11:$AP$11=$B15)*
('Inc CWIP &amp; Plant'!$B$12:$B$375=$C15)*
('Inc CWIP &amp; Plant'!$S$12:$AP$375))</f>
        <v>215.03834749999999</v>
      </c>
      <c r="F15" s="299">
        <f>SUMPRODUCT(('Inc CWIP &amp; Plant'!$A$12:$A$375=F$5)*
('Inc CWIP &amp; Plant'!$S$11:$AP$11=$B15)*
('Inc CWIP &amp; Plant'!$B$12:$B$375=$C15)*
('Inc CWIP &amp; Plant'!$S$12:$AP$375))</f>
        <v>0</v>
      </c>
      <c r="G15" s="299">
        <f>SUMPRODUCT(('Inc CWIP &amp; Plant'!$A$12:$A$375=G$5)*
('Inc CWIP &amp; Plant'!$S$11:$AP$11=$B15)*
('Inc CWIP &amp; Plant'!$B$12:$B$375=$C15)*
('Inc CWIP &amp; Plant'!$S$12:$AP$375))</f>
        <v>98.329800000000006</v>
      </c>
      <c r="H15" s="299">
        <f>SUMPRODUCT(('Inc CWIP &amp; Plant'!$A$12:$A$375=H$5)*
('Inc CWIP &amp; Plant'!$S$11:$AP$11=$B15)*
('Inc CWIP &amp; Plant'!$B$12:$B$375=$C15)*
('Inc CWIP &amp; Plant'!$S$12:$AP$375))</f>
        <v>28019.902499999997</v>
      </c>
      <c r="I15" s="299">
        <f>SUMPRODUCT(('Inc CWIP &amp; Plant'!$A$12:$A$375=I$5)*
('Inc CWIP &amp; Plant'!$S$11:$AP$11=$B15)*
('Inc CWIP &amp; Plant'!$B$12:$B$375=$C15)*
('Inc CWIP &amp; Plant'!$S$12:$AP$375))</f>
        <v>175</v>
      </c>
      <c r="J15" s="299">
        <f>SUMPRODUCT(('Inc CWIP &amp; Plant'!$A$12:$A$375=J$5)*
('Inc CWIP &amp; Plant'!$S$11:$AP$11=$B15)*
('Inc CWIP &amp; Plant'!$B$12:$B$375=$C15)*
('Inc CWIP &amp; Plant'!$S$12:$AP$375))</f>
        <v>0</v>
      </c>
      <c r="K15" s="299">
        <f>SUMPRODUCT(('Inc CWIP &amp; Plant'!$A$12:$A$375=K$5)*
('Inc CWIP &amp; Plant'!$S$11:$AP$11=$B15)*
('Inc CWIP &amp; Plant'!$B$12:$B$375=$C15)*
('Inc CWIP &amp; Plant'!$S$12:$AP$375))</f>
        <v>0</v>
      </c>
      <c r="L15" s="299">
        <f>SUMPRODUCT(('Inc CWIP &amp; Plant'!$A$12:$A$375=L$5)*
('Inc CWIP &amp; Plant'!$S$11:$AP$11=$B15)*
('Inc CWIP &amp; Plant'!$B$12:$B$375=$C15)*
('Inc CWIP &amp; Plant'!$S$12:$AP$375))</f>
        <v>6.1304974999999997</v>
      </c>
      <c r="M15" s="299">
        <f>SUMPRODUCT(('Inc CWIP &amp; Plant'!$A$12:$A$375=M$5)*
('Inc CWIP &amp; Plant'!$S$11:$AP$11=$B15)*
('Inc CWIP &amp; Plant'!$B$12:$B$375=$C15)*
('Inc CWIP &amp; Plant'!$S$12:$AP$375))</f>
        <v>1737.7718040944028</v>
      </c>
      <c r="N15" s="299">
        <f>SUMPRODUCT(('Inc CWIP &amp; Plant'!$A$12:$A$375=N$5)*
('Inc CWIP &amp; Plant'!$S$11:$AP$11=$B15)*
('Inc CWIP &amp; Plant'!$B$12:$B$375=$C15)*
('Inc CWIP &amp; Plant'!$S$12:$AP$375))</f>
        <v>15</v>
      </c>
      <c r="O15" s="299">
        <f>SUMPRODUCT(('Inc CWIP &amp; Plant'!$A$12:$A$375=O$5)*
('Inc CWIP &amp; Plant'!$S$11:$AP$11=$B15)*
('Inc CWIP &amp; Plant'!$B$12:$B$375=$C15)*
('Inc CWIP &amp; Plant'!$S$12:$AP$375))</f>
        <v>3535</v>
      </c>
      <c r="P15" s="313">
        <f>SUMPRODUCT(('Inc CWIP &amp; Plant'!$A$12:$A$375=P$5)*
('Inc CWIP &amp; Plant'!$S$11:$AP$11=$B15)*
('Inc CWIP &amp; Plant'!$B$12:$B$375=$C15)*
('Inc CWIP &amp; Plant'!$S$12:$AP$375))</f>
        <v>0</v>
      </c>
    </row>
    <row r="16" spans="1:16" ht="15" customHeight="1" x14ac:dyDescent="0.25">
      <c r="A16" s="297"/>
      <c r="B16" s="308">
        <f t="shared" si="0"/>
        <v>42278</v>
      </c>
      <c r="C16" s="308" t="s">
        <v>36</v>
      </c>
      <c r="D16" s="312">
        <f t="shared" si="1"/>
        <v>24649.002373794399</v>
      </c>
      <c r="E16" s="299">
        <f>SUMPRODUCT(('Inc CWIP &amp; Plant'!$A$12:$A$375=E$5)*
('Inc CWIP &amp; Plant'!$S$11:$AP$11=$B16)*
('Inc CWIP &amp; Plant'!$B$12:$B$375=$C16)*
('Inc CWIP &amp; Plant'!$S$12:$AP$375))</f>
        <v>215.03834749999999</v>
      </c>
      <c r="F16" s="299">
        <f>SUMPRODUCT(('Inc CWIP &amp; Plant'!$A$12:$A$375=F$5)*
('Inc CWIP &amp; Plant'!$S$11:$AP$11=$B16)*
('Inc CWIP &amp; Plant'!$B$12:$B$375=$C16)*
('Inc CWIP &amp; Plant'!$S$12:$AP$375))</f>
        <v>0</v>
      </c>
      <c r="G16" s="299">
        <f>SUMPRODUCT(('Inc CWIP &amp; Plant'!$A$12:$A$375=G$5)*
('Inc CWIP &amp; Plant'!$S$11:$AP$11=$B16)*
('Inc CWIP &amp; Plant'!$B$12:$B$375=$C16)*
('Inc CWIP &amp; Plant'!$S$12:$AP$375))</f>
        <v>2381.2451900000001</v>
      </c>
      <c r="H16" s="299">
        <f>SUMPRODUCT(('Inc CWIP &amp; Plant'!$A$12:$A$375=H$5)*
('Inc CWIP &amp; Plant'!$S$11:$AP$11=$B16)*
('Inc CWIP &amp; Plant'!$B$12:$B$375=$C16)*
('Inc CWIP &amp; Plant'!$S$12:$AP$375))</f>
        <v>19735.734999999997</v>
      </c>
      <c r="I16" s="299">
        <f>SUMPRODUCT(('Inc CWIP &amp; Plant'!$A$12:$A$375=I$5)*
('Inc CWIP &amp; Plant'!$S$11:$AP$11=$B16)*
('Inc CWIP &amp; Plant'!$B$12:$B$375=$C16)*
('Inc CWIP &amp; Plant'!$S$12:$AP$375))</f>
        <v>236</v>
      </c>
      <c r="J16" s="299">
        <f>SUMPRODUCT(('Inc CWIP &amp; Plant'!$A$12:$A$375=J$5)*
('Inc CWIP &amp; Plant'!$S$11:$AP$11=$B16)*
('Inc CWIP &amp; Plant'!$B$12:$B$375=$C16)*
('Inc CWIP &amp; Plant'!$S$12:$AP$375))</f>
        <v>0</v>
      </c>
      <c r="K16" s="299">
        <f>SUMPRODUCT(('Inc CWIP &amp; Plant'!$A$12:$A$375=K$5)*
('Inc CWIP &amp; Plant'!$S$11:$AP$11=$B16)*
('Inc CWIP &amp; Plant'!$B$12:$B$375=$C16)*
('Inc CWIP &amp; Plant'!$S$12:$AP$375))</f>
        <v>0</v>
      </c>
      <c r="L16" s="299">
        <f>SUMPRODUCT(('Inc CWIP &amp; Plant'!$A$12:$A$375=L$5)*
('Inc CWIP &amp; Plant'!$S$11:$AP$11=$B16)*
('Inc CWIP &amp; Plant'!$B$12:$B$375=$C16)*
('Inc CWIP &amp; Plant'!$S$12:$AP$375))</f>
        <v>6.1304974999999997</v>
      </c>
      <c r="M16" s="299">
        <f>SUMPRODUCT(('Inc CWIP &amp; Plant'!$A$12:$A$375=M$5)*
('Inc CWIP &amp; Plant'!$S$11:$AP$11=$B16)*
('Inc CWIP &amp; Plant'!$B$12:$B$375=$C16)*
('Inc CWIP &amp; Plant'!$S$12:$AP$375))</f>
        <v>1729.8533387944028</v>
      </c>
      <c r="N16" s="299">
        <f>SUMPRODUCT(('Inc CWIP &amp; Plant'!$A$12:$A$375=N$5)*
('Inc CWIP &amp; Plant'!$S$11:$AP$11=$B16)*
('Inc CWIP &amp; Plant'!$B$12:$B$375=$C16)*
('Inc CWIP &amp; Plant'!$S$12:$AP$375))</f>
        <v>15</v>
      </c>
      <c r="O16" s="299">
        <f>SUMPRODUCT(('Inc CWIP &amp; Plant'!$A$12:$A$375=O$5)*
('Inc CWIP &amp; Plant'!$S$11:$AP$11=$B16)*
('Inc CWIP &amp; Plant'!$B$12:$B$375=$C16)*
('Inc CWIP &amp; Plant'!$S$12:$AP$375))</f>
        <v>330</v>
      </c>
      <c r="P16" s="313">
        <f>SUMPRODUCT(('Inc CWIP &amp; Plant'!$A$12:$A$375=P$5)*
('Inc CWIP &amp; Plant'!$S$11:$AP$11=$B16)*
('Inc CWIP &amp; Plant'!$B$12:$B$375=$C16)*
('Inc CWIP &amp; Plant'!$S$12:$AP$375))</f>
        <v>0</v>
      </c>
    </row>
    <row r="17" spans="1:16" ht="15" customHeight="1" x14ac:dyDescent="0.25">
      <c r="A17" s="297"/>
      <c r="B17" s="308">
        <f t="shared" si="0"/>
        <v>42309</v>
      </c>
      <c r="C17" s="308" t="s">
        <v>36</v>
      </c>
      <c r="D17" s="312">
        <f t="shared" si="1"/>
        <v>21354.885719894402</v>
      </c>
      <c r="E17" s="299">
        <f>SUMPRODUCT(('Inc CWIP &amp; Plant'!$A$12:$A$375=E$5)*
('Inc CWIP &amp; Plant'!$S$11:$AP$11=$B17)*
('Inc CWIP &amp; Plant'!$B$12:$B$375=$C17)*
('Inc CWIP &amp; Plant'!$S$12:$AP$375))</f>
        <v>221.03834749999999</v>
      </c>
      <c r="F17" s="299">
        <f>SUMPRODUCT(('Inc CWIP &amp; Plant'!$A$12:$A$375=F$5)*
('Inc CWIP &amp; Plant'!$S$11:$AP$11=$B17)*
('Inc CWIP &amp; Plant'!$B$12:$B$375=$C17)*
('Inc CWIP &amp; Plant'!$S$12:$AP$375))</f>
        <v>0</v>
      </c>
      <c r="G17" s="299">
        <f>SUMPRODUCT(('Inc CWIP &amp; Plant'!$A$12:$A$375=G$5)*
('Inc CWIP &amp; Plant'!$S$11:$AP$11=$B17)*
('Inc CWIP &amp; Plant'!$B$12:$B$375=$C17)*
('Inc CWIP &amp; Plant'!$S$12:$AP$375))</f>
        <v>78.411000000000001</v>
      </c>
      <c r="H17" s="299">
        <f>SUMPRODUCT(('Inc CWIP &amp; Plant'!$A$12:$A$375=H$5)*
('Inc CWIP &amp; Plant'!$S$11:$AP$11=$B17)*
('Inc CWIP &amp; Plant'!$B$12:$B$375=$C17)*
('Inc CWIP &amp; Plant'!$S$12:$AP$375))</f>
        <v>16392.9575</v>
      </c>
      <c r="I17" s="299">
        <f>SUMPRODUCT(('Inc CWIP &amp; Plant'!$A$12:$A$375=I$5)*
('Inc CWIP &amp; Plant'!$S$11:$AP$11=$B17)*
('Inc CWIP &amp; Plant'!$B$12:$B$375=$C17)*
('Inc CWIP &amp; Plant'!$S$12:$AP$375))</f>
        <v>510</v>
      </c>
      <c r="J17" s="299">
        <f>SUMPRODUCT(('Inc CWIP &amp; Plant'!$A$12:$A$375=J$5)*
('Inc CWIP &amp; Plant'!$S$11:$AP$11=$B17)*
('Inc CWIP &amp; Plant'!$B$12:$B$375=$C17)*
('Inc CWIP &amp; Plant'!$S$12:$AP$375))</f>
        <v>0</v>
      </c>
      <c r="K17" s="299">
        <f>SUMPRODUCT(('Inc CWIP &amp; Plant'!$A$12:$A$375=K$5)*
('Inc CWIP &amp; Plant'!$S$11:$AP$11=$B17)*
('Inc CWIP &amp; Plant'!$B$12:$B$375=$C17)*
('Inc CWIP &amp; Plant'!$S$12:$AP$375))</f>
        <v>0</v>
      </c>
      <c r="L17" s="299">
        <f>SUMPRODUCT(('Inc CWIP &amp; Plant'!$A$12:$A$375=L$5)*
('Inc CWIP &amp; Plant'!$S$11:$AP$11=$B17)*
('Inc CWIP &amp; Plant'!$B$12:$B$375=$C17)*
('Inc CWIP &amp; Plant'!$S$12:$AP$375))</f>
        <v>6.1304974999999997</v>
      </c>
      <c r="M17" s="299">
        <f>SUMPRODUCT(('Inc CWIP &amp; Plant'!$A$12:$A$375=M$5)*
('Inc CWIP &amp; Plant'!$S$11:$AP$11=$B17)*
('Inc CWIP &amp; Plant'!$B$12:$B$375=$C17)*
('Inc CWIP &amp; Plant'!$S$12:$AP$375))</f>
        <v>1681.3483748944029</v>
      </c>
      <c r="N17" s="299">
        <f>SUMPRODUCT(('Inc CWIP &amp; Plant'!$A$12:$A$375=N$5)*
('Inc CWIP &amp; Plant'!$S$11:$AP$11=$B17)*
('Inc CWIP &amp; Plant'!$B$12:$B$375=$C17)*
('Inc CWIP &amp; Plant'!$S$12:$AP$375))</f>
        <v>15</v>
      </c>
      <c r="O17" s="299">
        <f>SUMPRODUCT(('Inc CWIP &amp; Plant'!$A$12:$A$375=O$5)*
('Inc CWIP &amp; Plant'!$S$11:$AP$11=$B17)*
('Inc CWIP &amp; Plant'!$B$12:$B$375=$C17)*
('Inc CWIP &amp; Plant'!$S$12:$AP$375))</f>
        <v>2450</v>
      </c>
      <c r="P17" s="313">
        <f>SUMPRODUCT(('Inc CWIP &amp; Plant'!$A$12:$A$375=P$5)*
('Inc CWIP &amp; Plant'!$S$11:$AP$11=$B17)*
('Inc CWIP &amp; Plant'!$B$12:$B$375=$C17)*
('Inc CWIP &amp; Plant'!$S$12:$AP$375))</f>
        <v>0</v>
      </c>
    </row>
    <row r="18" spans="1:16" ht="15" customHeight="1" x14ac:dyDescent="0.25">
      <c r="A18" s="297"/>
      <c r="B18" s="308">
        <f t="shared" si="0"/>
        <v>42339</v>
      </c>
      <c r="C18" s="308" t="s">
        <v>36</v>
      </c>
      <c r="D18" s="312">
        <f t="shared" si="1"/>
        <v>50622.456818231251</v>
      </c>
      <c r="E18" s="299">
        <f>SUMPRODUCT(('Inc CWIP &amp; Plant'!$A$12:$A$375=E$5)*
('Inc CWIP &amp; Plant'!$S$11:$AP$11=$B18)*
('Inc CWIP &amp; Plant'!$B$12:$B$375=$C18)*
('Inc CWIP &amp; Plant'!$S$12:$AP$375))</f>
        <v>3.0383475</v>
      </c>
      <c r="F18" s="299">
        <f>SUMPRODUCT(('Inc CWIP &amp; Plant'!$A$12:$A$375=F$5)*
('Inc CWIP &amp; Plant'!$S$11:$AP$11=$B18)*
('Inc CWIP &amp; Plant'!$B$12:$B$375=$C18)*
('Inc CWIP &amp; Plant'!$S$12:$AP$375))</f>
        <v>0</v>
      </c>
      <c r="G18" s="299">
        <f>SUMPRODUCT(('Inc CWIP &amp; Plant'!$A$12:$A$375=G$5)*
('Inc CWIP &amp; Plant'!$S$11:$AP$11=$B18)*
('Inc CWIP &amp; Plant'!$B$12:$B$375=$C18)*
('Inc CWIP &amp; Plant'!$S$12:$AP$375))</f>
        <v>7655.66356</v>
      </c>
      <c r="H18" s="299">
        <f>SUMPRODUCT(('Inc CWIP &amp; Plant'!$A$12:$A$375=H$5)*
('Inc CWIP &amp; Plant'!$S$11:$AP$11=$B18)*
('Inc CWIP &amp; Plant'!$B$12:$B$375=$C18)*
('Inc CWIP &amp; Plant'!$S$12:$AP$375))</f>
        <v>37280.034329830036</v>
      </c>
      <c r="I18" s="299">
        <f>SUMPRODUCT(('Inc CWIP &amp; Plant'!$A$12:$A$375=I$5)*
('Inc CWIP &amp; Plant'!$S$11:$AP$11=$B18)*
('Inc CWIP &amp; Plant'!$B$12:$B$375=$C18)*
('Inc CWIP &amp; Plant'!$S$12:$AP$375))</f>
        <v>500</v>
      </c>
      <c r="J18" s="299">
        <f>SUMPRODUCT(('Inc CWIP &amp; Plant'!$A$12:$A$375=J$5)*
('Inc CWIP &amp; Plant'!$S$11:$AP$11=$B18)*
('Inc CWIP &amp; Plant'!$B$12:$B$375=$C18)*
('Inc CWIP &amp; Plant'!$S$12:$AP$375))</f>
        <v>0</v>
      </c>
      <c r="K18" s="299">
        <f>SUMPRODUCT(('Inc CWIP &amp; Plant'!$A$12:$A$375=K$5)*
('Inc CWIP &amp; Plant'!$S$11:$AP$11=$B18)*
('Inc CWIP &amp; Plant'!$B$12:$B$375=$C18)*
('Inc CWIP &amp; Plant'!$S$12:$AP$375))</f>
        <v>0</v>
      </c>
      <c r="L18" s="299">
        <f>SUMPRODUCT(('Inc CWIP &amp; Plant'!$A$12:$A$375=L$5)*
('Inc CWIP &amp; Plant'!$S$11:$AP$11=$B18)*
('Inc CWIP &amp; Plant'!$B$12:$B$375=$C18)*
('Inc CWIP &amp; Plant'!$S$12:$AP$375))</f>
        <v>6.1304974999999997</v>
      </c>
      <c r="M18" s="299">
        <f>SUMPRODUCT(('Inc CWIP &amp; Plant'!$A$12:$A$375=M$5)*
('Inc CWIP &amp; Plant'!$S$11:$AP$11=$B18)*
('Inc CWIP &amp; Plant'!$B$12:$B$375=$C18)*
('Inc CWIP &amp; Plant'!$S$12:$AP$375))</f>
        <v>2337.59008340121</v>
      </c>
      <c r="N18" s="299">
        <f>SUMPRODUCT(('Inc CWIP &amp; Plant'!$A$12:$A$375=N$5)*
('Inc CWIP &amp; Plant'!$S$11:$AP$11=$B18)*
('Inc CWIP &amp; Plant'!$B$12:$B$375=$C18)*
('Inc CWIP &amp; Plant'!$S$12:$AP$375))</f>
        <v>15</v>
      </c>
      <c r="O18" s="299">
        <f>SUMPRODUCT(('Inc CWIP &amp; Plant'!$A$12:$A$375=O$5)*
('Inc CWIP &amp; Plant'!$S$11:$AP$11=$B18)*
('Inc CWIP &amp; Plant'!$B$12:$B$375=$C18)*
('Inc CWIP &amp; Plant'!$S$12:$AP$375))</f>
        <v>2825</v>
      </c>
      <c r="P18" s="313">
        <f>SUMPRODUCT(('Inc CWIP &amp; Plant'!$A$12:$A$375=P$5)*
('Inc CWIP &amp; Plant'!$S$11:$AP$11=$B18)*
('Inc CWIP &amp; Plant'!$B$12:$B$375=$C18)*
('Inc CWIP &amp; Plant'!$S$12:$AP$375))</f>
        <v>0</v>
      </c>
    </row>
    <row r="19" spans="1:16" ht="15" customHeight="1" x14ac:dyDescent="0.25">
      <c r="A19" s="297"/>
      <c r="B19" s="308">
        <f t="shared" si="0"/>
        <v>42370</v>
      </c>
      <c r="C19" s="308" t="s">
        <v>36</v>
      </c>
      <c r="D19" s="312">
        <f t="shared" si="1"/>
        <v>42163.246249999997</v>
      </c>
      <c r="E19" s="299">
        <f>SUMPRODUCT(('Inc CWIP &amp; Plant'!$A$12:$A$375=E$5)*
('Inc CWIP &amp; Plant'!$S$11:$AP$11=$B19)*
('Inc CWIP &amp; Plant'!$B$12:$B$375=$C19)*
('Inc CWIP &amp; Plant'!$S$12:$AP$375))</f>
        <v>0</v>
      </c>
      <c r="F19" s="299">
        <f>SUMPRODUCT(('Inc CWIP &amp; Plant'!$A$12:$A$375=F$5)*
('Inc CWIP &amp; Plant'!$S$11:$AP$11=$B19)*
('Inc CWIP &amp; Plant'!$B$12:$B$375=$C19)*
('Inc CWIP &amp; Plant'!$S$12:$AP$375))</f>
        <v>0</v>
      </c>
      <c r="G19" s="299">
        <f>SUMPRODUCT(('Inc CWIP &amp; Plant'!$A$12:$A$375=G$5)*
('Inc CWIP &amp; Plant'!$S$11:$AP$11=$B19)*
('Inc CWIP &amp; Plant'!$B$12:$B$375=$C19)*
('Inc CWIP &amp; Plant'!$S$12:$AP$375))</f>
        <v>0</v>
      </c>
      <c r="H19" s="299">
        <f>SUMPRODUCT(('Inc CWIP &amp; Plant'!$A$12:$A$375=H$5)*
('Inc CWIP &amp; Plant'!$S$11:$AP$11=$B19)*
('Inc CWIP &amp; Plant'!$B$12:$B$375=$C19)*
('Inc CWIP &amp; Plant'!$S$12:$AP$375))</f>
        <v>14015.314083333335</v>
      </c>
      <c r="I19" s="299">
        <f>SUMPRODUCT(('Inc CWIP &amp; Plant'!$A$12:$A$375=I$5)*
('Inc CWIP &amp; Plant'!$S$11:$AP$11=$B19)*
('Inc CWIP &amp; Plant'!$B$12:$B$375=$C19)*
('Inc CWIP &amp; Plant'!$S$12:$AP$375))</f>
        <v>0</v>
      </c>
      <c r="J19" s="299">
        <f>SUMPRODUCT(('Inc CWIP &amp; Plant'!$A$12:$A$375=J$5)*
('Inc CWIP &amp; Plant'!$S$11:$AP$11=$B19)*
('Inc CWIP &amp; Plant'!$B$12:$B$375=$C19)*
('Inc CWIP &amp; Plant'!$S$12:$AP$375))</f>
        <v>0</v>
      </c>
      <c r="K19" s="299">
        <f>SUMPRODUCT(('Inc CWIP &amp; Plant'!$A$12:$A$375=K$5)*
('Inc CWIP &amp; Plant'!$S$11:$AP$11=$B19)*
('Inc CWIP &amp; Plant'!$B$12:$B$375=$C19)*
('Inc CWIP &amp; Plant'!$S$12:$AP$375))</f>
        <v>0</v>
      </c>
      <c r="L19" s="299">
        <f>SUMPRODUCT(('Inc CWIP &amp; Plant'!$A$12:$A$375=L$5)*
('Inc CWIP &amp; Plant'!$S$11:$AP$11=$B19)*
('Inc CWIP &amp; Plant'!$B$12:$B$375=$C19)*
('Inc CWIP &amp; Plant'!$S$12:$AP$375))</f>
        <v>0</v>
      </c>
      <c r="M19" s="299">
        <f>SUMPRODUCT(('Inc CWIP &amp; Plant'!$A$12:$A$375=M$5)*
('Inc CWIP &amp; Plant'!$S$11:$AP$11=$B19)*
('Inc CWIP &amp; Plant'!$B$12:$B$375=$C19)*
('Inc CWIP &amp; Plant'!$S$12:$AP$375))</f>
        <v>24647.932166666666</v>
      </c>
      <c r="N19" s="299">
        <f>SUMPRODUCT(('Inc CWIP &amp; Plant'!$A$12:$A$375=N$5)*
('Inc CWIP &amp; Plant'!$S$11:$AP$11=$B19)*
('Inc CWIP &amp; Plant'!$B$12:$B$375=$C19)*
('Inc CWIP &amp; Plant'!$S$12:$AP$375))</f>
        <v>0</v>
      </c>
      <c r="O19" s="299">
        <f>SUMPRODUCT(('Inc CWIP &amp; Plant'!$A$12:$A$375=O$5)*
('Inc CWIP &amp; Plant'!$S$11:$AP$11=$B19)*
('Inc CWIP &amp; Plant'!$B$12:$B$375=$C19)*
('Inc CWIP &amp; Plant'!$S$12:$AP$375))</f>
        <v>3500</v>
      </c>
      <c r="P19" s="313">
        <f>SUMPRODUCT(('Inc CWIP &amp; Plant'!$A$12:$A$375=P$5)*
('Inc CWIP &amp; Plant'!$S$11:$AP$11=$B19)*
('Inc CWIP &amp; Plant'!$B$12:$B$375=$C19)*
('Inc CWIP &amp; Plant'!$S$12:$AP$375))</f>
        <v>0</v>
      </c>
    </row>
    <row r="20" spans="1:16" ht="15" customHeight="1" x14ac:dyDescent="0.25">
      <c r="A20" s="297"/>
      <c r="B20" s="308">
        <f t="shared" si="0"/>
        <v>42401</v>
      </c>
      <c r="C20" s="308" t="s">
        <v>36</v>
      </c>
      <c r="D20" s="312">
        <f t="shared" si="1"/>
        <v>20264.150249999999</v>
      </c>
      <c r="E20" s="299">
        <f>SUMPRODUCT(('Inc CWIP &amp; Plant'!$A$12:$A$375=E$5)*
('Inc CWIP &amp; Plant'!$S$11:$AP$11=$B20)*
('Inc CWIP &amp; Plant'!$B$12:$B$375=$C20)*
('Inc CWIP &amp; Plant'!$S$12:$AP$375))</f>
        <v>0</v>
      </c>
      <c r="F20" s="299">
        <f>SUMPRODUCT(('Inc CWIP &amp; Plant'!$A$12:$A$375=F$5)*
('Inc CWIP &amp; Plant'!$S$11:$AP$11=$B20)*
('Inc CWIP &amp; Plant'!$B$12:$B$375=$C20)*
('Inc CWIP &amp; Plant'!$S$12:$AP$375))</f>
        <v>0</v>
      </c>
      <c r="G20" s="299">
        <f>SUMPRODUCT(('Inc CWIP &amp; Plant'!$A$12:$A$375=G$5)*
('Inc CWIP &amp; Plant'!$S$11:$AP$11=$B20)*
('Inc CWIP &amp; Plant'!$B$12:$B$375=$C20)*
('Inc CWIP &amp; Plant'!$S$12:$AP$375))</f>
        <v>0</v>
      </c>
      <c r="H20" s="299">
        <f>SUMPRODUCT(('Inc CWIP &amp; Plant'!$A$12:$A$375=H$5)*
('Inc CWIP &amp; Plant'!$S$11:$AP$11=$B20)*
('Inc CWIP &amp; Plant'!$B$12:$B$375=$C20)*
('Inc CWIP &amp; Plant'!$S$12:$AP$375))</f>
        <v>13854.314083333333</v>
      </c>
      <c r="I20" s="299">
        <f>SUMPRODUCT(('Inc CWIP &amp; Plant'!$A$12:$A$375=I$5)*
('Inc CWIP &amp; Plant'!$S$11:$AP$11=$B20)*
('Inc CWIP &amp; Plant'!$B$12:$B$375=$C20)*
('Inc CWIP &amp; Plant'!$S$12:$AP$375))</f>
        <v>0</v>
      </c>
      <c r="J20" s="299">
        <f>SUMPRODUCT(('Inc CWIP &amp; Plant'!$A$12:$A$375=J$5)*
('Inc CWIP &amp; Plant'!$S$11:$AP$11=$B20)*
('Inc CWIP &amp; Plant'!$B$12:$B$375=$C20)*
('Inc CWIP &amp; Plant'!$S$12:$AP$375))</f>
        <v>0</v>
      </c>
      <c r="K20" s="299">
        <f>SUMPRODUCT(('Inc CWIP &amp; Plant'!$A$12:$A$375=K$5)*
('Inc CWIP &amp; Plant'!$S$11:$AP$11=$B20)*
('Inc CWIP &amp; Plant'!$B$12:$B$375=$C20)*
('Inc CWIP &amp; Plant'!$S$12:$AP$375))</f>
        <v>0</v>
      </c>
      <c r="L20" s="299">
        <f>SUMPRODUCT(('Inc CWIP &amp; Plant'!$A$12:$A$375=L$5)*
('Inc CWIP &amp; Plant'!$S$11:$AP$11=$B20)*
('Inc CWIP &amp; Plant'!$B$12:$B$375=$C20)*
('Inc CWIP &amp; Plant'!$S$12:$AP$375))</f>
        <v>0</v>
      </c>
      <c r="M20" s="299">
        <f>SUMPRODUCT(('Inc CWIP &amp; Plant'!$A$12:$A$375=M$5)*
('Inc CWIP &amp; Plant'!$S$11:$AP$11=$B20)*
('Inc CWIP &amp; Plant'!$B$12:$B$375=$C20)*
('Inc CWIP &amp; Plant'!$S$12:$AP$375))</f>
        <v>2809.8361666666669</v>
      </c>
      <c r="N20" s="299">
        <f>SUMPRODUCT(('Inc CWIP &amp; Plant'!$A$12:$A$375=N$5)*
('Inc CWIP &amp; Plant'!$S$11:$AP$11=$B20)*
('Inc CWIP &amp; Plant'!$B$12:$B$375=$C20)*
('Inc CWIP &amp; Plant'!$S$12:$AP$375))</f>
        <v>0</v>
      </c>
      <c r="O20" s="299">
        <f>SUMPRODUCT(('Inc CWIP &amp; Plant'!$A$12:$A$375=O$5)*
('Inc CWIP &amp; Plant'!$S$11:$AP$11=$B20)*
('Inc CWIP &amp; Plant'!$B$12:$B$375=$C20)*
('Inc CWIP &amp; Plant'!$S$12:$AP$375))</f>
        <v>3600</v>
      </c>
      <c r="P20" s="313">
        <f>SUMPRODUCT(('Inc CWIP &amp; Plant'!$A$12:$A$375=P$5)*
('Inc CWIP &amp; Plant'!$S$11:$AP$11=$B20)*
('Inc CWIP &amp; Plant'!$B$12:$B$375=$C20)*
('Inc CWIP &amp; Plant'!$S$12:$AP$375))</f>
        <v>0</v>
      </c>
    </row>
    <row r="21" spans="1:16" ht="15" customHeight="1" x14ac:dyDescent="0.25">
      <c r="A21" s="297"/>
      <c r="B21" s="308">
        <f t="shared" si="0"/>
        <v>42430</v>
      </c>
      <c r="C21" s="308" t="s">
        <v>36</v>
      </c>
      <c r="D21" s="312">
        <f t="shared" si="1"/>
        <v>23404.203255</v>
      </c>
      <c r="E21" s="299">
        <f>SUMPRODUCT(('Inc CWIP &amp; Plant'!$A$12:$A$375=E$5)*
('Inc CWIP &amp; Plant'!$S$11:$AP$11=$B21)*
('Inc CWIP &amp; Plant'!$B$12:$B$375=$C21)*
('Inc CWIP &amp; Plant'!$S$12:$AP$375))</f>
        <v>0</v>
      </c>
      <c r="F21" s="299">
        <f>SUMPRODUCT(('Inc CWIP &amp; Plant'!$A$12:$A$375=F$5)*
('Inc CWIP &amp; Plant'!$S$11:$AP$11=$B21)*
('Inc CWIP &amp; Plant'!$B$12:$B$375=$C21)*
('Inc CWIP &amp; Plant'!$S$12:$AP$375))</f>
        <v>0</v>
      </c>
      <c r="G21" s="299">
        <f>SUMPRODUCT(('Inc CWIP &amp; Plant'!$A$12:$A$375=G$5)*
('Inc CWIP &amp; Plant'!$S$11:$AP$11=$B21)*
('Inc CWIP &amp; Plant'!$B$12:$B$375=$C21)*
('Inc CWIP &amp; Plant'!$S$12:$AP$375))</f>
        <v>0</v>
      </c>
      <c r="H21" s="299">
        <f>SUMPRODUCT(('Inc CWIP &amp; Plant'!$A$12:$A$375=H$5)*
('Inc CWIP &amp; Plant'!$S$11:$AP$11=$B21)*
('Inc CWIP &amp; Plant'!$B$12:$B$375=$C21)*
('Inc CWIP &amp; Plant'!$S$12:$AP$375))</f>
        <v>14244.367088333333</v>
      </c>
      <c r="I21" s="299">
        <f>SUMPRODUCT(('Inc CWIP &amp; Plant'!$A$12:$A$375=I$5)*
('Inc CWIP &amp; Plant'!$S$11:$AP$11=$B21)*
('Inc CWIP &amp; Plant'!$B$12:$B$375=$C21)*
('Inc CWIP &amp; Plant'!$S$12:$AP$375))</f>
        <v>0</v>
      </c>
      <c r="J21" s="299">
        <f>SUMPRODUCT(('Inc CWIP &amp; Plant'!$A$12:$A$375=J$5)*
('Inc CWIP &amp; Plant'!$S$11:$AP$11=$B21)*
('Inc CWIP &amp; Plant'!$B$12:$B$375=$C21)*
('Inc CWIP &amp; Plant'!$S$12:$AP$375))</f>
        <v>0</v>
      </c>
      <c r="K21" s="299">
        <f>SUMPRODUCT(('Inc CWIP &amp; Plant'!$A$12:$A$375=K$5)*
('Inc CWIP &amp; Plant'!$S$11:$AP$11=$B21)*
('Inc CWIP &amp; Plant'!$B$12:$B$375=$C21)*
('Inc CWIP &amp; Plant'!$S$12:$AP$375))</f>
        <v>0</v>
      </c>
      <c r="L21" s="299">
        <f>SUMPRODUCT(('Inc CWIP &amp; Plant'!$A$12:$A$375=L$5)*
('Inc CWIP &amp; Plant'!$S$11:$AP$11=$B21)*
('Inc CWIP &amp; Plant'!$B$12:$B$375=$C21)*
('Inc CWIP &amp; Plant'!$S$12:$AP$375))</f>
        <v>0</v>
      </c>
      <c r="M21" s="299">
        <f>SUMPRODUCT(('Inc CWIP &amp; Plant'!$A$12:$A$375=M$5)*
('Inc CWIP &amp; Plant'!$S$11:$AP$11=$B21)*
('Inc CWIP &amp; Plant'!$B$12:$B$375=$C21)*
('Inc CWIP &amp; Plant'!$S$12:$AP$375))</f>
        <v>3059.8361666666669</v>
      </c>
      <c r="N21" s="299">
        <f>SUMPRODUCT(('Inc CWIP &amp; Plant'!$A$12:$A$375=N$5)*
('Inc CWIP &amp; Plant'!$S$11:$AP$11=$B21)*
('Inc CWIP &amp; Plant'!$B$12:$B$375=$C21)*
('Inc CWIP &amp; Plant'!$S$12:$AP$375))</f>
        <v>0</v>
      </c>
      <c r="O21" s="299">
        <f>SUMPRODUCT(('Inc CWIP &amp; Plant'!$A$12:$A$375=O$5)*
('Inc CWIP &amp; Plant'!$S$11:$AP$11=$B21)*
('Inc CWIP &amp; Plant'!$B$12:$B$375=$C21)*
('Inc CWIP &amp; Plant'!$S$12:$AP$375))</f>
        <v>6100</v>
      </c>
      <c r="P21" s="313">
        <f>SUMPRODUCT(('Inc CWIP &amp; Plant'!$A$12:$A$375=P$5)*
('Inc CWIP &amp; Plant'!$S$11:$AP$11=$B21)*
('Inc CWIP &amp; Plant'!$B$12:$B$375=$C21)*
('Inc CWIP &amp; Plant'!$S$12:$AP$375))</f>
        <v>0</v>
      </c>
    </row>
    <row r="22" spans="1:16" ht="15" customHeight="1" x14ac:dyDescent="0.25">
      <c r="A22" s="297"/>
      <c r="B22" s="308">
        <f t="shared" si="0"/>
        <v>42461</v>
      </c>
      <c r="C22" s="308" t="s">
        <v>36</v>
      </c>
      <c r="D22" s="312">
        <f t="shared" si="1"/>
        <v>20505.203255</v>
      </c>
      <c r="E22" s="299">
        <f>SUMPRODUCT(('Inc CWIP &amp; Plant'!$A$12:$A$375=E$5)*
('Inc CWIP &amp; Plant'!$S$11:$AP$11=$B22)*
('Inc CWIP &amp; Plant'!$B$12:$B$375=$C22)*
('Inc CWIP &amp; Plant'!$S$12:$AP$375))</f>
        <v>0</v>
      </c>
      <c r="F22" s="299">
        <f>SUMPRODUCT(('Inc CWIP &amp; Plant'!$A$12:$A$375=F$5)*
('Inc CWIP &amp; Plant'!$S$11:$AP$11=$B22)*
('Inc CWIP &amp; Plant'!$B$12:$B$375=$C22)*
('Inc CWIP &amp; Plant'!$S$12:$AP$375))</f>
        <v>0</v>
      </c>
      <c r="G22" s="299">
        <f>SUMPRODUCT(('Inc CWIP &amp; Plant'!$A$12:$A$375=G$5)*
('Inc CWIP &amp; Plant'!$S$11:$AP$11=$B22)*
('Inc CWIP &amp; Plant'!$B$12:$B$375=$C22)*
('Inc CWIP &amp; Plant'!$S$12:$AP$375))</f>
        <v>0</v>
      </c>
      <c r="H22" s="299">
        <f>SUMPRODUCT(('Inc CWIP &amp; Plant'!$A$12:$A$375=H$5)*
('Inc CWIP &amp; Plant'!$S$11:$AP$11=$B22)*
('Inc CWIP &amp; Plant'!$B$12:$B$375=$C22)*
('Inc CWIP &amp; Plant'!$S$12:$AP$375))</f>
        <v>14245.367088333333</v>
      </c>
      <c r="I22" s="299">
        <f>SUMPRODUCT(('Inc CWIP &amp; Plant'!$A$12:$A$375=I$5)*
('Inc CWIP &amp; Plant'!$S$11:$AP$11=$B22)*
('Inc CWIP &amp; Plant'!$B$12:$B$375=$C22)*
('Inc CWIP &amp; Plant'!$S$12:$AP$375))</f>
        <v>0</v>
      </c>
      <c r="J22" s="299">
        <f>SUMPRODUCT(('Inc CWIP &amp; Plant'!$A$12:$A$375=J$5)*
('Inc CWIP &amp; Plant'!$S$11:$AP$11=$B22)*
('Inc CWIP &amp; Plant'!$B$12:$B$375=$C22)*
('Inc CWIP &amp; Plant'!$S$12:$AP$375))</f>
        <v>0</v>
      </c>
      <c r="K22" s="299">
        <f>SUMPRODUCT(('Inc CWIP &amp; Plant'!$A$12:$A$375=K$5)*
('Inc CWIP &amp; Plant'!$S$11:$AP$11=$B22)*
('Inc CWIP &amp; Plant'!$B$12:$B$375=$C22)*
('Inc CWIP &amp; Plant'!$S$12:$AP$375))</f>
        <v>0</v>
      </c>
      <c r="L22" s="299">
        <f>SUMPRODUCT(('Inc CWIP &amp; Plant'!$A$12:$A$375=L$5)*
('Inc CWIP &amp; Plant'!$S$11:$AP$11=$B22)*
('Inc CWIP &amp; Plant'!$B$12:$B$375=$C22)*
('Inc CWIP &amp; Plant'!$S$12:$AP$375))</f>
        <v>0</v>
      </c>
      <c r="M22" s="299">
        <f>SUMPRODUCT(('Inc CWIP &amp; Plant'!$A$12:$A$375=M$5)*
('Inc CWIP &amp; Plant'!$S$11:$AP$11=$B22)*
('Inc CWIP &amp; Plant'!$B$12:$B$375=$C22)*
('Inc CWIP &amp; Plant'!$S$12:$AP$375))</f>
        <v>3059.8361666666669</v>
      </c>
      <c r="N22" s="299">
        <f>SUMPRODUCT(('Inc CWIP &amp; Plant'!$A$12:$A$375=N$5)*
('Inc CWIP &amp; Plant'!$S$11:$AP$11=$B22)*
('Inc CWIP &amp; Plant'!$B$12:$B$375=$C22)*
('Inc CWIP &amp; Plant'!$S$12:$AP$375))</f>
        <v>0</v>
      </c>
      <c r="O22" s="299">
        <f>SUMPRODUCT(('Inc CWIP &amp; Plant'!$A$12:$A$375=O$5)*
('Inc CWIP &amp; Plant'!$S$11:$AP$11=$B22)*
('Inc CWIP &amp; Plant'!$B$12:$B$375=$C22)*
('Inc CWIP &amp; Plant'!$S$12:$AP$375))</f>
        <v>3200</v>
      </c>
      <c r="P22" s="313">
        <f>SUMPRODUCT(('Inc CWIP &amp; Plant'!$A$12:$A$375=P$5)*
('Inc CWIP &amp; Plant'!$S$11:$AP$11=$B22)*
('Inc CWIP &amp; Plant'!$B$12:$B$375=$C22)*
('Inc CWIP &amp; Plant'!$S$12:$AP$375))</f>
        <v>0</v>
      </c>
    </row>
    <row r="23" spans="1:16" ht="15" customHeight="1" x14ac:dyDescent="0.25">
      <c r="A23" s="297"/>
      <c r="B23" s="308">
        <f t="shared" si="0"/>
        <v>42491</v>
      </c>
      <c r="C23" s="308" t="s">
        <v>36</v>
      </c>
      <c r="D23" s="312">
        <f t="shared" si="1"/>
        <v>15121.673254999998</v>
      </c>
      <c r="E23" s="299">
        <f>SUMPRODUCT(('Inc CWIP &amp; Plant'!$A$12:$A$375=E$5)*
('Inc CWIP &amp; Plant'!$S$11:$AP$11=$B23)*
('Inc CWIP &amp; Plant'!$B$12:$B$375=$C23)*
('Inc CWIP &amp; Plant'!$S$12:$AP$375))</f>
        <v>0</v>
      </c>
      <c r="F23" s="299">
        <f>SUMPRODUCT(('Inc CWIP &amp; Plant'!$A$12:$A$375=F$5)*
('Inc CWIP &amp; Plant'!$S$11:$AP$11=$B23)*
('Inc CWIP &amp; Plant'!$B$12:$B$375=$C23)*
('Inc CWIP &amp; Plant'!$S$12:$AP$375))</f>
        <v>0</v>
      </c>
      <c r="G23" s="299">
        <f>SUMPRODUCT(('Inc CWIP &amp; Plant'!$A$12:$A$375=G$5)*
('Inc CWIP &amp; Plant'!$S$11:$AP$11=$B23)*
('Inc CWIP &amp; Plant'!$B$12:$B$375=$C23)*
('Inc CWIP &amp; Plant'!$S$12:$AP$375))</f>
        <v>0</v>
      </c>
      <c r="H23" s="299">
        <f>SUMPRODUCT(('Inc CWIP &amp; Plant'!$A$12:$A$375=H$5)*
('Inc CWIP &amp; Plant'!$S$11:$AP$11=$B23)*
('Inc CWIP &amp; Plant'!$B$12:$B$375=$C23)*
('Inc CWIP &amp; Plant'!$S$12:$AP$375))</f>
        <v>9661.8370883333318</v>
      </c>
      <c r="I23" s="299">
        <f>SUMPRODUCT(('Inc CWIP &amp; Plant'!$A$12:$A$375=I$5)*
('Inc CWIP &amp; Plant'!$S$11:$AP$11=$B23)*
('Inc CWIP &amp; Plant'!$B$12:$B$375=$C23)*
('Inc CWIP &amp; Plant'!$S$12:$AP$375))</f>
        <v>0</v>
      </c>
      <c r="J23" s="299">
        <f>SUMPRODUCT(('Inc CWIP &amp; Plant'!$A$12:$A$375=J$5)*
('Inc CWIP &amp; Plant'!$S$11:$AP$11=$B23)*
('Inc CWIP &amp; Plant'!$B$12:$B$375=$C23)*
('Inc CWIP &amp; Plant'!$S$12:$AP$375))</f>
        <v>0</v>
      </c>
      <c r="K23" s="299">
        <f>SUMPRODUCT(('Inc CWIP &amp; Plant'!$A$12:$A$375=K$5)*
('Inc CWIP &amp; Plant'!$S$11:$AP$11=$B23)*
('Inc CWIP &amp; Plant'!$B$12:$B$375=$C23)*
('Inc CWIP &amp; Plant'!$S$12:$AP$375))</f>
        <v>0</v>
      </c>
      <c r="L23" s="299">
        <f>SUMPRODUCT(('Inc CWIP &amp; Plant'!$A$12:$A$375=L$5)*
('Inc CWIP &amp; Plant'!$S$11:$AP$11=$B23)*
('Inc CWIP &amp; Plant'!$B$12:$B$375=$C23)*
('Inc CWIP &amp; Plant'!$S$12:$AP$375))</f>
        <v>0</v>
      </c>
      <c r="M23" s="299">
        <f>SUMPRODUCT(('Inc CWIP &amp; Plant'!$A$12:$A$375=M$5)*
('Inc CWIP &amp; Plant'!$S$11:$AP$11=$B23)*
('Inc CWIP &amp; Plant'!$B$12:$B$375=$C23)*
('Inc CWIP &amp; Plant'!$S$12:$AP$375))</f>
        <v>2809.8361666666669</v>
      </c>
      <c r="N23" s="299">
        <f>SUMPRODUCT(('Inc CWIP &amp; Plant'!$A$12:$A$375=N$5)*
('Inc CWIP &amp; Plant'!$S$11:$AP$11=$B23)*
('Inc CWIP &amp; Plant'!$B$12:$B$375=$C23)*
('Inc CWIP &amp; Plant'!$S$12:$AP$375))</f>
        <v>0</v>
      </c>
      <c r="O23" s="299">
        <f>SUMPRODUCT(('Inc CWIP &amp; Plant'!$A$12:$A$375=O$5)*
('Inc CWIP &amp; Plant'!$S$11:$AP$11=$B23)*
('Inc CWIP &amp; Plant'!$B$12:$B$375=$C23)*
('Inc CWIP &amp; Plant'!$S$12:$AP$375))</f>
        <v>2650</v>
      </c>
      <c r="P23" s="313">
        <f>SUMPRODUCT(('Inc CWIP &amp; Plant'!$A$12:$A$375=P$5)*
('Inc CWIP &amp; Plant'!$S$11:$AP$11=$B23)*
('Inc CWIP &amp; Plant'!$B$12:$B$375=$C23)*
('Inc CWIP &amp; Plant'!$S$12:$AP$375))</f>
        <v>0</v>
      </c>
    </row>
    <row r="24" spans="1:16" ht="15" customHeight="1" x14ac:dyDescent="0.25">
      <c r="A24" s="297"/>
      <c r="B24" s="308">
        <f t="shared" si="0"/>
        <v>42522</v>
      </c>
      <c r="C24" s="308" t="s">
        <v>36</v>
      </c>
      <c r="D24" s="312">
        <f t="shared" si="1"/>
        <v>25807.073254999996</v>
      </c>
      <c r="E24" s="299">
        <f>SUMPRODUCT(('Inc CWIP &amp; Plant'!$A$12:$A$375=E$5)*
('Inc CWIP &amp; Plant'!$S$11:$AP$11=$B24)*
('Inc CWIP &amp; Plant'!$B$12:$B$375=$C24)*
('Inc CWIP &amp; Plant'!$S$12:$AP$375))</f>
        <v>0</v>
      </c>
      <c r="F24" s="299">
        <f>SUMPRODUCT(('Inc CWIP &amp; Plant'!$A$12:$A$375=F$5)*
('Inc CWIP &amp; Plant'!$S$11:$AP$11=$B24)*
('Inc CWIP &amp; Plant'!$B$12:$B$375=$C24)*
('Inc CWIP &amp; Plant'!$S$12:$AP$375))</f>
        <v>0</v>
      </c>
      <c r="G24" s="299">
        <f>SUMPRODUCT(('Inc CWIP &amp; Plant'!$A$12:$A$375=G$5)*
('Inc CWIP &amp; Plant'!$S$11:$AP$11=$B24)*
('Inc CWIP &amp; Plant'!$B$12:$B$375=$C24)*
('Inc CWIP &amp; Plant'!$S$12:$AP$375))</f>
        <v>0</v>
      </c>
      <c r="H24" s="299">
        <f>SUMPRODUCT(('Inc CWIP &amp; Plant'!$A$12:$A$375=H$5)*
('Inc CWIP &amp; Plant'!$S$11:$AP$11=$B24)*
('Inc CWIP &amp; Plant'!$B$12:$B$375=$C24)*
('Inc CWIP &amp; Plant'!$S$12:$AP$375))</f>
        <v>9657.2370883333315</v>
      </c>
      <c r="I24" s="299">
        <f>SUMPRODUCT(('Inc CWIP &amp; Plant'!$A$12:$A$375=I$5)*
('Inc CWIP &amp; Plant'!$S$11:$AP$11=$B24)*
('Inc CWIP &amp; Plant'!$B$12:$B$375=$C24)*
('Inc CWIP &amp; Plant'!$S$12:$AP$375))</f>
        <v>0</v>
      </c>
      <c r="J24" s="299">
        <f>SUMPRODUCT(('Inc CWIP &amp; Plant'!$A$12:$A$375=J$5)*
('Inc CWIP &amp; Plant'!$S$11:$AP$11=$B24)*
('Inc CWIP &amp; Plant'!$B$12:$B$375=$C24)*
('Inc CWIP &amp; Plant'!$S$12:$AP$375))</f>
        <v>0</v>
      </c>
      <c r="K24" s="299">
        <f>SUMPRODUCT(('Inc CWIP &amp; Plant'!$A$12:$A$375=K$5)*
('Inc CWIP &amp; Plant'!$S$11:$AP$11=$B24)*
('Inc CWIP &amp; Plant'!$B$12:$B$375=$C24)*
('Inc CWIP &amp; Plant'!$S$12:$AP$375))</f>
        <v>0</v>
      </c>
      <c r="L24" s="299">
        <f>SUMPRODUCT(('Inc CWIP &amp; Plant'!$A$12:$A$375=L$5)*
('Inc CWIP &amp; Plant'!$S$11:$AP$11=$B24)*
('Inc CWIP &amp; Plant'!$B$12:$B$375=$C24)*
('Inc CWIP &amp; Plant'!$S$12:$AP$375))</f>
        <v>0</v>
      </c>
      <c r="M24" s="299">
        <f>SUMPRODUCT(('Inc CWIP &amp; Plant'!$A$12:$A$375=M$5)*
('Inc CWIP &amp; Plant'!$S$11:$AP$11=$B24)*
('Inc CWIP &amp; Plant'!$B$12:$B$375=$C24)*
('Inc CWIP &amp; Plant'!$S$12:$AP$375))</f>
        <v>14299.836166666666</v>
      </c>
      <c r="N24" s="299">
        <f>SUMPRODUCT(('Inc CWIP &amp; Plant'!$A$12:$A$375=N$5)*
('Inc CWIP &amp; Plant'!$S$11:$AP$11=$B24)*
('Inc CWIP &amp; Plant'!$B$12:$B$375=$C24)*
('Inc CWIP &amp; Plant'!$S$12:$AP$375))</f>
        <v>0</v>
      </c>
      <c r="O24" s="299">
        <f>SUMPRODUCT(('Inc CWIP &amp; Plant'!$A$12:$A$375=O$5)*
('Inc CWIP &amp; Plant'!$S$11:$AP$11=$B24)*
('Inc CWIP &amp; Plant'!$B$12:$B$375=$C24)*
('Inc CWIP &amp; Plant'!$S$12:$AP$375))</f>
        <v>1850</v>
      </c>
      <c r="P24" s="313">
        <f>SUMPRODUCT(('Inc CWIP &amp; Plant'!$A$12:$A$375=P$5)*
('Inc CWIP &amp; Plant'!$S$11:$AP$11=$B24)*
('Inc CWIP &amp; Plant'!$B$12:$B$375=$C24)*
('Inc CWIP &amp; Plant'!$S$12:$AP$375))</f>
        <v>0</v>
      </c>
    </row>
    <row r="25" spans="1:16" ht="15" customHeight="1" x14ac:dyDescent="0.25">
      <c r="A25" s="297"/>
      <c r="B25" s="308">
        <f t="shared" si="0"/>
        <v>42552</v>
      </c>
      <c r="C25" s="308" t="s">
        <v>36</v>
      </c>
      <c r="D25" s="312">
        <f t="shared" si="1"/>
        <v>25053.673254999998</v>
      </c>
      <c r="E25" s="299">
        <f>SUMPRODUCT(('Inc CWIP &amp; Plant'!$A$12:$A$375=E$5)*
('Inc CWIP &amp; Plant'!$S$11:$AP$11=$B25)*
('Inc CWIP &amp; Plant'!$B$12:$B$375=$C25)*
('Inc CWIP &amp; Plant'!$S$12:$AP$375))</f>
        <v>0</v>
      </c>
      <c r="F25" s="299">
        <f>SUMPRODUCT(('Inc CWIP &amp; Plant'!$A$12:$A$375=F$5)*
('Inc CWIP &amp; Plant'!$S$11:$AP$11=$B25)*
('Inc CWIP &amp; Plant'!$B$12:$B$375=$C25)*
('Inc CWIP &amp; Plant'!$S$12:$AP$375))</f>
        <v>0</v>
      </c>
      <c r="G25" s="299">
        <f>SUMPRODUCT(('Inc CWIP &amp; Plant'!$A$12:$A$375=G$5)*
('Inc CWIP &amp; Plant'!$S$11:$AP$11=$B25)*
('Inc CWIP &amp; Plant'!$B$12:$B$375=$C25)*
('Inc CWIP &amp; Plant'!$S$12:$AP$375))</f>
        <v>0</v>
      </c>
      <c r="H25" s="299">
        <f>SUMPRODUCT(('Inc CWIP &amp; Plant'!$A$12:$A$375=H$5)*
('Inc CWIP &amp; Plant'!$S$11:$AP$11=$B25)*
('Inc CWIP &amp; Plant'!$B$12:$B$375=$C25)*
('Inc CWIP &amp; Plant'!$S$12:$AP$375))</f>
        <v>9453.8370883333318</v>
      </c>
      <c r="I25" s="299">
        <f>SUMPRODUCT(('Inc CWIP &amp; Plant'!$A$12:$A$375=I$5)*
('Inc CWIP &amp; Plant'!$S$11:$AP$11=$B25)*
('Inc CWIP &amp; Plant'!$B$12:$B$375=$C25)*
('Inc CWIP &amp; Plant'!$S$12:$AP$375))</f>
        <v>0</v>
      </c>
      <c r="J25" s="299">
        <f>SUMPRODUCT(('Inc CWIP &amp; Plant'!$A$12:$A$375=J$5)*
('Inc CWIP &amp; Plant'!$S$11:$AP$11=$B25)*
('Inc CWIP &amp; Plant'!$B$12:$B$375=$C25)*
('Inc CWIP &amp; Plant'!$S$12:$AP$375))</f>
        <v>0</v>
      </c>
      <c r="K25" s="299">
        <f>SUMPRODUCT(('Inc CWIP &amp; Plant'!$A$12:$A$375=K$5)*
('Inc CWIP &amp; Plant'!$S$11:$AP$11=$B25)*
('Inc CWIP &amp; Plant'!$B$12:$B$375=$C25)*
('Inc CWIP &amp; Plant'!$S$12:$AP$375))</f>
        <v>0</v>
      </c>
      <c r="L25" s="299">
        <f>SUMPRODUCT(('Inc CWIP &amp; Plant'!$A$12:$A$375=L$5)*
('Inc CWIP &amp; Plant'!$S$11:$AP$11=$B25)*
('Inc CWIP &amp; Plant'!$B$12:$B$375=$C25)*
('Inc CWIP &amp; Plant'!$S$12:$AP$375))</f>
        <v>0</v>
      </c>
      <c r="M25" s="299">
        <f>SUMPRODUCT(('Inc CWIP &amp; Plant'!$A$12:$A$375=M$5)*
('Inc CWIP &amp; Plant'!$S$11:$AP$11=$B25)*
('Inc CWIP &amp; Plant'!$B$12:$B$375=$C25)*
('Inc CWIP &amp; Plant'!$S$12:$AP$375))</f>
        <v>14499.836166666666</v>
      </c>
      <c r="N25" s="299">
        <f>SUMPRODUCT(('Inc CWIP &amp; Plant'!$A$12:$A$375=N$5)*
('Inc CWIP &amp; Plant'!$S$11:$AP$11=$B25)*
('Inc CWIP &amp; Plant'!$B$12:$B$375=$C25)*
('Inc CWIP &amp; Plant'!$S$12:$AP$375))</f>
        <v>0</v>
      </c>
      <c r="O25" s="299">
        <f>SUMPRODUCT(('Inc CWIP &amp; Plant'!$A$12:$A$375=O$5)*
('Inc CWIP &amp; Plant'!$S$11:$AP$11=$B25)*
('Inc CWIP &amp; Plant'!$B$12:$B$375=$C25)*
('Inc CWIP &amp; Plant'!$S$12:$AP$375))</f>
        <v>1100</v>
      </c>
      <c r="P25" s="313">
        <f>SUMPRODUCT(('Inc CWIP &amp; Plant'!$A$12:$A$375=P$5)*
('Inc CWIP &amp; Plant'!$S$11:$AP$11=$B25)*
('Inc CWIP &amp; Plant'!$B$12:$B$375=$C25)*
('Inc CWIP &amp; Plant'!$S$12:$AP$375))</f>
        <v>0</v>
      </c>
    </row>
    <row r="26" spans="1:16" ht="15" customHeight="1" x14ac:dyDescent="0.25">
      <c r="A26" s="297"/>
      <c r="B26" s="308">
        <f t="shared" si="0"/>
        <v>42583</v>
      </c>
      <c r="C26" s="308" t="s">
        <v>36</v>
      </c>
      <c r="D26" s="312">
        <f t="shared" si="1"/>
        <v>25432.703255</v>
      </c>
      <c r="E26" s="299">
        <f>SUMPRODUCT(('Inc CWIP &amp; Plant'!$A$12:$A$375=E$5)*
('Inc CWIP &amp; Plant'!$S$11:$AP$11=$B26)*
('Inc CWIP &amp; Plant'!$B$12:$B$375=$C26)*
('Inc CWIP &amp; Plant'!$S$12:$AP$375))</f>
        <v>0</v>
      </c>
      <c r="F26" s="299">
        <f>SUMPRODUCT(('Inc CWIP &amp; Plant'!$A$12:$A$375=F$5)*
('Inc CWIP &amp; Plant'!$S$11:$AP$11=$B26)*
('Inc CWIP &amp; Plant'!$B$12:$B$375=$C26)*
('Inc CWIP &amp; Plant'!$S$12:$AP$375))</f>
        <v>0</v>
      </c>
      <c r="G26" s="299">
        <f>SUMPRODUCT(('Inc CWIP &amp; Plant'!$A$12:$A$375=G$5)*
('Inc CWIP &amp; Plant'!$S$11:$AP$11=$B26)*
('Inc CWIP &amp; Plant'!$B$12:$B$375=$C26)*
('Inc CWIP &amp; Plant'!$S$12:$AP$375))</f>
        <v>0</v>
      </c>
      <c r="H26" s="299">
        <f>SUMPRODUCT(('Inc CWIP &amp; Plant'!$A$12:$A$375=H$5)*
('Inc CWIP &amp; Plant'!$S$11:$AP$11=$B26)*
('Inc CWIP &amp; Plant'!$B$12:$B$375=$C26)*
('Inc CWIP &amp; Plant'!$S$12:$AP$375))</f>
        <v>9432.8670883333325</v>
      </c>
      <c r="I26" s="299">
        <f>SUMPRODUCT(('Inc CWIP &amp; Plant'!$A$12:$A$375=I$5)*
('Inc CWIP &amp; Plant'!$S$11:$AP$11=$B26)*
('Inc CWIP &amp; Plant'!$B$12:$B$375=$C26)*
('Inc CWIP &amp; Plant'!$S$12:$AP$375))</f>
        <v>0</v>
      </c>
      <c r="J26" s="299">
        <f>SUMPRODUCT(('Inc CWIP &amp; Plant'!$A$12:$A$375=J$5)*
('Inc CWIP &amp; Plant'!$S$11:$AP$11=$B26)*
('Inc CWIP &amp; Plant'!$B$12:$B$375=$C26)*
('Inc CWIP &amp; Plant'!$S$12:$AP$375))</f>
        <v>0</v>
      </c>
      <c r="K26" s="299">
        <f>SUMPRODUCT(('Inc CWIP &amp; Plant'!$A$12:$A$375=K$5)*
('Inc CWIP &amp; Plant'!$S$11:$AP$11=$B26)*
('Inc CWIP &amp; Plant'!$B$12:$B$375=$C26)*
('Inc CWIP &amp; Plant'!$S$12:$AP$375))</f>
        <v>0</v>
      </c>
      <c r="L26" s="299">
        <f>SUMPRODUCT(('Inc CWIP &amp; Plant'!$A$12:$A$375=L$5)*
('Inc CWIP &amp; Plant'!$S$11:$AP$11=$B26)*
('Inc CWIP &amp; Plant'!$B$12:$B$375=$C26)*
('Inc CWIP &amp; Plant'!$S$12:$AP$375))</f>
        <v>0</v>
      </c>
      <c r="M26" s="299">
        <f>SUMPRODUCT(('Inc CWIP &amp; Plant'!$A$12:$A$375=M$5)*
('Inc CWIP &amp; Plant'!$S$11:$AP$11=$B26)*
('Inc CWIP &amp; Plant'!$B$12:$B$375=$C26)*
('Inc CWIP &amp; Plant'!$S$12:$AP$375))</f>
        <v>14499.836166666666</v>
      </c>
      <c r="N26" s="299">
        <f>SUMPRODUCT(('Inc CWIP &amp; Plant'!$A$12:$A$375=N$5)*
('Inc CWIP &amp; Plant'!$S$11:$AP$11=$B26)*
('Inc CWIP &amp; Plant'!$B$12:$B$375=$C26)*
('Inc CWIP &amp; Plant'!$S$12:$AP$375))</f>
        <v>0</v>
      </c>
      <c r="O26" s="299">
        <f>SUMPRODUCT(('Inc CWIP &amp; Plant'!$A$12:$A$375=O$5)*
('Inc CWIP &amp; Plant'!$S$11:$AP$11=$B26)*
('Inc CWIP &amp; Plant'!$B$12:$B$375=$C26)*
('Inc CWIP &amp; Plant'!$S$12:$AP$375))</f>
        <v>1500</v>
      </c>
      <c r="P26" s="313">
        <f>SUMPRODUCT(('Inc CWIP &amp; Plant'!$A$12:$A$375=P$5)*
('Inc CWIP &amp; Plant'!$S$11:$AP$11=$B26)*
('Inc CWIP &amp; Plant'!$B$12:$B$375=$C26)*
('Inc CWIP &amp; Plant'!$S$12:$AP$375))</f>
        <v>0</v>
      </c>
    </row>
    <row r="27" spans="1:16" ht="15" customHeight="1" x14ac:dyDescent="0.25">
      <c r="A27" s="297"/>
      <c r="B27" s="308">
        <f t="shared" si="0"/>
        <v>42614</v>
      </c>
      <c r="C27" s="308" t="s">
        <v>36</v>
      </c>
      <c r="D27" s="312">
        <f t="shared" si="1"/>
        <v>22836.703255</v>
      </c>
      <c r="E27" s="299">
        <f>SUMPRODUCT(('Inc CWIP &amp; Plant'!$A$12:$A$375=E$5)*
('Inc CWIP &amp; Plant'!$S$11:$AP$11=$B27)*
('Inc CWIP &amp; Plant'!$B$12:$B$375=$C27)*
('Inc CWIP &amp; Plant'!$S$12:$AP$375))</f>
        <v>0</v>
      </c>
      <c r="F27" s="299">
        <f>SUMPRODUCT(('Inc CWIP &amp; Plant'!$A$12:$A$375=F$5)*
('Inc CWIP &amp; Plant'!$S$11:$AP$11=$B27)*
('Inc CWIP &amp; Plant'!$B$12:$B$375=$C27)*
('Inc CWIP &amp; Plant'!$S$12:$AP$375))</f>
        <v>0</v>
      </c>
      <c r="G27" s="299">
        <f>SUMPRODUCT(('Inc CWIP &amp; Plant'!$A$12:$A$375=G$5)*
('Inc CWIP &amp; Plant'!$S$11:$AP$11=$B27)*
('Inc CWIP &amp; Plant'!$B$12:$B$375=$C27)*
('Inc CWIP &amp; Plant'!$S$12:$AP$375))</f>
        <v>0</v>
      </c>
      <c r="H27" s="299">
        <f>SUMPRODUCT(('Inc CWIP &amp; Plant'!$A$12:$A$375=H$5)*
('Inc CWIP &amp; Plant'!$S$11:$AP$11=$B27)*
('Inc CWIP &amp; Plant'!$B$12:$B$375=$C27)*
('Inc CWIP &amp; Plant'!$S$12:$AP$375))</f>
        <v>7236.8670883333325</v>
      </c>
      <c r="I27" s="299">
        <f>SUMPRODUCT(('Inc CWIP &amp; Plant'!$A$12:$A$375=I$5)*
('Inc CWIP &amp; Plant'!$S$11:$AP$11=$B27)*
('Inc CWIP &amp; Plant'!$B$12:$B$375=$C27)*
('Inc CWIP &amp; Plant'!$S$12:$AP$375))</f>
        <v>0</v>
      </c>
      <c r="J27" s="299">
        <f>SUMPRODUCT(('Inc CWIP &amp; Plant'!$A$12:$A$375=J$5)*
('Inc CWIP &amp; Plant'!$S$11:$AP$11=$B27)*
('Inc CWIP &amp; Plant'!$B$12:$B$375=$C27)*
('Inc CWIP &amp; Plant'!$S$12:$AP$375))</f>
        <v>0</v>
      </c>
      <c r="K27" s="299">
        <f>SUMPRODUCT(('Inc CWIP &amp; Plant'!$A$12:$A$375=K$5)*
('Inc CWIP &amp; Plant'!$S$11:$AP$11=$B27)*
('Inc CWIP &amp; Plant'!$B$12:$B$375=$C27)*
('Inc CWIP &amp; Plant'!$S$12:$AP$375))</f>
        <v>0</v>
      </c>
      <c r="L27" s="299">
        <f>SUMPRODUCT(('Inc CWIP &amp; Plant'!$A$12:$A$375=L$5)*
('Inc CWIP &amp; Plant'!$S$11:$AP$11=$B27)*
('Inc CWIP &amp; Plant'!$B$12:$B$375=$C27)*
('Inc CWIP &amp; Plant'!$S$12:$AP$375))</f>
        <v>0</v>
      </c>
      <c r="M27" s="299">
        <f>SUMPRODUCT(('Inc CWIP &amp; Plant'!$A$12:$A$375=M$5)*
('Inc CWIP &amp; Plant'!$S$11:$AP$11=$B27)*
('Inc CWIP &amp; Plant'!$B$12:$B$375=$C27)*
('Inc CWIP &amp; Plant'!$S$12:$AP$375))</f>
        <v>14499.836166666666</v>
      </c>
      <c r="N27" s="299">
        <f>SUMPRODUCT(('Inc CWIP &amp; Plant'!$A$12:$A$375=N$5)*
('Inc CWIP &amp; Plant'!$S$11:$AP$11=$B27)*
('Inc CWIP &amp; Plant'!$B$12:$B$375=$C27)*
('Inc CWIP &amp; Plant'!$S$12:$AP$375))</f>
        <v>0</v>
      </c>
      <c r="O27" s="299">
        <f>SUMPRODUCT(('Inc CWIP &amp; Plant'!$A$12:$A$375=O$5)*
('Inc CWIP &amp; Plant'!$S$11:$AP$11=$B27)*
('Inc CWIP &amp; Plant'!$B$12:$B$375=$C27)*
('Inc CWIP &amp; Plant'!$S$12:$AP$375))</f>
        <v>1100</v>
      </c>
      <c r="P27" s="313">
        <f>SUMPRODUCT(('Inc CWIP &amp; Plant'!$A$12:$A$375=P$5)*
('Inc CWIP &amp; Plant'!$S$11:$AP$11=$B27)*
('Inc CWIP &amp; Plant'!$B$12:$B$375=$C27)*
('Inc CWIP &amp; Plant'!$S$12:$AP$375))</f>
        <v>0</v>
      </c>
    </row>
    <row r="28" spans="1:16" ht="15" customHeight="1" x14ac:dyDescent="0.25">
      <c r="A28" s="297"/>
      <c r="B28" s="308">
        <f t="shared" si="0"/>
        <v>42644</v>
      </c>
      <c r="C28" s="308" t="s">
        <v>36</v>
      </c>
      <c r="D28" s="312">
        <f t="shared" si="1"/>
        <v>19498.263254999998</v>
      </c>
      <c r="E28" s="299">
        <f>SUMPRODUCT(('Inc CWIP &amp; Plant'!$A$12:$A$375=E$5)*
('Inc CWIP &amp; Plant'!$S$11:$AP$11=$B28)*
('Inc CWIP &amp; Plant'!$B$12:$B$375=$C28)*
('Inc CWIP &amp; Plant'!$S$12:$AP$375))</f>
        <v>0</v>
      </c>
      <c r="F28" s="299">
        <f>SUMPRODUCT(('Inc CWIP &amp; Plant'!$A$12:$A$375=F$5)*
('Inc CWIP &amp; Plant'!$S$11:$AP$11=$B28)*
('Inc CWIP &amp; Plant'!$B$12:$B$375=$C28)*
('Inc CWIP &amp; Plant'!$S$12:$AP$375))</f>
        <v>0</v>
      </c>
      <c r="G28" s="299">
        <f>SUMPRODUCT(('Inc CWIP &amp; Plant'!$A$12:$A$375=G$5)*
('Inc CWIP &amp; Plant'!$S$11:$AP$11=$B28)*
('Inc CWIP &amp; Plant'!$B$12:$B$375=$C28)*
('Inc CWIP &amp; Plant'!$S$12:$AP$375))</f>
        <v>0</v>
      </c>
      <c r="H28" s="299">
        <f>SUMPRODUCT(('Inc CWIP &amp; Plant'!$A$12:$A$375=H$5)*
('Inc CWIP &amp; Plant'!$S$11:$AP$11=$B28)*
('Inc CWIP &amp; Plant'!$B$12:$B$375=$C28)*
('Inc CWIP &amp; Plant'!$S$12:$AP$375))</f>
        <v>3898.4270883333338</v>
      </c>
      <c r="I28" s="299">
        <f>SUMPRODUCT(('Inc CWIP &amp; Plant'!$A$12:$A$375=I$5)*
('Inc CWIP &amp; Plant'!$S$11:$AP$11=$B28)*
('Inc CWIP &amp; Plant'!$B$12:$B$375=$C28)*
('Inc CWIP &amp; Plant'!$S$12:$AP$375))</f>
        <v>0</v>
      </c>
      <c r="J28" s="299">
        <f>SUMPRODUCT(('Inc CWIP &amp; Plant'!$A$12:$A$375=J$5)*
('Inc CWIP &amp; Plant'!$S$11:$AP$11=$B28)*
('Inc CWIP &amp; Plant'!$B$12:$B$375=$C28)*
('Inc CWIP &amp; Plant'!$S$12:$AP$375))</f>
        <v>0</v>
      </c>
      <c r="K28" s="299">
        <f>SUMPRODUCT(('Inc CWIP &amp; Plant'!$A$12:$A$375=K$5)*
('Inc CWIP &amp; Plant'!$S$11:$AP$11=$B28)*
('Inc CWIP &amp; Plant'!$B$12:$B$375=$C28)*
('Inc CWIP &amp; Plant'!$S$12:$AP$375))</f>
        <v>0</v>
      </c>
      <c r="L28" s="299">
        <f>SUMPRODUCT(('Inc CWIP &amp; Plant'!$A$12:$A$375=L$5)*
('Inc CWIP &amp; Plant'!$S$11:$AP$11=$B28)*
('Inc CWIP &amp; Plant'!$B$12:$B$375=$C28)*
('Inc CWIP &amp; Plant'!$S$12:$AP$375))</f>
        <v>0</v>
      </c>
      <c r="M28" s="299">
        <f>SUMPRODUCT(('Inc CWIP &amp; Plant'!$A$12:$A$375=M$5)*
('Inc CWIP &amp; Plant'!$S$11:$AP$11=$B28)*
('Inc CWIP &amp; Plant'!$B$12:$B$375=$C28)*
('Inc CWIP &amp; Plant'!$S$12:$AP$375))</f>
        <v>14499.836166666666</v>
      </c>
      <c r="N28" s="299">
        <f>SUMPRODUCT(('Inc CWIP &amp; Plant'!$A$12:$A$375=N$5)*
('Inc CWIP &amp; Plant'!$S$11:$AP$11=$B28)*
('Inc CWIP &amp; Plant'!$B$12:$B$375=$C28)*
('Inc CWIP &amp; Plant'!$S$12:$AP$375))</f>
        <v>0</v>
      </c>
      <c r="O28" s="299">
        <f>SUMPRODUCT(('Inc CWIP &amp; Plant'!$A$12:$A$375=O$5)*
('Inc CWIP &amp; Plant'!$S$11:$AP$11=$B28)*
('Inc CWIP &amp; Plant'!$B$12:$B$375=$C28)*
('Inc CWIP &amp; Plant'!$S$12:$AP$375))</f>
        <v>1100</v>
      </c>
      <c r="P28" s="313">
        <f>SUMPRODUCT(('Inc CWIP &amp; Plant'!$A$12:$A$375=P$5)*
('Inc CWIP &amp; Plant'!$S$11:$AP$11=$B28)*
('Inc CWIP &amp; Plant'!$B$12:$B$375=$C28)*
('Inc CWIP &amp; Plant'!$S$12:$AP$375))</f>
        <v>0</v>
      </c>
    </row>
    <row r="29" spans="1:16" ht="15" customHeight="1" x14ac:dyDescent="0.25">
      <c r="A29" s="297"/>
      <c r="B29" s="308">
        <f t="shared" si="0"/>
        <v>42675</v>
      </c>
      <c r="C29" s="308" t="s">
        <v>36</v>
      </c>
      <c r="D29" s="312">
        <f t="shared" si="1"/>
        <v>17182.361255</v>
      </c>
      <c r="E29" s="299">
        <f>SUMPRODUCT(('Inc CWIP &amp; Plant'!$A$12:$A$375=E$5)*
('Inc CWIP &amp; Plant'!$S$11:$AP$11=$B29)*
('Inc CWIP &amp; Plant'!$B$12:$B$375=$C29)*
('Inc CWIP &amp; Plant'!$S$12:$AP$375))</f>
        <v>0</v>
      </c>
      <c r="F29" s="299">
        <f>SUMPRODUCT(('Inc CWIP &amp; Plant'!$A$12:$A$375=F$5)*
('Inc CWIP &amp; Plant'!$S$11:$AP$11=$B29)*
('Inc CWIP &amp; Plant'!$B$12:$B$375=$C29)*
('Inc CWIP &amp; Plant'!$S$12:$AP$375))</f>
        <v>0</v>
      </c>
      <c r="G29" s="299">
        <f>SUMPRODUCT(('Inc CWIP &amp; Plant'!$A$12:$A$375=G$5)*
('Inc CWIP &amp; Plant'!$S$11:$AP$11=$B29)*
('Inc CWIP &amp; Plant'!$B$12:$B$375=$C29)*
('Inc CWIP &amp; Plant'!$S$12:$AP$375))</f>
        <v>0</v>
      </c>
      <c r="H29" s="299">
        <f>SUMPRODUCT(('Inc CWIP &amp; Plant'!$A$12:$A$375=H$5)*
('Inc CWIP &amp; Plant'!$S$11:$AP$11=$B29)*
('Inc CWIP &amp; Plant'!$B$12:$B$375=$C29)*
('Inc CWIP &amp; Plant'!$S$12:$AP$375))</f>
        <v>3829.4270883333338</v>
      </c>
      <c r="I29" s="299">
        <f>SUMPRODUCT(('Inc CWIP &amp; Plant'!$A$12:$A$375=I$5)*
('Inc CWIP &amp; Plant'!$S$11:$AP$11=$B29)*
('Inc CWIP &amp; Plant'!$B$12:$B$375=$C29)*
('Inc CWIP &amp; Plant'!$S$12:$AP$375))</f>
        <v>0</v>
      </c>
      <c r="J29" s="299">
        <f>SUMPRODUCT(('Inc CWIP &amp; Plant'!$A$12:$A$375=J$5)*
('Inc CWIP &amp; Plant'!$S$11:$AP$11=$B29)*
('Inc CWIP &amp; Plant'!$B$12:$B$375=$C29)*
('Inc CWIP &amp; Plant'!$S$12:$AP$375))</f>
        <v>0</v>
      </c>
      <c r="K29" s="299">
        <f>SUMPRODUCT(('Inc CWIP &amp; Plant'!$A$12:$A$375=K$5)*
('Inc CWIP &amp; Plant'!$S$11:$AP$11=$B29)*
('Inc CWIP &amp; Plant'!$B$12:$B$375=$C29)*
('Inc CWIP &amp; Plant'!$S$12:$AP$375))</f>
        <v>0</v>
      </c>
      <c r="L29" s="299">
        <f>SUMPRODUCT(('Inc CWIP &amp; Plant'!$A$12:$A$375=L$5)*
('Inc CWIP &amp; Plant'!$S$11:$AP$11=$B29)*
('Inc CWIP &amp; Plant'!$B$12:$B$375=$C29)*
('Inc CWIP &amp; Plant'!$S$12:$AP$375))</f>
        <v>0</v>
      </c>
      <c r="M29" s="299">
        <f>SUMPRODUCT(('Inc CWIP &amp; Plant'!$A$12:$A$375=M$5)*
('Inc CWIP &amp; Plant'!$S$11:$AP$11=$B29)*
('Inc CWIP &amp; Plant'!$B$12:$B$375=$C29)*
('Inc CWIP &amp; Plant'!$S$12:$AP$375))</f>
        <v>12852.934166666666</v>
      </c>
      <c r="N29" s="299">
        <f>SUMPRODUCT(('Inc CWIP &amp; Plant'!$A$12:$A$375=N$5)*
('Inc CWIP &amp; Plant'!$S$11:$AP$11=$B29)*
('Inc CWIP &amp; Plant'!$B$12:$B$375=$C29)*
('Inc CWIP &amp; Plant'!$S$12:$AP$375))</f>
        <v>0</v>
      </c>
      <c r="O29" s="299">
        <f>SUMPRODUCT(('Inc CWIP &amp; Plant'!$A$12:$A$375=O$5)*
('Inc CWIP &amp; Plant'!$S$11:$AP$11=$B29)*
('Inc CWIP &amp; Plant'!$B$12:$B$375=$C29)*
('Inc CWIP &amp; Plant'!$S$12:$AP$375))</f>
        <v>500</v>
      </c>
      <c r="P29" s="313">
        <f>SUMPRODUCT(('Inc CWIP &amp; Plant'!$A$12:$A$375=P$5)*
('Inc CWIP &amp; Plant'!$S$11:$AP$11=$B29)*
('Inc CWIP &amp; Plant'!$B$12:$B$375=$C29)*
('Inc CWIP &amp; Plant'!$S$12:$AP$375))</f>
        <v>0</v>
      </c>
    </row>
    <row r="30" spans="1:16" ht="15" customHeight="1" thickBot="1" x14ac:dyDescent="0.3">
      <c r="A30" s="297"/>
      <c r="B30" s="308">
        <f t="shared" si="0"/>
        <v>42705</v>
      </c>
      <c r="C30" s="308" t="s">
        <v>36</v>
      </c>
      <c r="D30" s="314">
        <f>SUM(E30:P30)</f>
        <v>17193.361255</v>
      </c>
      <c r="E30" s="299">
        <f>SUMPRODUCT(('Inc CWIP &amp; Plant'!$A$12:$A$375=E$5)*
('Inc CWIP &amp; Plant'!$S$11:$AP$11=$B30)*
('Inc CWIP &amp; Plant'!$B$12:$B$375=$C30)*
('Inc CWIP &amp; Plant'!$S$12:$AP$375))</f>
        <v>0</v>
      </c>
      <c r="F30" s="299">
        <f>SUMPRODUCT(('Inc CWIP &amp; Plant'!$A$12:$A$375=F$5)*
('Inc CWIP &amp; Plant'!$S$11:$AP$11=$B30)*
('Inc CWIP &amp; Plant'!$B$12:$B$375=$C30)*
('Inc CWIP &amp; Plant'!$S$12:$AP$375))</f>
        <v>0</v>
      </c>
      <c r="G30" s="299">
        <f>SUMPRODUCT(('Inc CWIP &amp; Plant'!$A$12:$A$375=G$5)*
('Inc CWIP &amp; Plant'!$S$11:$AP$11=$B30)*
('Inc CWIP &amp; Plant'!$B$12:$B$375=$C30)*
('Inc CWIP &amp; Plant'!$S$12:$AP$375))</f>
        <v>0</v>
      </c>
      <c r="H30" s="299">
        <f>SUMPRODUCT(('Inc CWIP &amp; Plant'!$A$12:$A$375=H$5)*
('Inc CWIP &amp; Plant'!$S$11:$AP$11=$B30)*
('Inc CWIP &amp; Plant'!$B$12:$B$375=$C30)*
('Inc CWIP &amp; Plant'!$S$12:$AP$375))</f>
        <v>3840.4270883333338</v>
      </c>
      <c r="I30" s="299">
        <f>SUMPRODUCT(('Inc CWIP &amp; Plant'!$A$12:$A$375=I$5)*
('Inc CWIP &amp; Plant'!$S$11:$AP$11=$B30)*
('Inc CWIP &amp; Plant'!$B$12:$B$375=$C30)*
('Inc CWIP &amp; Plant'!$S$12:$AP$375))</f>
        <v>0</v>
      </c>
      <c r="J30" s="299">
        <f>SUMPRODUCT(('Inc CWIP &amp; Plant'!$A$12:$A$375=J$5)*
('Inc CWIP &amp; Plant'!$S$11:$AP$11=$B30)*
('Inc CWIP &amp; Plant'!$B$12:$B$375=$C30)*
('Inc CWIP &amp; Plant'!$S$12:$AP$375))</f>
        <v>0</v>
      </c>
      <c r="K30" s="299">
        <f>SUMPRODUCT(('Inc CWIP &amp; Plant'!$A$12:$A$375=K$5)*
('Inc CWIP &amp; Plant'!$S$11:$AP$11=$B30)*
('Inc CWIP &amp; Plant'!$B$12:$B$375=$C30)*
('Inc CWIP &amp; Plant'!$S$12:$AP$375))</f>
        <v>0</v>
      </c>
      <c r="L30" s="299">
        <f>SUMPRODUCT(('Inc CWIP &amp; Plant'!$A$12:$A$375=L$5)*
('Inc CWIP &amp; Plant'!$S$11:$AP$11=$B30)*
('Inc CWIP &amp; Plant'!$B$12:$B$375=$C30)*
('Inc CWIP &amp; Plant'!$S$12:$AP$375))</f>
        <v>0</v>
      </c>
      <c r="M30" s="299">
        <f>SUMPRODUCT(('Inc CWIP &amp; Plant'!$A$12:$A$375=M$5)*
('Inc CWIP &amp; Plant'!$S$11:$AP$11=$B30)*
('Inc CWIP &amp; Plant'!$B$12:$B$375=$C30)*
('Inc CWIP &amp; Plant'!$S$12:$AP$375))</f>
        <v>12852.934166666666</v>
      </c>
      <c r="N30" s="299">
        <f>SUMPRODUCT(('Inc CWIP &amp; Plant'!$A$12:$A$375=N$5)*
('Inc CWIP &amp; Plant'!$S$11:$AP$11=$B30)*
('Inc CWIP &amp; Plant'!$B$12:$B$375=$C30)*
('Inc CWIP &amp; Plant'!$S$12:$AP$375))</f>
        <v>0</v>
      </c>
      <c r="O30" s="299">
        <f>SUMPRODUCT(('Inc CWIP &amp; Plant'!$A$12:$A$375=O$5)*
('Inc CWIP &amp; Plant'!$S$11:$AP$11=$B30)*
('Inc CWIP &amp; Plant'!$B$12:$B$375=$C30)*
('Inc CWIP &amp; Plant'!$S$12:$AP$375))</f>
        <v>500</v>
      </c>
      <c r="P30" s="313">
        <f>SUMPRODUCT(('Inc CWIP &amp; Plant'!$A$12:$A$375=P$5)*
('Inc CWIP &amp; Plant'!$S$11:$AP$11=$B30)*
('Inc CWIP &amp; Plant'!$B$12:$B$375=$C30)*
('Inc CWIP &amp; Plant'!$S$12:$AP$375))</f>
        <v>0</v>
      </c>
    </row>
    <row r="31" spans="1:16" ht="15" customHeight="1" x14ac:dyDescent="0.25">
      <c r="A31" s="297"/>
      <c r="B31" s="297"/>
      <c r="C31" s="297"/>
      <c r="D31" s="315"/>
      <c r="E31" s="315"/>
      <c r="F31" s="315"/>
      <c r="G31" s="315"/>
      <c r="H31" s="315"/>
      <c r="I31" s="315"/>
      <c r="J31" s="315"/>
      <c r="K31" s="315"/>
      <c r="L31" s="315"/>
      <c r="M31" s="315"/>
      <c r="N31" s="315"/>
      <c r="O31" s="315"/>
      <c r="P31" s="315"/>
    </row>
    <row r="32" spans="1:16" ht="15" customHeight="1" x14ac:dyDescent="0.25">
      <c r="A32" s="297"/>
      <c r="B32" s="297"/>
      <c r="C32" s="297"/>
      <c r="D32" s="315"/>
      <c r="E32" s="297"/>
      <c r="F32" s="297"/>
      <c r="G32" s="297"/>
      <c r="H32" s="297"/>
      <c r="I32" s="297"/>
      <c r="J32" s="297"/>
      <c r="K32" s="297"/>
      <c r="L32" s="297"/>
      <c r="M32" s="297"/>
      <c r="N32" s="297"/>
      <c r="O32" s="297"/>
      <c r="P32" s="297"/>
    </row>
    <row r="33" spans="1:16" ht="15" customHeight="1" x14ac:dyDescent="0.25">
      <c r="A33" s="297"/>
      <c r="B33" s="297"/>
      <c r="C33" s="297"/>
      <c r="D33" s="297"/>
      <c r="E33" s="297"/>
      <c r="F33" s="297"/>
      <c r="G33" s="297"/>
      <c r="H33" s="297"/>
      <c r="I33" s="297"/>
      <c r="J33" s="297"/>
      <c r="K33" s="297"/>
      <c r="L33" s="297"/>
      <c r="M33" s="297"/>
      <c r="N33" s="297"/>
      <c r="O33" s="297"/>
      <c r="P33" s="297"/>
    </row>
    <row r="34" spans="1:16" ht="15" customHeight="1" x14ac:dyDescent="0.25">
      <c r="A34" s="297"/>
      <c r="B34" s="297"/>
      <c r="C34" s="297"/>
      <c r="D34" s="297"/>
      <c r="E34" s="297"/>
      <c r="F34" s="297"/>
      <c r="G34" s="297"/>
      <c r="H34" s="297"/>
      <c r="I34" s="297"/>
      <c r="J34" s="297"/>
      <c r="K34" s="297"/>
      <c r="L34" s="297"/>
      <c r="M34" s="297"/>
      <c r="N34" s="297"/>
      <c r="O34" s="297"/>
      <c r="P34" s="297"/>
    </row>
    <row r="35" spans="1:16" ht="26.25" x14ac:dyDescent="0.25">
      <c r="A35" s="298" t="s">
        <v>54</v>
      </c>
      <c r="B35" s="297"/>
      <c r="C35" s="297"/>
      <c r="D35" s="297"/>
      <c r="E35" s="297"/>
      <c r="F35" s="297"/>
      <c r="G35" s="297"/>
      <c r="H35" s="297"/>
      <c r="I35" s="297"/>
      <c r="J35" s="297"/>
      <c r="K35" s="297"/>
      <c r="L35" s="297"/>
      <c r="M35" s="297"/>
      <c r="N35" s="297"/>
      <c r="O35" s="297"/>
      <c r="P35" s="297"/>
    </row>
    <row r="36" spans="1:16" ht="15" customHeight="1" thickBot="1" x14ac:dyDescent="0.3">
      <c r="A36" s="297"/>
      <c r="B36" s="297"/>
      <c r="C36" s="297"/>
      <c r="D36" s="301" t="s">
        <v>55</v>
      </c>
      <c r="E36" s="302"/>
      <c r="F36" s="302"/>
      <c r="G36" s="302"/>
      <c r="H36" s="302"/>
      <c r="I36" s="302"/>
      <c r="J36" s="302"/>
      <c r="K36" s="302"/>
      <c r="L36" s="302"/>
      <c r="M36" s="302"/>
      <c r="N36" s="302"/>
      <c r="O36" s="302"/>
      <c r="P36" s="302"/>
    </row>
    <row r="37" spans="1:16" ht="42" customHeight="1" x14ac:dyDescent="0.25">
      <c r="A37" s="303"/>
      <c r="B37" s="304" t="s">
        <v>9</v>
      </c>
      <c r="C37" s="316"/>
      <c r="D37" s="317" t="s">
        <v>49</v>
      </c>
      <c r="E37" s="318" t="str">
        <f t="shared" ref="E37:P37" si="2">E5</f>
        <v>Devers Colorado River (DCR)</v>
      </c>
      <c r="F37" s="318" t="str">
        <f t="shared" si="2"/>
        <v>Tehachapi Segments 1 - 3A</v>
      </c>
      <c r="G37" s="318" t="str">
        <f t="shared" si="2"/>
        <v>Tehachapi Segments 3B &amp; 3C</v>
      </c>
      <c r="H37" s="318" t="str">
        <f t="shared" si="2"/>
        <v>Tehachapi Segments 4-11</v>
      </c>
      <c r="I37" s="318" t="str">
        <f t="shared" si="2"/>
        <v>Red Bluff Substation</v>
      </c>
      <c r="J37" s="318" t="str">
        <f t="shared" si="2"/>
        <v>Eldorado - Ivanpah</v>
      </c>
      <c r="K37" s="318" t="str">
        <f t="shared" si="2"/>
        <v>Lugo-Pisgah</v>
      </c>
      <c r="L37" s="318" t="str">
        <f t="shared" si="2"/>
        <v>South of Kramer</v>
      </c>
      <c r="M37" s="318" t="str">
        <f t="shared" si="2"/>
        <v>West of Devers</v>
      </c>
      <c r="N37" s="318" t="str">
        <f t="shared" si="2"/>
        <v>Colorado River Substation</v>
      </c>
      <c r="O37" s="318" t="str">
        <f t="shared" si="2"/>
        <v>Whirlwind Substation Expansion Project</v>
      </c>
      <c r="P37" s="318" t="str">
        <f t="shared" si="2"/>
        <v>Rancho Vista</v>
      </c>
    </row>
    <row r="38" spans="1:16" ht="15" customHeight="1" x14ac:dyDescent="0.25">
      <c r="A38" s="297" t="s">
        <v>51</v>
      </c>
      <c r="B38" s="308">
        <f t="shared" ref="B38:B62" si="3">B6</f>
        <v>41974</v>
      </c>
      <c r="C38" s="308" t="s">
        <v>33</v>
      </c>
      <c r="D38" s="312">
        <f>SUM(E38:P38)</f>
        <v>0</v>
      </c>
      <c r="E38" s="299">
        <f>SUMPRODUCT(('Inc CWIP &amp; Plant'!$A$12:$A$375=E$37)*
('Inc CWIP &amp; Plant'!$S$11:$AP$11=$B38)*
('Inc CWIP &amp; Plant'!$B$12:$B$375=$C38)*
('Inc CWIP &amp; Plant'!$S$12:$AP$375))</f>
        <v>0</v>
      </c>
      <c r="F38" s="299">
        <f>SUMPRODUCT(('Inc CWIP &amp; Plant'!$A$12:$A$375=F$37)*
('Inc CWIP &amp; Plant'!$S$11:$AP$11=$B38)*
('Inc CWIP &amp; Plant'!$B$12:$B$375=$C38)*
('Inc CWIP &amp; Plant'!$S$12:$AP$375))</f>
        <v>0</v>
      </c>
      <c r="G38" s="299">
        <f>SUMPRODUCT(('Inc CWIP &amp; Plant'!$A$12:$A$375=G$37)*
('Inc CWIP &amp; Plant'!$S$11:$AP$11=$B38)*
('Inc CWIP &amp; Plant'!$B$12:$B$375=$C38)*
('Inc CWIP &amp; Plant'!$S$12:$AP$375))</f>
        <v>0</v>
      </c>
      <c r="H38" s="299">
        <f>SUMPRODUCT(('Inc CWIP &amp; Plant'!$A$12:$A$375=H$37)*
('Inc CWIP &amp; Plant'!$S$11:$AP$11=$B38)*
('Inc CWIP &amp; Plant'!$B$12:$B$375=$C38)*
('Inc CWIP &amp; Plant'!$S$12:$AP$375))</f>
        <v>0</v>
      </c>
      <c r="I38" s="299">
        <f>SUMPRODUCT(('Inc CWIP &amp; Plant'!$A$12:$A$375=I$37)*
('Inc CWIP &amp; Plant'!$S$11:$AP$11=$B38)*
('Inc CWIP &amp; Plant'!$B$12:$B$375=$C38)*
('Inc CWIP &amp; Plant'!$S$12:$AP$375))</f>
        <v>0</v>
      </c>
      <c r="J38" s="299">
        <f>SUMPRODUCT(('Inc CWIP &amp; Plant'!$A$12:$A$375=J$37)*
('Inc CWIP &amp; Plant'!$S$11:$AP$11=$B38)*
('Inc CWIP &amp; Plant'!$B$12:$B$375=$C38)*
('Inc CWIP &amp; Plant'!$S$12:$AP$375))</f>
        <v>0</v>
      </c>
      <c r="K38" s="299">
        <f>SUMPRODUCT(('Inc CWIP &amp; Plant'!$A$12:$A$375=K$37)*
('Inc CWIP &amp; Plant'!$S$11:$AP$11=$B38)*
('Inc CWIP &amp; Plant'!$B$12:$B$375=$C38)*
('Inc CWIP &amp; Plant'!$S$12:$AP$375))</f>
        <v>0</v>
      </c>
      <c r="L38" s="299">
        <f>SUMPRODUCT(('Inc CWIP &amp; Plant'!$A$12:$A$375=L$37)*
('Inc CWIP &amp; Plant'!$S$11:$AP$11=$B38)*
('Inc CWIP &amp; Plant'!$B$12:$B$375=$C38)*
('Inc CWIP &amp; Plant'!$S$12:$AP$375))</f>
        <v>0</v>
      </c>
      <c r="M38" s="299">
        <f>SUMPRODUCT(('Inc CWIP &amp; Plant'!$A$12:$A$375=M$37)*
('Inc CWIP &amp; Plant'!$S$11:$AP$11=$B38)*
('Inc CWIP &amp; Plant'!$B$12:$B$375=$C38)*
('Inc CWIP &amp; Plant'!$S$12:$AP$375))</f>
        <v>0</v>
      </c>
      <c r="N38" s="299">
        <f>SUMPRODUCT(('Inc CWIP &amp; Plant'!$A$12:$A$375=N$37)*
('Inc CWIP &amp; Plant'!$S$11:$AP$11=$B38)*
('Inc CWIP &amp; Plant'!$B$12:$B$375=$C38)*
('Inc CWIP &amp; Plant'!$S$12:$AP$375))</f>
        <v>0</v>
      </c>
      <c r="O38" s="299">
        <f>SUMPRODUCT(('Inc CWIP &amp; Plant'!$A$12:$A$375=O$37)*
('Inc CWIP &amp; Plant'!$S$11:$AP$11=$B38)*
('Inc CWIP &amp; Plant'!$B$12:$B$375=$C38)*
('Inc CWIP &amp; Plant'!$S$12:$AP$375))</f>
        <v>0</v>
      </c>
      <c r="P38" s="299">
        <f>SUMPRODUCT(('Inc CWIP &amp; Plant'!$A$12:$A$375=P$37)*
('Inc CWIP &amp; Plant'!$S$11:$AP$11=$B38)*
('Inc CWIP &amp; Plant'!$B$12:$B$375=$C38)*
('Inc CWIP &amp; Plant'!$S$12:$AP$375))</f>
        <v>0</v>
      </c>
    </row>
    <row r="39" spans="1:16" ht="15" customHeight="1" x14ac:dyDescent="0.25">
      <c r="A39" s="297" t="s">
        <v>52</v>
      </c>
      <c r="B39" s="308">
        <f t="shared" si="3"/>
        <v>42005</v>
      </c>
      <c r="C39" s="308" t="s">
        <v>33</v>
      </c>
      <c r="D39" s="312">
        <f>SUM(E39:P39)</f>
        <v>23473.919840000002</v>
      </c>
      <c r="E39" s="299">
        <f>SUMPRODUCT(('Inc CWIP &amp; Plant'!$A$12:$A$375=E$37)*
('Inc CWIP &amp; Plant'!$S$11:$AP$11=$B39)*
('Inc CWIP &amp; Plant'!$B$12:$B$375=$C39)*
('Inc CWIP &amp; Plant'!$S$12:$AP$375))</f>
        <v>200.25457999999998</v>
      </c>
      <c r="F39" s="299">
        <f>SUMPRODUCT(('Inc CWIP &amp; Plant'!$A$12:$A$375=F$37)*
('Inc CWIP &amp; Plant'!$S$11:$AP$11=$B39)*
('Inc CWIP &amp; Plant'!$B$12:$B$375=$C39)*
('Inc CWIP &amp; Plant'!$S$12:$AP$375))</f>
        <v>0</v>
      </c>
      <c r="G39" s="299">
        <f>SUMPRODUCT(('Inc CWIP &amp; Plant'!$A$12:$A$375=G$37)*
('Inc CWIP &amp; Plant'!$S$11:$AP$11=$B39)*
('Inc CWIP &amp; Plant'!$B$12:$B$375=$C39)*
('Inc CWIP &amp; Plant'!$S$12:$AP$375))</f>
        <v>47.798349999999999</v>
      </c>
      <c r="H39" s="299">
        <f>SUMPRODUCT(('Inc CWIP &amp; Plant'!$A$12:$A$375=H$37)*
('Inc CWIP &amp; Plant'!$S$11:$AP$11=$B39)*
('Inc CWIP &amp; Plant'!$B$12:$B$375=$C39)*
('Inc CWIP &amp; Plant'!$S$12:$AP$375))</f>
        <v>23224.348170000001</v>
      </c>
      <c r="I39" s="299">
        <f>SUMPRODUCT(('Inc CWIP &amp; Plant'!$A$12:$A$375=I$37)*
('Inc CWIP &amp; Plant'!$S$11:$AP$11=$B39)*
('Inc CWIP &amp; Plant'!$B$12:$B$375=$C39)*
('Inc CWIP &amp; Plant'!$S$12:$AP$375))</f>
        <v>41.490830000000003</v>
      </c>
      <c r="J39" s="299">
        <f>SUMPRODUCT(('Inc CWIP &amp; Plant'!$A$12:$A$375=J$37)*
('Inc CWIP &amp; Plant'!$S$11:$AP$11=$B39)*
('Inc CWIP &amp; Plant'!$B$12:$B$375=$C39)*
('Inc CWIP &amp; Plant'!$S$12:$AP$375))</f>
        <v>-44.976069999999993</v>
      </c>
      <c r="K39" s="299">
        <f>SUMPRODUCT(('Inc CWIP &amp; Plant'!$A$12:$A$375=K$37)*
('Inc CWIP &amp; Plant'!$S$11:$AP$11=$B39)*
('Inc CWIP &amp; Plant'!$B$12:$B$375=$C39)*
('Inc CWIP &amp; Plant'!$S$12:$AP$375))</f>
        <v>0</v>
      </c>
      <c r="L39" s="299">
        <f>SUMPRODUCT(('Inc CWIP &amp; Plant'!$A$12:$A$375=L$37)*
('Inc CWIP &amp; Plant'!$S$11:$AP$11=$B39)*
('Inc CWIP &amp; Plant'!$B$12:$B$375=$C39)*
('Inc CWIP &amp; Plant'!$S$12:$AP$375))</f>
        <v>0</v>
      </c>
      <c r="M39" s="299">
        <f>SUMPRODUCT(('Inc CWIP &amp; Plant'!$A$12:$A$375=M$37)*
('Inc CWIP &amp; Plant'!$S$11:$AP$11=$B39)*
('Inc CWIP &amp; Plant'!$B$12:$B$375=$C39)*
('Inc CWIP &amp; Plant'!$S$12:$AP$375))</f>
        <v>0</v>
      </c>
      <c r="N39" s="299">
        <f>SUMPRODUCT(('Inc CWIP &amp; Plant'!$A$12:$A$375=N$37)*
('Inc CWIP &amp; Plant'!$S$11:$AP$11=$B39)*
('Inc CWIP &amp; Plant'!$B$12:$B$375=$C39)*
('Inc CWIP &amp; Plant'!$S$12:$AP$375))</f>
        <v>1.0511400000000002</v>
      </c>
      <c r="O39" s="299">
        <f>SUMPRODUCT(('Inc CWIP &amp; Plant'!$A$12:$A$375=O$37)*
('Inc CWIP &amp; Plant'!$S$11:$AP$11=$B39)*
('Inc CWIP &amp; Plant'!$B$12:$B$375=$C39)*
('Inc CWIP &amp; Plant'!$S$12:$AP$375))</f>
        <v>3.9528399999999997</v>
      </c>
      <c r="P39" s="299">
        <f>SUMPRODUCT(('Inc CWIP &amp; Plant'!$A$12:$A$375=P$37)*
('Inc CWIP &amp; Plant'!$S$11:$AP$11=$B39)*
('Inc CWIP &amp; Plant'!$B$12:$B$375=$C39)*
('Inc CWIP &amp; Plant'!$S$12:$AP$375))</f>
        <v>0</v>
      </c>
    </row>
    <row r="40" spans="1:16" ht="15" customHeight="1" x14ac:dyDescent="0.25">
      <c r="A40" s="297"/>
      <c r="B40" s="308">
        <f t="shared" si="3"/>
        <v>42036</v>
      </c>
      <c r="C40" s="308" t="s">
        <v>33</v>
      </c>
      <c r="D40" s="312">
        <f t="shared" ref="D40:D61" si="4">SUM(E40:P40)</f>
        <v>-6147.5398299999988</v>
      </c>
      <c r="E40" s="299">
        <f>SUMPRODUCT(('Inc CWIP &amp; Plant'!$A$12:$A$375=E$37)*
('Inc CWIP &amp; Plant'!$S$11:$AP$11=$B40)*
('Inc CWIP &amp; Plant'!$B$12:$B$375=$C40)*
('Inc CWIP &amp; Plant'!$S$12:$AP$375))</f>
        <v>220.19018</v>
      </c>
      <c r="F40" s="299">
        <f>SUMPRODUCT(('Inc CWIP &amp; Plant'!$A$12:$A$375=F$37)*
('Inc CWIP &amp; Plant'!$S$11:$AP$11=$B40)*
('Inc CWIP &amp; Plant'!$B$12:$B$375=$C40)*
('Inc CWIP &amp; Plant'!$S$12:$AP$375))</f>
        <v>0</v>
      </c>
      <c r="G40" s="299">
        <f>SUMPRODUCT(('Inc CWIP &amp; Plant'!$A$12:$A$375=G$37)*
('Inc CWIP &amp; Plant'!$S$11:$AP$11=$B40)*
('Inc CWIP &amp; Plant'!$B$12:$B$375=$C40)*
('Inc CWIP &amp; Plant'!$S$12:$AP$375))</f>
        <v>98.738749999999996</v>
      </c>
      <c r="H40" s="299">
        <f>SUMPRODUCT(('Inc CWIP &amp; Plant'!$A$12:$A$375=H$37)*
('Inc CWIP &amp; Plant'!$S$11:$AP$11=$B40)*
('Inc CWIP &amp; Plant'!$B$12:$B$375=$C40)*
('Inc CWIP &amp; Plant'!$S$12:$AP$375))</f>
        <v>-6548.1808499999988</v>
      </c>
      <c r="I40" s="299">
        <f>SUMPRODUCT(('Inc CWIP &amp; Plant'!$A$12:$A$375=I$37)*
('Inc CWIP &amp; Plant'!$S$11:$AP$11=$B40)*
('Inc CWIP &amp; Plant'!$B$12:$B$375=$C40)*
('Inc CWIP &amp; Plant'!$S$12:$AP$375))</f>
        <v>45.378680000000003</v>
      </c>
      <c r="J40" s="299">
        <f>SUMPRODUCT(('Inc CWIP &amp; Plant'!$A$12:$A$375=J$37)*
('Inc CWIP &amp; Plant'!$S$11:$AP$11=$B40)*
('Inc CWIP &amp; Plant'!$B$12:$B$375=$C40)*
('Inc CWIP &amp; Plant'!$S$12:$AP$375))</f>
        <v>1.9637399999999998</v>
      </c>
      <c r="K40" s="299">
        <f>SUMPRODUCT(('Inc CWIP &amp; Plant'!$A$12:$A$375=K$37)*
('Inc CWIP &amp; Plant'!$S$11:$AP$11=$B40)*
('Inc CWIP &amp; Plant'!$B$12:$B$375=$C40)*
('Inc CWIP &amp; Plant'!$S$12:$AP$375))</f>
        <v>0</v>
      </c>
      <c r="L40" s="299">
        <f>SUMPRODUCT(('Inc CWIP &amp; Plant'!$A$12:$A$375=L$37)*
('Inc CWIP &amp; Plant'!$S$11:$AP$11=$B40)*
('Inc CWIP &amp; Plant'!$B$12:$B$375=$C40)*
('Inc CWIP &amp; Plant'!$S$12:$AP$375))</f>
        <v>0</v>
      </c>
      <c r="M40" s="299">
        <f>SUMPRODUCT(('Inc CWIP &amp; Plant'!$A$12:$A$375=M$37)*
('Inc CWIP &amp; Plant'!$S$11:$AP$11=$B40)*
('Inc CWIP &amp; Plant'!$B$12:$B$375=$C40)*
('Inc CWIP &amp; Plant'!$S$12:$AP$375))</f>
        <v>0</v>
      </c>
      <c r="N40" s="299">
        <f>SUMPRODUCT(('Inc CWIP &amp; Plant'!$A$12:$A$375=N$37)*
('Inc CWIP &amp; Plant'!$S$11:$AP$11=$B40)*
('Inc CWIP &amp; Plant'!$B$12:$B$375=$C40)*
('Inc CWIP &amp; Plant'!$S$12:$AP$375))</f>
        <v>0</v>
      </c>
      <c r="O40" s="299">
        <f>SUMPRODUCT(('Inc CWIP &amp; Plant'!$A$12:$A$375=O$37)*
('Inc CWIP &amp; Plant'!$S$11:$AP$11=$B40)*
('Inc CWIP &amp; Plant'!$B$12:$B$375=$C40)*
('Inc CWIP &amp; Plant'!$S$12:$AP$375))</f>
        <v>34.369669999999999</v>
      </c>
      <c r="P40" s="299">
        <f>SUMPRODUCT(('Inc CWIP &amp; Plant'!$A$12:$A$375=P$37)*
('Inc CWIP &amp; Plant'!$S$11:$AP$11=$B40)*
('Inc CWIP &amp; Plant'!$B$12:$B$375=$C40)*
('Inc CWIP &amp; Plant'!$S$12:$AP$375))</f>
        <v>0</v>
      </c>
    </row>
    <row r="41" spans="1:16" ht="15" customHeight="1" x14ac:dyDescent="0.25">
      <c r="A41" s="297"/>
      <c r="B41" s="308">
        <f t="shared" si="3"/>
        <v>42064</v>
      </c>
      <c r="C41" s="308" t="s">
        <v>33</v>
      </c>
      <c r="D41" s="312">
        <f t="shared" si="4"/>
        <v>1323.7822000000003</v>
      </c>
      <c r="E41" s="299">
        <f>SUMPRODUCT(('Inc CWIP &amp; Plant'!$A$12:$A$375=E$37)*
('Inc CWIP &amp; Plant'!$S$11:$AP$11=$B41)*
('Inc CWIP &amp; Plant'!$B$12:$B$375=$C41)*
('Inc CWIP &amp; Plant'!$S$12:$AP$375))</f>
        <v>-60.182389999999948</v>
      </c>
      <c r="F41" s="299">
        <f>SUMPRODUCT(('Inc CWIP &amp; Plant'!$A$12:$A$375=F$37)*
('Inc CWIP &amp; Plant'!$S$11:$AP$11=$B41)*
('Inc CWIP &amp; Plant'!$B$12:$B$375=$C41)*
('Inc CWIP &amp; Plant'!$S$12:$AP$375))</f>
        <v>0</v>
      </c>
      <c r="G41" s="299">
        <f>SUMPRODUCT(('Inc CWIP &amp; Plant'!$A$12:$A$375=G$37)*
('Inc CWIP &amp; Plant'!$S$11:$AP$11=$B41)*
('Inc CWIP &amp; Plant'!$B$12:$B$375=$C41)*
('Inc CWIP &amp; Plant'!$S$12:$AP$375))</f>
        <v>17.180730000000001</v>
      </c>
      <c r="H41" s="299">
        <f>SUMPRODUCT(('Inc CWIP &amp; Plant'!$A$12:$A$375=H$37)*
('Inc CWIP &amp; Plant'!$S$11:$AP$11=$B41)*
('Inc CWIP &amp; Plant'!$B$12:$B$375=$C41)*
('Inc CWIP &amp; Plant'!$S$12:$AP$375))</f>
        <v>1082.2876800000004</v>
      </c>
      <c r="I41" s="299">
        <f>SUMPRODUCT(('Inc CWIP &amp; Plant'!$A$12:$A$375=I$37)*
('Inc CWIP &amp; Plant'!$S$11:$AP$11=$B41)*
('Inc CWIP &amp; Plant'!$B$12:$B$375=$C41)*
('Inc CWIP &amp; Plant'!$S$12:$AP$375))</f>
        <v>70.005260000000007</v>
      </c>
      <c r="J41" s="299">
        <f>SUMPRODUCT(('Inc CWIP &amp; Plant'!$A$12:$A$375=J$37)*
('Inc CWIP &amp; Plant'!$S$11:$AP$11=$B41)*
('Inc CWIP &amp; Plant'!$B$12:$B$375=$C41)*
('Inc CWIP &amp; Plant'!$S$12:$AP$375))</f>
        <v>164.39805999999999</v>
      </c>
      <c r="K41" s="299">
        <f>SUMPRODUCT(('Inc CWIP &amp; Plant'!$A$12:$A$375=K$37)*
('Inc CWIP &amp; Plant'!$S$11:$AP$11=$B41)*
('Inc CWIP &amp; Plant'!$B$12:$B$375=$C41)*
('Inc CWIP &amp; Plant'!$S$12:$AP$375))</f>
        <v>0</v>
      </c>
      <c r="L41" s="299">
        <f>SUMPRODUCT(('Inc CWIP &amp; Plant'!$A$12:$A$375=L$37)*
('Inc CWIP &amp; Plant'!$S$11:$AP$11=$B41)*
('Inc CWIP &amp; Plant'!$B$12:$B$375=$C41)*
('Inc CWIP &amp; Plant'!$S$12:$AP$375))</f>
        <v>0</v>
      </c>
      <c r="M41" s="299">
        <f>SUMPRODUCT(('Inc CWIP &amp; Plant'!$A$12:$A$375=M$37)*
('Inc CWIP &amp; Plant'!$S$11:$AP$11=$B41)*
('Inc CWIP &amp; Plant'!$B$12:$B$375=$C41)*
('Inc CWIP &amp; Plant'!$S$12:$AP$375))</f>
        <v>0</v>
      </c>
      <c r="N41" s="299">
        <f>SUMPRODUCT(('Inc CWIP &amp; Plant'!$A$12:$A$375=N$37)*
('Inc CWIP &amp; Plant'!$S$11:$AP$11=$B41)*
('Inc CWIP &amp; Plant'!$B$12:$B$375=$C41)*
('Inc CWIP &amp; Plant'!$S$12:$AP$375))</f>
        <v>40.222019999999993</v>
      </c>
      <c r="O41" s="299">
        <f>SUMPRODUCT(('Inc CWIP &amp; Plant'!$A$12:$A$375=O$37)*
('Inc CWIP &amp; Plant'!$S$11:$AP$11=$B41)*
('Inc CWIP &amp; Plant'!$B$12:$B$375=$C41)*
('Inc CWIP &amp; Plant'!$S$12:$AP$375))</f>
        <v>9.8708400000000012</v>
      </c>
      <c r="P41" s="299">
        <f>SUMPRODUCT(('Inc CWIP &amp; Plant'!$A$12:$A$375=P$37)*
('Inc CWIP &amp; Plant'!$S$11:$AP$11=$B41)*
('Inc CWIP &amp; Plant'!$B$12:$B$375=$C41)*
('Inc CWIP &amp; Plant'!$S$12:$AP$375))</f>
        <v>0</v>
      </c>
    </row>
    <row r="42" spans="1:16" ht="15" customHeight="1" x14ac:dyDescent="0.25">
      <c r="A42" s="297"/>
      <c r="B42" s="308">
        <f t="shared" si="3"/>
        <v>42095</v>
      </c>
      <c r="C42" s="308" t="s">
        <v>33</v>
      </c>
      <c r="D42" s="312">
        <f t="shared" si="4"/>
        <v>3194.9824863999993</v>
      </c>
      <c r="E42" s="299">
        <f>SUMPRODUCT(('Inc CWIP &amp; Plant'!$A$12:$A$375=E$37)*
('Inc CWIP &amp; Plant'!$S$11:$AP$11=$B42)*
('Inc CWIP &amp; Plant'!$B$12:$B$375=$C42)*
('Inc CWIP &amp; Plant'!$S$12:$AP$375))</f>
        <v>504.40543000000002</v>
      </c>
      <c r="F42" s="299">
        <f>SUMPRODUCT(('Inc CWIP &amp; Plant'!$A$12:$A$375=F$37)*
('Inc CWIP &amp; Plant'!$S$11:$AP$11=$B42)*
('Inc CWIP &amp; Plant'!$B$12:$B$375=$C42)*
('Inc CWIP &amp; Plant'!$S$12:$AP$375))</f>
        <v>0</v>
      </c>
      <c r="G42" s="299">
        <f>SUMPRODUCT(('Inc CWIP &amp; Plant'!$A$12:$A$375=G$37)*
('Inc CWIP &amp; Plant'!$S$11:$AP$11=$B42)*
('Inc CWIP &amp; Plant'!$B$12:$B$375=$C42)*
('Inc CWIP &amp; Plant'!$S$12:$AP$375))</f>
        <v>55.203300000000006</v>
      </c>
      <c r="H42" s="299">
        <f>SUMPRODUCT(('Inc CWIP &amp; Plant'!$A$12:$A$375=H$37)*
('Inc CWIP &amp; Plant'!$S$11:$AP$11=$B42)*
('Inc CWIP &amp; Plant'!$B$12:$B$375=$C42)*
('Inc CWIP &amp; Plant'!$S$12:$AP$375))</f>
        <v>2543.3737563999994</v>
      </c>
      <c r="I42" s="299">
        <f>SUMPRODUCT(('Inc CWIP &amp; Plant'!$A$12:$A$375=I$37)*
('Inc CWIP &amp; Plant'!$S$11:$AP$11=$B42)*
('Inc CWIP &amp; Plant'!$B$12:$B$375=$C42)*
('Inc CWIP &amp; Plant'!$S$12:$AP$375))</f>
        <v>65</v>
      </c>
      <c r="J42" s="299">
        <f>SUMPRODUCT(('Inc CWIP &amp; Plant'!$A$12:$A$375=J$37)*
('Inc CWIP &amp; Plant'!$S$11:$AP$11=$B42)*
('Inc CWIP &amp; Plant'!$B$12:$B$375=$C42)*
('Inc CWIP &amp; Plant'!$S$12:$AP$375))</f>
        <v>0</v>
      </c>
      <c r="K42" s="299">
        <f>SUMPRODUCT(('Inc CWIP &amp; Plant'!$A$12:$A$375=K$37)*
('Inc CWIP &amp; Plant'!$S$11:$AP$11=$B42)*
('Inc CWIP &amp; Plant'!$B$12:$B$375=$C42)*
('Inc CWIP &amp; Plant'!$S$12:$AP$375))</f>
        <v>0</v>
      </c>
      <c r="L42" s="299">
        <f>SUMPRODUCT(('Inc CWIP &amp; Plant'!$A$12:$A$375=L$37)*
('Inc CWIP &amp; Plant'!$S$11:$AP$11=$B42)*
('Inc CWIP &amp; Plant'!$B$12:$B$375=$C42)*
('Inc CWIP &amp; Plant'!$S$12:$AP$375))</f>
        <v>0</v>
      </c>
      <c r="M42" s="299">
        <f>SUMPRODUCT(('Inc CWIP &amp; Plant'!$A$12:$A$375=M$37)*
('Inc CWIP &amp; Plant'!$S$11:$AP$11=$B42)*
('Inc CWIP &amp; Plant'!$B$12:$B$375=$C42)*
('Inc CWIP &amp; Plant'!$S$12:$AP$375))</f>
        <v>0</v>
      </c>
      <c r="N42" s="299">
        <f>SUMPRODUCT(('Inc CWIP &amp; Plant'!$A$12:$A$375=N$37)*
('Inc CWIP &amp; Plant'!$S$11:$AP$11=$B42)*
('Inc CWIP &amp; Plant'!$B$12:$B$375=$C42)*
('Inc CWIP &amp; Plant'!$S$12:$AP$375))</f>
        <v>20</v>
      </c>
      <c r="O42" s="299">
        <f>SUMPRODUCT(('Inc CWIP &amp; Plant'!$A$12:$A$375=O$37)*
('Inc CWIP &amp; Plant'!$S$11:$AP$11=$B42)*
('Inc CWIP &amp; Plant'!$B$12:$B$375=$C42)*
('Inc CWIP &amp; Plant'!$S$12:$AP$375))</f>
        <v>7</v>
      </c>
      <c r="P42" s="299">
        <f>SUMPRODUCT(('Inc CWIP &amp; Plant'!$A$12:$A$375=P$37)*
('Inc CWIP &amp; Plant'!$S$11:$AP$11=$B42)*
('Inc CWIP &amp; Plant'!$B$12:$B$375=$C42)*
('Inc CWIP &amp; Plant'!$S$12:$AP$375))</f>
        <v>0</v>
      </c>
    </row>
    <row r="43" spans="1:16" ht="15" customHeight="1" x14ac:dyDescent="0.25">
      <c r="A43" s="297"/>
      <c r="B43" s="308">
        <f t="shared" si="3"/>
        <v>42125</v>
      </c>
      <c r="C43" s="308" t="s">
        <v>33</v>
      </c>
      <c r="D43" s="312">
        <f t="shared" si="4"/>
        <v>642363.20083989983</v>
      </c>
      <c r="E43" s="299">
        <f>SUMPRODUCT(('Inc CWIP &amp; Plant'!$A$12:$A$375=E$37)*
('Inc CWIP &amp; Plant'!$S$11:$AP$11=$B43)*
('Inc CWIP &amp; Plant'!$B$12:$B$375=$C43)*
('Inc CWIP &amp; Plant'!$S$12:$AP$375))</f>
        <v>503.03834749999999</v>
      </c>
      <c r="F43" s="299">
        <f>SUMPRODUCT(('Inc CWIP &amp; Plant'!$A$12:$A$375=F$37)*
('Inc CWIP &amp; Plant'!$S$11:$AP$11=$B43)*
('Inc CWIP &amp; Plant'!$B$12:$B$375=$C43)*
('Inc CWIP &amp; Plant'!$S$12:$AP$375))</f>
        <v>0</v>
      </c>
      <c r="G43" s="299">
        <f>SUMPRODUCT(('Inc CWIP &amp; Plant'!$A$12:$A$375=G$37)*
('Inc CWIP &amp; Plant'!$S$11:$AP$11=$B43)*
('Inc CWIP &amp; Plant'!$B$12:$B$375=$C43)*
('Inc CWIP &amp; Plant'!$S$12:$AP$375))</f>
        <v>55.204400000000007</v>
      </c>
      <c r="H43" s="299">
        <f>SUMPRODUCT(('Inc CWIP &amp; Plant'!$A$12:$A$375=H$37)*
('Inc CWIP &amp; Plant'!$S$11:$AP$11=$B43)*
('Inc CWIP &amp; Plant'!$B$12:$B$375=$C43)*
('Inc CWIP &amp; Plant'!$S$12:$AP$375))</f>
        <v>639419.75590239989</v>
      </c>
      <c r="I43" s="299">
        <f>SUMPRODUCT(('Inc CWIP &amp; Plant'!$A$12:$A$375=I$37)*
('Inc CWIP &amp; Plant'!$S$11:$AP$11=$B43)*
('Inc CWIP &amp; Plant'!$B$12:$B$375=$C43)*
('Inc CWIP &amp; Plant'!$S$12:$AP$375))</f>
        <v>65</v>
      </c>
      <c r="J43" s="299">
        <f>SUMPRODUCT(('Inc CWIP &amp; Plant'!$A$12:$A$375=J$37)*
('Inc CWIP &amp; Plant'!$S$11:$AP$11=$B43)*
('Inc CWIP &amp; Plant'!$B$12:$B$375=$C43)*
('Inc CWIP &amp; Plant'!$S$12:$AP$375))</f>
        <v>0</v>
      </c>
      <c r="K43" s="299">
        <f>SUMPRODUCT(('Inc CWIP &amp; Plant'!$A$12:$A$375=K$37)*
('Inc CWIP &amp; Plant'!$S$11:$AP$11=$B43)*
('Inc CWIP &amp; Plant'!$B$12:$B$375=$C43)*
('Inc CWIP &amp; Plant'!$S$12:$AP$375))</f>
        <v>0</v>
      </c>
      <c r="L43" s="299">
        <f>SUMPRODUCT(('Inc CWIP &amp; Plant'!$A$12:$A$375=L$37)*
('Inc CWIP &amp; Plant'!$S$11:$AP$11=$B43)*
('Inc CWIP &amp; Plant'!$B$12:$B$375=$C43)*
('Inc CWIP &amp; Plant'!$S$12:$AP$375))</f>
        <v>0</v>
      </c>
      <c r="M43" s="299">
        <f>SUMPRODUCT(('Inc CWIP &amp; Plant'!$A$12:$A$375=M$37)*
('Inc CWIP &amp; Plant'!$S$11:$AP$11=$B43)*
('Inc CWIP &amp; Plant'!$B$12:$B$375=$C43)*
('Inc CWIP &amp; Plant'!$S$12:$AP$375))</f>
        <v>0</v>
      </c>
      <c r="N43" s="299">
        <f>SUMPRODUCT(('Inc CWIP &amp; Plant'!$A$12:$A$375=N$37)*
('Inc CWIP &amp; Plant'!$S$11:$AP$11=$B43)*
('Inc CWIP &amp; Plant'!$B$12:$B$375=$C43)*
('Inc CWIP &amp; Plant'!$S$12:$AP$375))</f>
        <v>2315.20219</v>
      </c>
      <c r="O43" s="299">
        <f>SUMPRODUCT(('Inc CWIP &amp; Plant'!$A$12:$A$375=O$37)*
('Inc CWIP &amp; Plant'!$S$11:$AP$11=$B43)*
('Inc CWIP &amp; Plant'!$B$12:$B$375=$C43)*
('Inc CWIP &amp; Plant'!$S$12:$AP$375))</f>
        <v>5</v>
      </c>
      <c r="P43" s="299">
        <f>SUMPRODUCT(('Inc CWIP &amp; Plant'!$A$12:$A$375=P$37)*
('Inc CWIP &amp; Plant'!$S$11:$AP$11=$B43)*
('Inc CWIP &amp; Plant'!$B$12:$B$375=$C43)*
('Inc CWIP &amp; Plant'!$S$12:$AP$375))</f>
        <v>0</v>
      </c>
    </row>
    <row r="44" spans="1:16" ht="15" customHeight="1" x14ac:dyDescent="0.25">
      <c r="A44" s="297"/>
      <c r="B44" s="308">
        <f t="shared" si="3"/>
        <v>42156</v>
      </c>
      <c r="C44" s="308" t="s">
        <v>33</v>
      </c>
      <c r="D44" s="312">
        <f t="shared" si="4"/>
        <v>46762.111262300015</v>
      </c>
      <c r="E44" s="299">
        <f>SUMPRODUCT(('Inc CWIP &amp; Plant'!$A$12:$A$375=E$37)*
('Inc CWIP &amp; Plant'!$S$11:$AP$11=$B44)*
('Inc CWIP &amp; Plant'!$B$12:$B$375=$C44)*
('Inc CWIP &amp; Plant'!$S$12:$AP$375))</f>
        <v>262.90105750000163</v>
      </c>
      <c r="F44" s="299">
        <f>SUMPRODUCT(('Inc CWIP &amp; Plant'!$A$12:$A$375=F$37)*
('Inc CWIP &amp; Plant'!$S$11:$AP$11=$B44)*
('Inc CWIP &amp; Plant'!$B$12:$B$375=$C44)*
('Inc CWIP &amp; Plant'!$S$12:$AP$375))</f>
        <v>0</v>
      </c>
      <c r="G44" s="299">
        <f>SUMPRODUCT(('Inc CWIP &amp; Plant'!$A$12:$A$375=G$37)*
('Inc CWIP &amp; Plant'!$S$11:$AP$11=$B44)*
('Inc CWIP &amp; Plant'!$B$12:$B$375=$C44)*
('Inc CWIP &amp; Plant'!$S$12:$AP$375))</f>
        <v>88.205500000000001</v>
      </c>
      <c r="H44" s="299">
        <f>SUMPRODUCT(('Inc CWIP &amp; Plant'!$A$12:$A$375=H$37)*
('Inc CWIP &amp; Plant'!$S$11:$AP$11=$B44)*
('Inc CWIP &amp; Plant'!$B$12:$B$375=$C44)*
('Inc CWIP &amp; Plant'!$S$12:$AP$375))</f>
        <v>46071.004704800012</v>
      </c>
      <c r="I44" s="299">
        <f>SUMPRODUCT(('Inc CWIP &amp; Plant'!$A$12:$A$375=I$37)*
('Inc CWIP &amp; Plant'!$S$11:$AP$11=$B44)*
('Inc CWIP &amp; Plant'!$B$12:$B$375=$C44)*
('Inc CWIP &amp; Plant'!$S$12:$AP$375))</f>
        <v>65</v>
      </c>
      <c r="J44" s="299">
        <f>SUMPRODUCT(('Inc CWIP &amp; Plant'!$A$12:$A$375=J$37)*
('Inc CWIP &amp; Plant'!$S$11:$AP$11=$B44)*
('Inc CWIP &amp; Plant'!$B$12:$B$375=$C44)*
('Inc CWIP &amp; Plant'!$S$12:$AP$375))</f>
        <v>0</v>
      </c>
      <c r="K44" s="299">
        <f>SUMPRODUCT(('Inc CWIP &amp; Plant'!$A$12:$A$375=K$37)*
('Inc CWIP &amp; Plant'!$S$11:$AP$11=$B44)*
('Inc CWIP &amp; Plant'!$B$12:$B$375=$C44)*
('Inc CWIP &amp; Plant'!$S$12:$AP$375))</f>
        <v>0</v>
      </c>
      <c r="L44" s="299">
        <f>SUMPRODUCT(('Inc CWIP &amp; Plant'!$A$12:$A$375=L$37)*
('Inc CWIP &amp; Plant'!$S$11:$AP$11=$B44)*
('Inc CWIP &amp; Plant'!$B$12:$B$375=$C44)*
('Inc CWIP &amp; Plant'!$S$12:$AP$375))</f>
        <v>0</v>
      </c>
      <c r="M44" s="299">
        <f>SUMPRODUCT(('Inc CWIP &amp; Plant'!$A$12:$A$375=M$37)*
('Inc CWIP &amp; Plant'!$S$11:$AP$11=$B44)*
('Inc CWIP &amp; Plant'!$B$12:$B$375=$C44)*
('Inc CWIP &amp; Plant'!$S$12:$AP$375))</f>
        <v>0</v>
      </c>
      <c r="N44" s="299">
        <f>SUMPRODUCT(('Inc CWIP &amp; Plant'!$A$12:$A$375=N$37)*
('Inc CWIP &amp; Plant'!$S$11:$AP$11=$B44)*
('Inc CWIP &amp; Plant'!$B$12:$B$375=$C44)*
('Inc CWIP &amp; Plant'!$S$12:$AP$375))</f>
        <v>275</v>
      </c>
      <c r="O44" s="299">
        <f>SUMPRODUCT(('Inc CWIP &amp; Plant'!$A$12:$A$375=O$37)*
('Inc CWIP &amp; Plant'!$S$11:$AP$11=$B44)*
('Inc CWIP &amp; Plant'!$B$12:$B$375=$C44)*
('Inc CWIP &amp; Plant'!$S$12:$AP$375))</f>
        <v>0</v>
      </c>
      <c r="P44" s="299">
        <f>SUMPRODUCT(('Inc CWIP &amp; Plant'!$A$12:$A$375=P$37)*
('Inc CWIP &amp; Plant'!$S$11:$AP$11=$B44)*
('Inc CWIP &amp; Plant'!$B$12:$B$375=$C44)*
('Inc CWIP &amp; Plant'!$S$12:$AP$375))</f>
        <v>0</v>
      </c>
    </row>
    <row r="45" spans="1:16" ht="15" customHeight="1" x14ac:dyDescent="0.25">
      <c r="A45" s="297"/>
      <c r="B45" s="308">
        <f t="shared" si="3"/>
        <v>42186</v>
      </c>
      <c r="C45" s="308" t="s">
        <v>33</v>
      </c>
      <c r="D45" s="312">
        <f t="shared" si="4"/>
        <v>4896.6059243</v>
      </c>
      <c r="E45" s="299">
        <f>SUMPRODUCT(('Inc CWIP &amp; Plant'!$A$12:$A$375=E$37)*
('Inc CWIP &amp; Plant'!$S$11:$AP$11=$B45)*
('Inc CWIP &amp; Plant'!$B$12:$B$375=$C45)*
('Inc CWIP &amp; Plant'!$S$12:$AP$375))</f>
        <v>215.03834749999999</v>
      </c>
      <c r="F45" s="299">
        <f>SUMPRODUCT(('Inc CWIP &amp; Plant'!$A$12:$A$375=F$37)*
('Inc CWIP &amp; Plant'!$S$11:$AP$11=$B45)*
('Inc CWIP &amp; Plant'!$B$12:$B$375=$C45)*
('Inc CWIP &amp; Plant'!$S$12:$AP$375))</f>
        <v>0</v>
      </c>
      <c r="G45" s="299">
        <f>SUMPRODUCT(('Inc CWIP &amp; Plant'!$A$12:$A$375=G$37)*
('Inc CWIP &amp; Plant'!$S$11:$AP$11=$B45)*
('Inc CWIP &amp; Plant'!$B$12:$B$375=$C45)*
('Inc CWIP &amp; Plant'!$S$12:$AP$375))</f>
        <v>88.065600000000003</v>
      </c>
      <c r="H45" s="299">
        <f>SUMPRODUCT(('Inc CWIP &amp; Plant'!$A$12:$A$375=H$37)*
('Inc CWIP &amp; Plant'!$S$11:$AP$11=$B45)*
('Inc CWIP &amp; Plant'!$B$12:$B$375=$C45)*
('Inc CWIP &amp; Plant'!$S$12:$AP$375))</f>
        <v>4428.5019768000002</v>
      </c>
      <c r="I45" s="299">
        <f>SUMPRODUCT(('Inc CWIP &amp; Plant'!$A$12:$A$375=I$37)*
('Inc CWIP &amp; Plant'!$S$11:$AP$11=$B45)*
('Inc CWIP &amp; Plant'!$B$12:$B$375=$C45)*
('Inc CWIP &amp; Plant'!$S$12:$AP$375))</f>
        <v>65</v>
      </c>
      <c r="J45" s="299">
        <f>SUMPRODUCT(('Inc CWIP &amp; Plant'!$A$12:$A$375=J$37)*
('Inc CWIP &amp; Plant'!$S$11:$AP$11=$B45)*
('Inc CWIP &amp; Plant'!$B$12:$B$375=$C45)*
('Inc CWIP &amp; Plant'!$S$12:$AP$375))</f>
        <v>0</v>
      </c>
      <c r="K45" s="299">
        <f>SUMPRODUCT(('Inc CWIP &amp; Plant'!$A$12:$A$375=K$37)*
('Inc CWIP &amp; Plant'!$S$11:$AP$11=$B45)*
('Inc CWIP &amp; Plant'!$B$12:$B$375=$C45)*
('Inc CWIP &amp; Plant'!$S$12:$AP$375))</f>
        <v>0</v>
      </c>
      <c r="L45" s="299">
        <f>SUMPRODUCT(('Inc CWIP &amp; Plant'!$A$12:$A$375=L$37)*
('Inc CWIP &amp; Plant'!$S$11:$AP$11=$B45)*
('Inc CWIP &amp; Plant'!$B$12:$B$375=$C45)*
('Inc CWIP &amp; Plant'!$S$12:$AP$375))</f>
        <v>0</v>
      </c>
      <c r="M45" s="299">
        <f>SUMPRODUCT(('Inc CWIP &amp; Plant'!$A$12:$A$375=M$37)*
('Inc CWIP &amp; Plant'!$S$11:$AP$11=$B45)*
('Inc CWIP &amp; Plant'!$B$12:$B$375=$C45)*
('Inc CWIP &amp; Plant'!$S$12:$AP$375))</f>
        <v>0</v>
      </c>
      <c r="N45" s="299">
        <f>SUMPRODUCT(('Inc CWIP &amp; Plant'!$A$12:$A$375=N$37)*
('Inc CWIP &amp; Plant'!$S$11:$AP$11=$B45)*
('Inc CWIP &amp; Plant'!$B$12:$B$375=$C45)*
('Inc CWIP &amp; Plant'!$S$12:$AP$375))</f>
        <v>100</v>
      </c>
      <c r="O45" s="299">
        <f>SUMPRODUCT(('Inc CWIP &amp; Plant'!$A$12:$A$375=O$37)*
('Inc CWIP &amp; Plant'!$S$11:$AP$11=$B45)*
('Inc CWIP &amp; Plant'!$B$12:$B$375=$C45)*
('Inc CWIP &amp; Plant'!$S$12:$AP$375))</f>
        <v>0</v>
      </c>
      <c r="P45" s="299">
        <f>SUMPRODUCT(('Inc CWIP &amp; Plant'!$A$12:$A$375=P$37)*
('Inc CWIP &amp; Plant'!$S$11:$AP$11=$B45)*
('Inc CWIP &amp; Plant'!$B$12:$B$375=$C45)*
('Inc CWIP &amp; Plant'!$S$12:$AP$375))</f>
        <v>0</v>
      </c>
    </row>
    <row r="46" spans="1:16" ht="15" customHeight="1" x14ac:dyDescent="0.25">
      <c r="A46" s="297"/>
      <c r="B46" s="308">
        <f t="shared" si="3"/>
        <v>42217</v>
      </c>
      <c r="C46" s="308" t="s">
        <v>33</v>
      </c>
      <c r="D46" s="312">
        <f t="shared" si="4"/>
        <v>4758.9300266999999</v>
      </c>
      <c r="E46" s="299">
        <f>SUMPRODUCT(('Inc CWIP &amp; Plant'!$A$12:$A$375=E$37)*
('Inc CWIP &amp; Plant'!$S$11:$AP$11=$B46)*
('Inc CWIP &amp; Plant'!$B$12:$B$375=$C46)*
('Inc CWIP &amp; Plant'!$S$12:$AP$375))</f>
        <v>215.03834749999999</v>
      </c>
      <c r="F46" s="299">
        <f>SUMPRODUCT(('Inc CWIP &amp; Plant'!$A$12:$A$375=F$37)*
('Inc CWIP &amp; Plant'!$S$11:$AP$11=$B46)*
('Inc CWIP &amp; Plant'!$B$12:$B$375=$C46)*
('Inc CWIP &amp; Plant'!$S$12:$AP$375))</f>
        <v>0</v>
      </c>
      <c r="G46" s="299">
        <f>SUMPRODUCT(('Inc CWIP &amp; Plant'!$A$12:$A$375=G$37)*
('Inc CWIP &amp; Plant'!$S$11:$AP$11=$B46)*
('Inc CWIP &amp; Plant'!$B$12:$B$375=$C46)*
('Inc CWIP &amp; Plant'!$S$12:$AP$375))</f>
        <v>577.31389000000013</v>
      </c>
      <c r="H46" s="299">
        <f>SUMPRODUCT(('Inc CWIP &amp; Plant'!$A$12:$A$375=H$37)*
('Inc CWIP &amp; Plant'!$S$11:$AP$11=$B46)*
('Inc CWIP &amp; Plant'!$B$12:$B$375=$C46)*
('Inc CWIP &amp; Plant'!$S$12:$AP$375))</f>
        <v>3874.5777891999996</v>
      </c>
      <c r="I46" s="299">
        <f>SUMPRODUCT(('Inc CWIP &amp; Plant'!$A$12:$A$375=I$37)*
('Inc CWIP &amp; Plant'!$S$11:$AP$11=$B46)*
('Inc CWIP &amp; Plant'!$B$12:$B$375=$C46)*
('Inc CWIP &amp; Plant'!$S$12:$AP$375))</f>
        <v>65</v>
      </c>
      <c r="J46" s="299">
        <f>SUMPRODUCT(('Inc CWIP &amp; Plant'!$A$12:$A$375=J$37)*
('Inc CWIP &amp; Plant'!$S$11:$AP$11=$B46)*
('Inc CWIP &amp; Plant'!$B$12:$B$375=$C46)*
('Inc CWIP &amp; Plant'!$S$12:$AP$375))</f>
        <v>0</v>
      </c>
      <c r="K46" s="299">
        <f>SUMPRODUCT(('Inc CWIP &amp; Plant'!$A$12:$A$375=K$37)*
('Inc CWIP &amp; Plant'!$S$11:$AP$11=$B46)*
('Inc CWIP &amp; Plant'!$B$12:$B$375=$C46)*
('Inc CWIP &amp; Plant'!$S$12:$AP$375))</f>
        <v>0</v>
      </c>
      <c r="L46" s="299">
        <f>SUMPRODUCT(('Inc CWIP &amp; Plant'!$A$12:$A$375=L$37)*
('Inc CWIP &amp; Plant'!$S$11:$AP$11=$B46)*
('Inc CWIP &amp; Plant'!$B$12:$B$375=$C46)*
('Inc CWIP &amp; Plant'!$S$12:$AP$375))</f>
        <v>0</v>
      </c>
      <c r="M46" s="299">
        <f>SUMPRODUCT(('Inc CWIP &amp; Plant'!$A$12:$A$375=M$37)*
('Inc CWIP &amp; Plant'!$S$11:$AP$11=$B46)*
('Inc CWIP &amp; Plant'!$B$12:$B$375=$C46)*
('Inc CWIP &amp; Plant'!$S$12:$AP$375))</f>
        <v>0</v>
      </c>
      <c r="N46" s="299">
        <f>SUMPRODUCT(('Inc CWIP &amp; Plant'!$A$12:$A$375=N$37)*
('Inc CWIP &amp; Plant'!$S$11:$AP$11=$B46)*
('Inc CWIP &amp; Plant'!$B$12:$B$375=$C46)*
('Inc CWIP &amp; Plant'!$S$12:$AP$375))</f>
        <v>27</v>
      </c>
      <c r="O46" s="299">
        <f>SUMPRODUCT(('Inc CWIP &amp; Plant'!$A$12:$A$375=O$37)*
('Inc CWIP &amp; Plant'!$S$11:$AP$11=$B46)*
('Inc CWIP &amp; Plant'!$B$12:$B$375=$C46)*
('Inc CWIP &amp; Plant'!$S$12:$AP$375))</f>
        <v>0</v>
      </c>
      <c r="P46" s="299">
        <f>SUMPRODUCT(('Inc CWIP &amp; Plant'!$A$12:$A$375=P$37)*
('Inc CWIP &amp; Plant'!$S$11:$AP$11=$B46)*
('Inc CWIP &amp; Plant'!$B$12:$B$375=$C46)*
('Inc CWIP &amp; Plant'!$S$12:$AP$375))</f>
        <v>0</v>
      </c>
    </row>
    <row r="47" spans="1:16" ht="15" customHeight="1" x14ac:dyDescent="0.25">
      <c r="A47" s="297"/>
      <c r="B47" s="308">
        <f t="shared" si="3"/>
        <v>42248</v>
      </c>
      <c r="C47" s="308" t="s">
        <v>33</v>
      </c>
      <c r="D47" s="312">
        <f t="shared" si="4"/>
        <v>6389.6681474999996</v>
      </c>
      <c r="E47" s="299">
        <f>SUMPRODUCT(('Inc CWIP &amp; Plant'!$A$12:$A$375=E$37)*
('Inc CWIP &amp; Plant'!$S$11:$AP$11=$B47)*
('Inc CWIP &amp; Plant'!$B$12:$B$375=$C47)*
('Inc CWIP &amp; Plant'!$S$12:$AP$375))</f>
        <v>215.03834749999999</v>
      </c>
      <c r="F47" s="299">
        <f>SUMPRODUCT(('Inc CWIP &amp; Plant'!$A$12:$A$375=F$37)*
('Inc CWIP &amp; Plant'!$S$11:$AP$11=$B47)*
('Inc CWIP &amp; Plant'!$B$12:$B$375=$C47)*
('Inc CWIP &amp; Plant'!$S$12:$AP$375))</f>
        <v>0</v>
      </c>
      <c r="G47" s="299">
        <f>SUMPRODUCT(('Inc CWIP &amp; Plant'!$A$12:$A$375=G$37)*
('Inc CWIP &amp; Plant'!$S$11:$AP$11=$B47)*
('Inc CWIP &amp; Plant'!$B$12:$B$375=$C47)*
('Inc CWIP &amp; Plant'!$S$12:$AP$375))</f>
        <v>98.329800000000006</v>
      </c>
      <c r="H47" s="299">
        <f>SUMPRODUCT(('Inc CWIP &amp; Plant'!$A$12:$A$375=H$37)*
('Inc CWIP &amp; Plant'!$S$11:$AP$11=$B47)*
('Inc CWIP &amp; Plant'!$B$12:$B$375=$C47)*
('Inc CWIP &amp; Plant'!$S$12:$AP$375))</f>
        <v>5996.2999999999993</v>
      </c>
      <c r="I47" s="299">
        <f>SUMPRODUCT(('Inc CWIP &amp; Plant'!$A$12:$A$375=I$37)*
('Inc CWIP &amp; Plant'!$S$11:$AP$11=$B47)*
('Inc CWIP &amp; Plant'!$B$12:$B$375=$C47)*
('Inc CWIP &amp; Plant'!$S$12:$AP$375))</f>
        <v>65</v>
      </c>
      <c r="J47" s="299">
        <f>SUMPRODUCT(('Inc CWIP &amp; Plant'!$A$12:$A$375=J$37)*
('Inc CWIP &amp; Plant'!$S$11:$AP$11=$B47)*
('Inc CWIP &amp; Plant'!$B$12:$B$375=$C47)*
('Inc CWIP &amp; Plant'!$S$12:$AP$375))</f>
        <v>0</v>
      </c>
      <c r="K47" s="299">
        <f>SUMPRODUCT(('Inc CWIP &amp; Plant'!$A$12:$A$375=K$37)*
('Inc CWIP &amp; Plant'!$S$11:$AP$11=$B47)*
('Inc CWIP &amp; Plant'!$B$12:$B$375=$C47)*
('Inc CWIP &amp; Plant'!$S$12:$AP$375))</f>
        <v>0</v>
      </c>
      <c r="L47" s="299">
        <f>SUMPRODUCT(('Inc CWIP &amp; Plant'!$A$12:$A$375=L$37)*
('Inc CWIP &amp; Plant'!$S$11:$AP$11=$B47)*
('Inc CWIP &amp; Plant'!$B$12:$B$375=$C47)*
('Inc CWIP &amp; Plant'!$S$12:$AP$375))</f>
        <v>0</v>
      </c>
      <c r="M47" s="299">
        <f>SUMPRODUCT(('Inc CWIP &amp; Plant'!$A$12:$A$375=M$37)*
('Inc CWIP &amp; Plant'!$S$11:$AP$11=$B47)*
('Inc CWIP &amp; Plant'!$B$12:$B$375=$C47)*
('Inc CWIP &amp; Plant'!$S$12:$AP$375))</f>
        <v>0</v>
      </c>
      <c r="N47" s="299">
        <f>SUMPRODUCT(('Inc CWIP &amp; Plant'!$A$12:$A$375=N$37)*
('Inc CWIP &amp; Plant'!$S$11:$AP$11=$B47)*
('Inc CWIP &amp; Plant'!$B$12:$B$375=$C47)*
('Inc CWIP &amp; Plant'!$S$12:$AP$375))</f>
        <v>15</v>
      </c>
      <c r="O47" s="299">
        <f>SUMPRODUCT(('Inc CWIP &amp; Plant'!$A$12:$A$375=O$37)*
('Inc CWIP &amp; Plant'!$S$11:$AP$11=$B47)*
('Inc CWIP &amp; Plant'!$B$12:$B$375=$C47)*
('Inc CWIP &amp; Plant'!$S$12:$AP$375))</f>
        <v>0</v>
      </c>
      <c r="P47" s="299">
        <f>SUMPRODUCT(('Inc CWIP &amp; Plant'!$A$12:$A$375=P$37)*
('Inc CWIP &amp; Plant'!$S$11:$AP$11=$B47)*
('Inc CWIP &amp; Plant'!$B$12:$B$375=$C47)*
('Inc CWIP &amp; Plant'!$S$12:$AP$375))</f>
        <v>0</v>
      </c>
    </row>
    <row r="48" spans="1:16" ht="15" customHeight="1" x14ac:dyDescent="0.25">
      <c r="A48" s="297"/>
      <c r="B48" s="308">
        <f t="shared" si="3"/>
        <v>42278</v>
      </c>
      <c r="C48" s="308" t="s">
        <v>33</v>
      </c>
      <c r="D48" s="312">
        <f t="shared" si="4"/>
        <v>6349.5835375000006</v>
      </c>
      <c r="E48" s="299">
        <f>SUMPRODUCT(('Inc CWIP &amp; Plant'!$A$12:$A$375=E$37)*
('Inc CWIP &amp; Plant'!$S$11:$AP$11=$B48)*
('Inc CWIP &amp; Plant'!$B$12:$B$375=$C48)*
('Inc CWIP &amp; Plant'!$S$12:$AP$375))</f>
        <v>215.03834749999999</v>
      </c>
      <c r="F48" s="299">
        <f>SUMPRODUCT(('Inc CWIP &amp; Plant'!$A$12:$A$375=F$37)*
('Inc CWIP &amp; Plant'!$S$11:$AP$11=$B48)*
('Inc CWIP &amp; Plant'!$B$12:$B$375=$C48)*
('Inc CWIP &amp; Plant'!$S$12:$AP$375))</f>
        <v>0</v>
      </c>
      <c r="G48" s="299">
        <f>SUMPRODUCT(('Inc CWIP &amp; Plant'!$A$12:$A$375=G$37)*
('Inc CWIP &amp; Plant'!$S$11:$AP$11=$B48)*
('Inc CWIP &amp; Plant'!$B$12:$B$375=$C48)*
('Inc CWIP &amp; Plant'!$S$12:$AP$375))</f>
        <v>2381.2451900000001</v>
      </c>
      <c r="H48" s="299">
        <f>SUMPRODUCT(('Inc CWIP &amp; Plant'!$A$12:$A$375=H$37)*
('Inc CWIP &amp; Plant'!$S$11:$AP$11=$B48)*
('Inc CWIP &amp; Plant'!$B$12:$B$375=$C48)*
('Inc CWIP &amp; Plant'!$S$12:$AP$375))</f>
        <v>3658.3</v>
      </c>
      <c r="I48" s="299">
        <f>SUMPRODUCT(('Inc CWIP &amp; Plant'!$A$12:$A$375=I$37)*
('Inc CWIP &amp; Plant'!$S$11:$AP$11=$B48)*
('Inc CWIP &amp; Plant'!$B$12:$B$375=$C48)*
('Inc CWIP &amp; Plant'!$S$12:$AP$375))</f>
        <v>80</v>
      </c>
      <c r="J48" s="299">
        <f>SUMPRODUCT(('Inc CWIP &amp; Plant'!$A$12:$A$375=J$37)*
('Inc CWIP &amp; Plant'!$S$11:$AP$11=$B48)*
('Inc CWIP &amp; Plant'!$B$12:$B$375=$C48)*
('Inc CWIP &amp; Plant'!$S$12:$AP$375))</f>
        <v>0</v>
      </c>
      <c r="K48" s="299">
        <f>SUMPRODUCT(('Inc CWIP &amp; Plant'!$A$12:$A$375=K$37)*
('Inc CWIP &amp; Plant'!$S$11:$AP$11=$B48)*
('Inc CWIP &amp; Plant'!$B$12:$B$375=$C48)*
('Inc CWIP &amp; Plant'!$S$12:$AP$375))</f>
        <v>0</v>
      </c>
      <c r="L48" s="299">
        <f>SUMPRODUCT(('Inc CWIP &amp; Plant'!$A$12:$A$375=L$37)*
('Inc CWIP &amp; Plant'!$S$11:$AP$11=$B48)*
('Inc CWIP &amp; Plant'!$B$12:$B$375=$C48)*
('Inc CWIP &amp; Plant'!$S$12:$AP$375))</f>
        <v>0</v>
      </c>
      <c r="M48" s="299">
        <f>SUMPRODUCT(('Inc CWIP &amp; Plant'!$A$12:$A$375=M$37)*
('Inc CWIP &amp; Plant'!$S$11:$AP$11=$B48)*
('Inc CWIP &amp; Plant'!$B$12:$B$375=$C48)*
('Inc CWIP &amp; Plant'!$S$12:$AP$375))</f>
        <v>0</v>
      </c>
      <c r="N48" s="299">
        <f>SUMPRODUCT(('Inc CWIP &amp; Plant'!$A$12:$A$375=N$37)*
('Inc CWIP &amp; Plant'!$S$11:$AP$11=$B48)*
('Inc CWIP &amp; Plant'!$B$12:$B$375=$C48)*
('Inc CWIP &amp; Plant'!$S$12:$AP$375))</f>
        <v>15</v>
      </c>
      <c r="O48" s="299">
        <f>SUMPRODUCT(('Inc CWIP &amp; Plant'!$A$12:$A$375=O$37)*
('Inc CWIP &amp; Plant'!$S$11:$AP$11=$B48)*
('Inc CWIP &amp; Plant'!$B$12:$B$375=$C48)*
('Inc CWIP &amp; Plant'!$S$12:$AP$375))</f>
        <v>0</v>
      </c>
      <c r="P48" s="299">
        <f>SUMPRODUCT(('Inc CWIP &amp; Plant'!$A$12:$A$375=P$37)*
('Inc CWIP &amp; Plant'!$S$11:$AP$11=$B48)*
('Inc CWIP &amp; Plant'!$B$12:$B$375=$C48)*
('Inc CWIP &amp; Plant'!$S$12:$AP$375))</f>
        <v>0</v>
      </c>
    </row>
    <row r="49" spans="1:16" ht="15" customHeight="1" x14ac:dyDescent="0.25">
      <c r="A49" s="297"/>
      <c r="B49" s="308">
        <f t="shared" si="3"/>
        <v>42309</v>
      </c>
      <c r="C49" s="308" t="s">
        <v>33</v>
      </c>
      <c r="D49" s="312">
        <f t="shared" si="4"/>
        <v>4051.7493475000001</v>
      </c>
      <c r="E49" s="299">
        <f>SUMPRODUCT(('Inc CWIP &amp; Plant'!$A$12:$A$375=E$37)*
('Inc CWIP &amp; Plant'!$S$11:$AP$11=$B49)*
('Inc CWIP &amp; Plant'!$B$12:$B$375=$C49)*
('Inc CWIP &amp; Plant'!$S$12:$AP$375))</f>
        <v>221.03834749999999</v>
      </c>
      <c r="F49" s="299">
        <f>SUMPRODUCT(('Inc CWIP &amp; Plant'!$A$12:$A$375=F$37)*
('Inc CWIP &amp; Plant'!$S$11:$AP$11=$B49)*
('Inc CWIP &amp; Plant'!$B$12:$B$375=$C49)*
('Inc CWIP &amp; Plant'!$S$12:$AP$375))</f>
        <v>0</v>
      </c>
      <c r="G49" s="299">
        <f>SUMPRODUCT(('Inc CWIP &amp; Plant'!$A$12:$A$375=G$37)*
('Inc CWIP &amp; Plant'!$S$11:$AP$11=$B49)*
('Inc CWIP &amp; Plant'!$B$12:$B$375=$C49)*
('Inc CWIP &amp; Plant'!$S$12:$AP$375))</f>
        <v>78.411000000000001</v>
      </c>
      <c r="H49" s="299">
        <f>SUMPRODUCT(('Inc CWIP &amp; Plant'!$A$12:$A$375=H$37)*
('Inc CWIP &amp; Plant'!$S$11:$AP$11=$B49)*
('Inc CWIP &amp; Plant'!$B$12:$B$375=$C49)*
('Inc CWIP &amp; Plant'!$S$12:$AP$375))</f>
        <v>3657.3</v>
      </c>
      <c r="I49" s="299">
        <f>SUMPRODUCT(('Inc CWIP &amp; Plant'!$A$12:$A$375=I$37)*
('Inc CWIP &amp; Plant'!$S$11:$AP$11=$B49)*
('Inc CWIP &amp; Plant'!$B$12:$B$375=$C49)*
('Inc CWIP &amp; Plant'!$S$12:$AP$375))</f>
        <v>80</v>
      </c>
      <c r="J49" s="299">
        <f>SUMPRODUCT(('Inc CWIP &amp; Plant'!$A$12:$A$375=J$37)*
('Inc CWIP &amp; Plant'!$S$11:$AP$11=$B49)*
('Inc CWIP &amp; Plant'!$B$12:$B$375=$C49)*
('Inc CWIP &amp; Plant'!$S$12:$AP$375))</f>
        <v>0</v>
      </c>
      <c r="K49" s="299">
        <f>SUMPRODUCT(('Inc CWIP &amp; Plant'!$A$12:$A$375=K$37)*
('Inc CWIP &amp; Plant'!$S$11:$AP$11=$B49)*
('Inc CWIP &amp; Plant'!$B$12:$B$375=$C49)*
('Inc CWIP &amp; Plant'!$S$12:$AP$375))</f>
        <v>0</v>
      </c>
      <c r="L49" s="299">
        <f>SUMPRODUCT(('Inc CWIP &amp; Plant'!$A$12:$A$375=L$37)*
('Inc CWIP &amp; Plant'!$S$11:$AP$11=$B49)*
('Inc CWIP &amp; Plant'!$B$12:$B$375=$C49)*
('Inc CWIP &amp; Plant'!$S$12:$AP$375))</f>
        <v>0</v>
      </c>
      <c r="M49" s="299">
        <f>SUMPRODUCT(('Inc CWIP &amp; Plant'!$A$12:$A$375=M$37)*
('Inc CWIP &amp; Plant'!$S$11:$AP$11=$B49)*
('Inc CWIP &amp; Plant'!$B$12:$B$375=$C49)*
('Inc CWIP &amp; Plant'!$S$12:$AP$375))</f>
        <v>0</v>
      </c>
      <c r="N49" s="299">
        <f>SUMPRODUCT(('Inc CWIP &amp; Plant'!$A$12:$A$375=N$37)*
('Inc CWIP &amp; Plant'!$S$11:$AP$11=$B49)*
('Inc CWIP &amp; Plant'!$B$12:$B$375=$C49)*
('Inc CWIP &amp; Plant'!$S$12:$AP$375))</f>
        <v>15</v>
      </c>
      <c r="O49" s="299">
        <f>SUMPRODUCT(('Inc CWIP &amp; Plant'!$A$12:$A$375=O$37)*
('Inc CWIP &amp; Plant'!$S$11:$AP$11=$B49)*
('Inc CWIP &amp; Plant'!$B$12:$B$375=$C49)*
('Inc CWIP &amp; Plant'!$S$12:$AP$375))</f>
        <v>0</v>
      </c>
      <c r="P49" s="299">
        <f>SUMPRODUCT(('Inc CWIP &amp; Plant'!$A$12:$A$375=P$37)*
('Inc CWIP &amp; Plant'!$S$11:$AP$11=$B49)*
('Inc CWIP &amp; Plant'!$B$12:$B$375=$C49)*
('Inc CWIP &amp; Plant'!$S$12:$AP$375))</f>
        <v>0</v>
      </c>
    </row>
    <row r="50" spans="1:16" ht="15" customHeight="1" x14ac:dyDescent="0.25">
      <c r="A50" s="297"/>
      <c r="B50" s="308">
        <f t="shared" si="3"/>
        <v>42339</v>
      </c>
      <c r="C50" s="308" t="s">
        <v>33</v>
      </c>
      <c r="D50" s="312">
        <f t="shared" si="4"/>
        <v>46595.468987330038</v>
      </c>
      <c r="E50" s="299">
        <f>SUMPRODUCT(('Inc CWIP &amp; Plant'!$A$12:$A$375=E$37)*
('Inc CWIP &amp; Plant'!$S$11:$AP$11=$B50)*
('Inc CWIP &amp; Plant'!$B$12:$B$375=$C50)*
('Inc CWIP &amp; Plant'!$S$12:$AP$375))</f>
        <v>3.0383475</v>
      </c>
      <c r="F50" s="299">
        <f>SUMPRODUCT(('Inc CWIP &amp; Plant'!$A$12:$A$375=F$37)*
('Inc CWIP &amp; Plant'!$S$11:$AP$11=$B50)*
('Inc CWIP &amp; Plant'!$B$12:$B$375=$C50)*
('Inc CWIP &amp; Plant'!$S$12:$AP$375))</f>
        <v>0</v>
      </c>
      <c r="G50" s="299">
        <f>SUMPRODUCT(('Inc CWIP &amp; Plant'!$A$12:$A$375=G$37)*
('Inc CWIP &amp; Plant'!$S$11:$AP$11=$B50)*
('Inc CWIP &amp; Plant'!$B$12:$B$375=$C50)*
('Inc CWIP &amp; Plant'!$S$12:$AP$375))</f>
        <v>7655.66356</v>
      </c>
      <c r="H50" s="299">
        <f>SUMPRODUCT(('Inc CWIP &amp; Plant'!$A$12:$A$375=H$37)*
('Inc CWIP &amp; Plant'!$S$11:$AP$11=$B50)*
('Inc CWIP &amp; Plant'!$B$12:$B$375=$C50)*
('Inc CWIP &amp; Plant'!$S$12:$AP$375))</f>
        <v>30283.534329830036</v>
      </c>
      <c r="I50" s="299">
        <f>SUMPRODUCT(('Inc CWIP &amp; Plant'!$A$12:$A$375=I$37)*
('Inc CWIP &amp; Plant'!$S$11:$AP$11=$B50)*
('Inc CWIP &amp; Plant'!$B$12:$B$375=$C50)*
('Inc CWIP &amp; Plant'!$S$12:$AP$375))</f>
        <v>8338.3292000000001</v>
      </c>
      <c r="J50" s="299">
        <f>SUMPRODUCT(('Inc CWIP &amp; Plant'!$A$12:$A$375=J$37)*
('Inc CWIP &amp; Plant'!$S$11:$AP$11=$B50)*
('Inc CWIP &amp; Plant'!$B$12:$B$375=$C50)*
('Inc CWIP &amp; Plant'!$S$12:$AP$375))</f>
        <v>0</v>
      </c>
      <c r="K50" s="299">
        <f>SUMPRODUCT(('Inc CWIP &amp; Plant'!$A$12:$A$375=K$37)*
('Inc CWIP &amp; Plant'!$S$11:$AP$11=$B50)*
('Inc CWIP &amp; Plant'!$B$12:$B$375=$C50)*
('Inc CWIP &amp; Plant'!$S$12:$AP$375))</f>
        <v>0</v>
      </c>
      <c r="L50" s="299">
        <f>SUMPRODUCT(('Inc CWIP &amp; Plant'!$A$12:$A$375=L$37)*
('Inc CWIP &amp; Plant'!$S$11:$AP$11=$B50)*
('Inc CWIP &amp; Plant'!$B$12:$B$375=$C50)*
('Inc CWIP &amp; Plant'!$S$12:$AP$375))</f>
        <v>0</v>
      </c>
      <c r="M50" s="299">
        <f>SUMPRODUCT(('Inc CWIP &amp; Plant'!$A$12:$A$375=M$37)*
('Inc CWIP &amp; Plant'!$S$11:$AP$11=$B50)*
('Inc CWIP &amp; Plant'!$B$12:$B$375=$C50)*
('Inc CWIP &amp; Plant'!$S$12:$AP$375))</f>
        <v>0</v>
      </c>
      <c r="N50" s="299">
        <f>SUMPRODUCT(('Inc CWIP &amp; Plant'!$A$12:$A$375=N$37)*
('Inc CWIP &amp; Plant'!$S$11:$AP$11=$B50)*
('Inc CWIP &amp; Plant'!$B$12:$B$375=$C50)*
('Inc CWIP &amp; Plant'!$S$12:$AP$375))</f>
        <v>15</v>
      </c>
      <c r="O50" s="299">
        <f>SUMPRODUCT(('Inc CWIP &amp; Plant'!$A$12:$A$375=O$37)*
('Inc CWIP &amp; Plant'!$S$11:$AP$11=$B50)*
('Inc CWIP &amp; Plant'!$B$12:$B$375=$C50)*
('Inc CWIP &amp; Plant'!$S$12:$AP$375))</f>
        <v>299.90355</v>
      </c>
      <c r="P50" s="299">
        <f>SUMPRODUCT(('Inc CWIP &amp; Plant'!$A$12:$A$375=P$37)*
('Inc CWIP &amp; Plant'!$S$11:$AP$11=$B50)*
('Inc CWIP &amp; Plant'!$B$12:$B$375=$C50)*
('Inc CWIP &amp; Plant'!$S$12:$AP$375))</f>
        <v>0</v>
      </c>
    </row>
    <row r="51" spans="1:16" ht="15" customHeight="1" x14ac:dyDescent="0.25">
      <c r="A51" s="297"/>
      <c r="B51" s="308">
        <f t="shared" si="3"/>
        <v>42370</v>
      </c>
      <c r="C51" s="308" t="s">
        <v>33</v>
      </c>
      <c r="D51" s="312">
        <f t="shared" si="4"/>
        <v>1137.4840833333335</v>
      </c>
      <c r="E51" s="299">
        <f>SUMPRODUCT(('Inc CWIP &amp; Plant'!$A$12:$A$375=E$37)*
('Inc CWIP &amp; Plant'!$S$11:$AP$11=$B51)*
('Inc CWIP &amp; Plant'!$B$12:$B$375=$C51)*
('Inc CWIP &amp; Plant'!$S$12:$AP$375))</f>
        <v>0</v>
      </c>
      <c r="F51" s="299">
        <f>SUMPRODUCT(('Inc CWIP &amp; Plant'!$A$12:$A$375=F$37)*
('Inc CWIP &amp; Plant'!$S$11:$AP$11=$B51)*
('Inc CWIP &amp; Plant'!$B$12:$B$375=$C51)*
('Inc CWIP &amp; Plant'!$S$12:$AP$375))</f>
        <v>0</v>
      </c>
      <c r="G51" s="299">
        <f>SUMPRODUCT(('Inc CWIP &amp; Plant'!$A$12:$A$375=G$37)*
('Inc CWIP &amp; Plant'!$S$11:$AP$11=$B51)*
('Inc CWIP &amp; Plant'!$B$12:$B$375=$C51)*
('Inc CWIP &amp; Plant'!$S$12:$AP$375))</f>
        <v>0</v>
      </c>
      <c r="H51" s="299">
        <f>SUMPRODUCT(('Inc CWIP &amp; Plant'!$A$12:$A$375=H$37)*
('Inc CWIP &amp; Plant'!$S$11:$AP$11=$B51)*
('Inc CWIP &amp; Plant'!$B$12:$B$375=$C51)*
('Inc CWIP &amp; Plant'!$S$12:$AP$375))</f>
        <v>1137.4840833333335</v>
      </c>
      <c r="I51" s="299">
        <f>SUMPRODUCT(('Inc CWIP &amp; Plant'!$A$12:$A$375=I$37)*
('Inc CWIP &amp; Plant'!$S$11:$AP$11=$B51)*
('Inc CWIP &amp; Plant'!$B$12:$B$375=$C51)*
('Inc CWIP &amp; Plant'!$S$12:$AP$375))</f>
        <v>0</v>
      </c>
      <c r="J51" s="299">
        <f>SUMPRODUCT(('Inc CWIP &amp; Plant'!$A$12:$A$375=J$37)*
('Inc CWIP &amp; Plant'!$S$11:$AP$11=$B51)*
('Inc CWIP &amp; Plant'!$B$12:$B$375=$C51)*
('Inc CWIP &amp; Plant'!$S$12:$AP$375))</f>
        <v>0</v>
      </c>
      <c r="K51" s="299">
        <f>SUMPRODUCT(('Inc CWIP &amp; Plant'!$A$12:$A$375=K$37)*
('Inc CWIP &amp; Plant'!$S$11:$AP$11=$B51)*
('Inc CWIP &amp; Plant'!$B$12:$B$375=$C51)*
('Inc CWIP &amp; Plant'!$S$12:$AP$375))</f>
        <v>0</v>
      </c>
      <c r="L51" s="299">
        <f>SUMPRODUCT(('Inc CWIP &amp; Plant'!$A$12:$A$375=L$37)*
('Inc CWIP &amp; Plant'!$S$11:$AP$11=$B51)*
('Inc CWIP &amp; Plant'!$B$12:$B$375=$C51)*
('Inc CWIP &amp; Plant'!$S$12:$AP$375))</f>
        <v>0</v>
      </c>
      <c r="M51" s="299">
        <f>SUMPRODUCT(('Inc CWIP &amp; Plant'!$A$12:$A$375=M$37)*
('Inc CWIP &amp; Plant'!$S$11:$AP$11=$B51)*
('Inc CWIP &amp; Plant'!$B$12:$B$375=$C51)*
('Inc CWIP &amp; Plant'!$S$12:$AP$375))</f>
        <v>0</v>
      </c>
      <c r="N51" s="299">
        <f>SUMPRODUCT(('Inc CWIP &amp; Plant'!$A$12:$A$375=N$37)*
('Inc CWIP &amp; Plant'!$S$11:$AP$11=$B51)*
('Inc CWIP &amp; Plant'!$B$12:$B$375=$C51)*
('Inc CWIP &amp; Plant'!$S$12:$AP$375))</f>
        <v>0</v>
      </c>
      <c r="O51" s="299">
        <f>SUMPRODUCT(('Inc CWIP &amp; Plant'!$A$12:$A$375=O$37)*
('Inc CWIP &amp; Plant'!$S$11:$AP$11=$B51)*
('Inc CWIP &amp; Plant'!$B$12:$B$375=$C51)*
('Inc CWIP &amp; Plant'!$S$12:$AP$375))</f>
        <v>0</v>
      </c>
      <c r="P51" s="299">
        <f>SUMPRODUCT(('Inc CWIP &amp; Plant'!$A$12:$A$375=P$37)*
('Inc CWIP &amp; Plant'!$S$11:$AP$11=$B51)*
('Inc CWIP &amp; Plant'!$B$12:$B$375=$C51)*
('Inc CWIP &amp; Plant'!$S$12:$AP$375))</f>
        <v>0</v>
      </c>
    </row>
    <row r="52" spans="1:16" ht="15" customHeight="1" x14ac:dyDescent="0.25">
      <c r="A52" s="297"/>
      <c r="B52" s="308">
        <f t="shared" si="3"/>
        <v>42401</v>
      </c>
      <c r="C52" s="308" t="s">
        <v>33</v>
      </c>
      <c r="D52" s="312">
        <f t="shared" si="4"/>
        <v>1137.4840833333335</v>
      </c>
      <c r="E52" s="299">
        <f>SUMPRODUCT(('Inc CWIP &amp; Plant'!$A$12:$A$375=E$37)*
('Inc CWIP &amp; Plant'!$S$11:$AP$11=$B52)*
('Inc CWIP &amp; Plant'!$B$12:$B$375=$C52)*
('Inc CWIP &amp; Plant'!$S$12:$AP$375))</f>
        <v>0</v>
      </c>
      <c r="F52" s="299">
        <f>SUMPRODUCT(('Inc CWIP &amp; Plant'!$A$12:$A$375=F$37)*
('Inc CWIP &amp; Plant'!$S$11:$AP$11=$B52)*
('Inc CWIP &amp; Plant'!$B$12:$B$375=$C52)*
('Inc CWIP &amp; Plant'!$S$12:$AP$375))</f>
        <v>0</v>
      </c>
      <c r="G52" s="299">
        <f>SUMPRODUCT(('Inc CWIP &amp; Plant'!$A$12:$A$375=G$37)*
('Inc CWIP &amp; Plant'!$S$11:$AP$11=$B52)*
('Inc CWIP &amp; Plant'!$B$12:$B$375=$C52)*
('Inc CWIP &amp; Plant'!$S$12:$AP$375))</f>
        <v>0</v>
      </c>
      <c r="H52" s="299">
        <f>SUMPRODUCT(('Inc CWIP &amp; Plant'!$A$12:$A$375=H$37)*
('Inc CWIP &amp; Plant'!$S$11:$AP$11=$B52)*
('Inc CWIP &amp; Plant'!$B$12:$B$375=$C52)*
('Inc CWIP &amp; Plant'!$S$12:$AP$375))</f>
        <v>1137.4840833333335</v>
      </c>
      <c r="I52" s="299">
        <f>SUMPRODUCT(('Inc CWIP &amp; Plant'!$A$12:$A$375=I$37)*
('Inc CWIP &amp; Plant'!$S$11:$AP$11=$B52)*
('Inc CWIP &amp; Plant'!$B$12:$B$375=$C52)*
('Inc CWIP &amp; Plant'!$S$12:$AP$375))</f>
        <v>0</v>
      </c>
      <c r="J52" s="299">
        <f>SUMPRODUCT(('Inc CWIP &amp; Plant'!$A$12:$A$375=J$37)*
('Inc CWIP &amp; Plant'!$S$11:$AP$11=$B52)*
('Inc CWIP &amp; Plant'!$B$12:$B$375=$C52)*
('Inc CWIP &amp; Plant'!$S$12:$AP$375))</f>
        <v>0</v>
      </c>
      <c r="K52" s="299">
        <f>SUMPRODUCT(('Inc CWIP &amp; Plant'!$A$12:$A$375=K$37)*
('Inc CWIP &amp; Plant'!$S$11:$AP$11=$B52)*
('Inc CWIP &amp; Plant'!$B$12:$B$375=$C52)*
('Inc CWIP &amp; Plant'!$S$12:$AP$375))</f>
        <v>0</v>
      </c>
      <c r="L52" s="299">
        <f>SUMPRODUCT(('Inc CWIP &amp; Plant'!$A$12:$A$375=L$37)*
('Inc CWIP &amp; Plant'!$S$11:$AP$11=$B52)*
('Inc CWIP &amp; Plant'!$B$12:$B$375=$C52)*
('Inc CWIP &amp; Plant'!$S$12:$AP$375))</f>
        <v>0</v>
      </c>
      <c r="M52" s="299">
        <f>SUMPRODUCT(('Inc CWIP &amp; Plant'!$A$12:$A$375=M$37)*
('Inc CWIP &amp; Plant'!$S$11:$AP$11=$B52)*
('Inc CWIP &amp; Plant'!$B$12:$B$375=$C52)*
('Inc CWIP &amp; Plant'!$S$12:$AP$375))</f>
        <v>0</v>
      </c>
      <c r="N52" s="299">
        <f>SUMPRODUCT(('Inc CWIP &amp; Plant'!$A$12:$A$375=N$37)*
('Inc CWIP &amp; Plant'!$S$11:$AP$11=$B52)*
('Inc CWIP &amp; Plant'!$B$12:$B$375=$C52)*
('Inc CWIP &amp; Plant'!$S$12:$AP$375))</f>
        <v>0</v>
      </c>
      <c r="O52" s="299">
        <f>SUMPRODUCT(('Inc CWIP &amp; Plant'!$A$12:$A$375=O$37)*
('Inc CWIP &amp; Plant'!$S$11:$AP$11=$B52)*
('Inc CWIP &amp; Plant'!$B$12:$B$375=$C52)*
('Inc CWIP &amp; Plant'!$S$12:$AP$375))</f>
        <v>0</v>
      </c>
      <c r="P52" s="299">
        <f>SUMPRODUCT(('Inc CWIP &amp; Plant'!$A$12:$A$375=P$37)*
('Inc CWIP &amp; Plant'!$S$11:$AP$11=$B52)*
('Inc CWIP &amp; Plant'!$B$12:$B$375=$C52)*
('Inc CWIP &amp; Plant'!$S$12:$AP$375))</f>
        <v>0</v>
      </c>
    </row>
    <row r="53" spans="1:16" ht="15" customHeight="1" x14ac:dyDescent="0.25">
      <c r="A53" s="297"/>
      <c r="B53" s="308">
        <f t="shared" si="3"/>
        <v>42430</v>
      </c>
      <c r="C53" s="308" t="s">
        <v>33</v>
      </c>
      <c r="D53" s="312">
        <f t="shared" si="4"/>
        <v>1137.4840833333335</v>
      </c>
      <c r="E53" s="299">
        <f>SUMPRODUCT(('Inc CWIP &amp; Plant'!$A$12:$A$375=E$37)*
('Inc CWIP &amp; Plant'!$S$11:$AP$11=$B53)*
('Inc CWIP &amp; Plant'!$B$12:$B$375=$C53)*
('Inc CWIP &amp; Plant'!$S$12:$AP$375))</f>
        <v>0</v>
      </c>
      <c r="F53" s="299">
        <f>SUMPRODUCT(('Inc CWIP &amp; Plant'!$A$12:$A$375=F$37)*
('Inc CWIP &amp; Plant'!$S$11:$AP$11=$B53)*
('Inc CWIP &amp; Plant'!$B$12:$B$375=$C53)*
('Inc CWIP &amp; Plant'!$S$12:$AP$375))</f>
        <v>0</v>
      </c>
      <c r="G53" s="299">
        <f>SUMPRODUCT(('Inc CWIP &amp; Plant'!$A$12:$A$375=G$37)*
('Inc CWIP &amp; Plant'!$S$11:$AP$11=$B53)*
('Inc CWIP &amp; Plant'!$B$12:$B$375=$C53)*
('Inc CWIP &amp; Plant'!$S$12:$AP$375))</f>
        <v>0</v>
      </c>
      <c r="H53" s="299">
        <f>SUMPRODUCT(('Inc CWIP &amp; Plant'!$A$12:$A$375=H$37)*
('Inc CWIP &amp; Plant'!$S$11:$AP$11=$B53)*
('Inc CWIP &amp; Plant'!$B$12:$B$375=$C53)*
('Inc CWIP &amp; Plant'!$S$12:$AP$375))</f>
        <v>1137.4840833333335</v>
      </c>
      <c r="I53" s="299">
        <f>SUMPRODUCT(('Inc CWIP &amp; Plant'!$A$12:$A$375=I$37)*
('Inc CWIP &amp; Plant'!$S$11:$AP$11=$B53)*
('Inc CWIP &amp; Plant'!$B$12:$B$375=$C53)*
('Inc CWIP &amp; Plant'!$S$12:$AP$375))</f>
        <v>0</v>
      </c>
      <c r="J53" s="299">
        <f>SUMPRODUCT(('Inc CWIP &amp; Plant'!$A$12:$A$375=J$37)*
('Inc CWIP &amp; Plant'!$S$11:$AP$11=$B53)*
('Inc CWIP &amp; Plant'!$B$12:$B$375=$C53)*
('Inc CWIP &amp; Plant'!$S$12:$AP$375))</f>
        <v>0</v>
      </c>
      <c r="K53" s="299">
        <f>SUMPRODUCT(('Inc CWIP &amp; Plant'!$A$12:$A$375=K$37)*
('Inc CWIP &amp; Plant'!$S$11:$AP$11=$B53)*
('Inc CWIP &amp; Plant'!$B$12:$B$375=$C53)*
('Inc CWIP &amp; Plant'!$S$12:$AP$375))</f>
        <v>0</v>
      </c>
      <c r="L53" s="299">
        <f>SUMPRODUCT(('Inc CWIP &amp; Plant'!$A$12:$A$375=L$37)*
('Inc CWIP &amp; Plant'!$S$11:$AP$11=$B53)*
('Inc CWIP &amp; Plant'!$B$12:$B$375=$C53)*
('Inc CWIP &amp; Plant'!$S$12:$AP$375))</f>
        <v>0</v>
      </c>
      <c r="M53" s="299">
        <f>SUMPRODUCT(('Inc CWIP &amp; Plant'!$A$12:$A$375=M$37)*
('Inc CWIP &amp; Plant'!$S$11:$AP$11=$B53)*
('Inc CWIP &amp; Plant'!$B$12:$B$375=$C53)*
('Inc CWIP &amp; Plant'!$S$12:$AP$375))</f>
        <v>0</v>
      </c>
      <c r="N53" s="299">
        <f>SUMPRODUCT(('Inc CWIP &amp; Plant'!$A$12:$A$375=N$37)*
('Inc CWIP &amp; Plant'!$S$11:$AP$11=$B53)*
('Inc CWIP &amp; Plant'!$B$12:$B$375=$C53)*
('Inc CWIP &amp; Plant'!$S$12:$AP$375))</f>
        <v>0</v>
      </c>
      <c r="O53" s="299">
        <f>SUMPRODUCT(('Inc CWIP &amp; Plant'!$A$12:$A$375=O$37)*
('Inc CWIP &amp; Plant'!$S$11:$AP$11=$B53)*
('Inc CWIP &amp; Plant'!$B$12:$B$375=$C53)*
('Inc CWIP &amp; Plant'!$S$12:$AP$375))</f>
        <v>0</v>
      </c>
      <c r="P53" s="299">
        <f>SUMPRODUCT(('Inc CWIP &amp; Plant'!$A$12:$A$375=P$37)*
('Inc CWIP &amp; Plant'!$S$11:$AP$11=$B53)*
('Inc CWIP &amp; Plant'!$B$12:$B$375=$C53)*
('Inc CWIP &amp; Plant'!$S$12:$AP$375))</f>
        <v>0</v>
      </c>
    </row>
    <row r="54" spans="1:16" ht="15" customHeight="1" x14ac:dyDescent="0.25">
      <c r="A54" s="297"/>
      <c r="B54" s="308">
        <f t="shared" si="3"/>
        <v>42461</v>
      </c>
      <c r="C54" s="308" t="s">
        <v>33</v>
      </c>
      <c r="D54" s="312">
        <f t="shared" si="4"/>
        <v>1137.4840833333335</v>
      </c>
      <c r="E54" s="299">
        <f>SUMPRODUCT(('Inc CWIP &amp; Plant'!$A$12:$A$375=E$37)*
('Inc CWIP &amp; Plant'!$S$11:$AP$11=$B54)*
('Inc CWIP &amp; Plant'!$B$12:$B$375=$C54)*
('Inc CWIP &amp; Plant'!$S$12:$AP$375))</f>
        <v>0</v>
      </c>
      <c r="F54" s="299">
        <f>SUMPRODUCT(('Inc CWIP &amp; Plant'!$A$12:$A$375=F$37)*
('Inc CWIP &amp; Plant'!$S$11:$AP$11=$B54)*
('Inc CWIP &amp; Plant'!$B$12:$B$375=$C54)*
('Inc CWIP &amp; Plant'!$S$12:$AP$375))</f>
        <v>0</v>
      </c>
      <c r="G54" s="299">
        <f>SUMPRODUCT(('Inc CWIP &amp; Plant'!$A$12:$A$375=G$37)*
('Inc CWIP &amp; Plant'!$S$11:$AP$11=$B54)*
('Inc CWIP &amp; Plant'!$B$12:$B$375=$C54)*
('Inc CWIP &amp; Plant'!$S$12:$AP$375))</f>
        <v>0</v>
      </c>
      <c r="H54" s="299">
        <f>SUMPRODUCT(('Inc CWIP &amp; Plant'!$A$12:$A$375=H$37)*
('Inc CWIP &amp; Plant'!$S$11:$AP$11=$B54)*
('Inc CWIP &amp; Plant'!$B$12:$B$375=$C54)*
('Inc CWIP &amp; Plant'!$S$12:$AP$375))</f>
        <v>1137.4840833333335</v>
      </c>
      <c r="I54" s="299">
        <f>SUMPRODUCT(('Inc CWIP &amp; Plant'!$A$12:$A$375=I$37)*
('Inc CWIP &amp; Plant'!$S$11:$AP$11=$B54)*
('Inc CWIP &amp; Plant'!$B$12:$B$375=$C54)*
('Inc CWIP &amp; Plant'!$S$12:$AP$375))</f>
        <v>0</v>
      </c>
      <c r="J54" s="299">
        <f>SUMPRODUCT(('Inc CWIP &amp; Plant'!$A$12:$A$375=J$37)*
('Inc CWIP &amp; Plant'!$S$11:$AP$11=$B54)*
('Inc CWIP &amp; Plant'!$B$12:$B$375=$C54)*
('Inc CWIP &amp; Plant'!$S$12:$AP$375))</f>
        <v>0</v>
      </c>
      <c r="K54" s="299">
        <f>SUMPRODUCT(('Inc CWIP &amp; Plant'!$A$12:$A$375=K$37)*
('Inc CWIP &amp; Plant'!$S$11:$AP$11=$B54)*
('Inc CWIP &amp; Plant'!$B$12:$B$375=$C54)*
('Inc CWIP &amp; Plant'!$S$12:$AP$375))</f>
        <v>0</v>
      </c>
      <c r="L54" s="299">
        <f>SUMPRODUCT(('Inc CWIP &amp; Plant'!$A$12:$A$375=L$37)*
('Inc CWIP &amp; Plant'!$S$11:$AP$11=$B54)*
('Inc CWIP &amp; Plant'!$B$12:$B$375=$C54)*
('Inc CWIP &amp; Plant'!$S$12:$AP$375))</f>
        <v>0</v>
      </c>
      <c r="M54" s="299">
        <f>SUMPRODUCT(('Inc CWIP &amp; Plant'!$A$12:$A$375=M$37)*
('Inc CWIP &amp; Plant'!$S$11:$AP$11=$B54)*
('Inc CWIP &amp; Plant'!$B$12:$B$375=$C54)*
('Inc CWIP &amp; Plant'!$S$12:$AP$375))</f>
        <v>0</v>
      </c>
      <c r="N54" s="299">
        <f>SUMPRODUCT(('Inc CWIP &amp; Plant'!$A$12:$A$375=N$37)*
('Inc CWIP &amp; Plant'!$S$11:$AP$11=$B54)*
('Inc CWIP &amp; Plant'!$B$12:$B$375=$C54)*
('Inc CWIP &amp; Plant'!$S$12:$AP$375))</f>
        <v>0</v>
      </c>
      <c r="O54" s="299">
        <f>SUMPRODUCT(('Inc CWIP &amp; Plant'!$A$12:$A$375=O$37)*
('Inc CWIP &amp; Plant'!$S$11:$AP$11=$B54)*
('Inc CWIP &amp; Plant'!$B$12:$B$375=$C54)*
('Inc CWIP &amp; Plant'!$S$12:$AP$375))</f>
        <v>0</v>
      </c>
      <c r="P54" s="299">
        <f>SUMPRODUCT(('Inc CWIP &amp; Plant'!$A$12:$A$375=P$37)*
('Inc CWIP &amp; Plant'!$S$11:$AP$11=$B54)*
('Inc CWIP &amp; Plant'!$B$12:$B$375=$C54)*
('Inc CWIP &amp; Plant'!$S$12:$AP$375))</f>
        <v>0</v>
      </c>
    </row>
    <row r="55" spans="1:16" ht="15" customHeight="1" x14ac:dyDescent="0.25">
      <c r="A55" s="297"/>
      <c r="B55" s="308">
        <f t="shared" si="3"/>
        <v>42491</v>
      </c>
      <c r="C55" s="308" t="s">
        <v>33</v>
      </c>
      <c r="D55" s="312">
        <f t="shared" si="4"/>
        <v>1137.4840833333335</v>
      </c>
      <c r="E55" s="299">
        <f>SUMPRODUCT(('Inc CWIP &amp; Plant'!$A$12:$A$375=E$37)*
('Inc CWIP &amp; Plant'!$S$11:$AP$11=$B55)*
('Inc CWIP &amp; Plant'!$B$12:$B$375=$C55)*
('Inc CWIP &amp; Plant'!$S$12:$AP$375))</f>
        <v>0</v>
      </c>
      <c r="F55" s="299">
        <f>SUMPRODUCT(('Inc CWIP &amp; Plant'!$A$12:$A$375=F$37)*
('Inc CWIP &amp; Plant'!$S$11:$AP$11=$B55)*
('Inc CWIP &amp; Plant'!$B$12:$B$375=$C55)*
('Inc CWIP &amp; Plant'!$S$12:$AP$375))</f>
        <v>0</v>
      </c>
      <c r="G55" s="299">
        <f>SUMPRODUCT(('Inc CWIP &amp; Plant'!$A$12:$A$375=G$37)*
('Inc CWIP &amp; Plant'!$S$11:$AP$11=$B55)*
('Inc CWIP &amp; Plant'!$B$12:$B$375=$C55)*
('Inc CWIP &amp; Plant'!$S$12:$AP$375))</f>
        <v>0</v>
      </c>
      <c r="H55" s="299">
        <f>SUMPRODUCT(('Inc CWIP &amp; Plant'!$A$12:$A$375=H$37)*
('Inc CWIP &amp; Plant'!$S$11:$AP$11=$B55)*
('Inc CWIP &amp; Plant'!$B$12:$B$375=$C55)*
('Inc CWIP &amp; Plant'!$S$12:$AP$375))</f>
        <v>1137.4840833333335</v>
      </c>
      <c r="I55" s="299">
        <f>SUMPRODUCT(('Inc CWIP &amp; Plant'!$A$12:$A$375=I$37)*
('Inc CWIP &amp; Plant'!$S$11:$AP$11=$B55)*
('Inc CWIP &amp; Plant'!$B$12:$B$375=$C55)*
('Inc CWIP &amp; Plant'!$S$12:$AP$375))</f>
        <v>0</v>
      </c>
      <c r="J55" s="299">
        <f>SUMPRODUCT(('Inc CWIP &amp; Plant'!$A$12:$A$375=J$37)*
('Inc CWIP &amp; Plant'!$S$11:$AP$11=$B55)*
('Inc CWIP &amp; Plant'!$B$12:$B$375=$C55)*
('Inc CWIP &amp; Plant'!$S$12:$AP$375))</f>
        <v>0</v>
      </c>
      <c r="K55" s="299">
        <f>SUMPRODUCT(('Inc CWIP &amp; Plant'!$A$12:$A$375=K$37)*
('Inc CWIP &amp; Plant'!$S$11:$AP$11=$B55)*
('Inc CWIP &amp; Plant'!$B$12:$B$375=$C55)*
('Inc CWIP &amp; Plant'!$S$12:$AP$375))</f>
        <v>0</v>
      </c>
      <c r="L55" s="299">
        <f>SUMPRODUCT(('Inc CWIP &amp; Plant'!$A$12:$A$375=L$37)*
('Inc CWIP &amp; Plant'!$S$11:$AP$11=$B55)*
('Inc CWIP &amp; Plant'!$B$12:$B$375=$C55)*
('Inc CWIP &amp; Plant'!$S$12:$AP$375))</f>
        <v>0</v>
      </c>
      <c r="M55" s="299">
        <f>SUMPRODUCT(('Inc CWIP &amp; Plant'!$A$12:$A$375=M$37)*
('Inc CWIP &amp; Plant'!$S$11:$AP$11=$B55)*
('Inc CWIP &amp; Plant'!$B$12:$B$375=$C55)*
('Inc CWIP &amp; Plant'!$S$12:$AP$375))</f>
        <v>0</v>
      </c>
      <c r="N55" s="299">
        <f>SUMPRODUCT(('Inc CWIP &amp; Plant'!$A$12:$A$375=N$37)*
('Inc CWIP &amp; Plant'!$S$11:$AP$11=$B55)*
('Inc CWIP &amp; Plant'!$B$12:$B$375=$C55)*
('Inc CWIP &amp; Plant'!$S$12:$AP$375))</f>
        <v>0</v>
      </c>
      <c r="O55" s="299">
        <f>SUMPRODUCT(('Inc CWIP &amp; Plant'!$A$12:$A$375=O$37)*
('Inc CWIP &amp; Plant'!$S$11:$AP$11=$B55)*
('Inc CWIP &amp; Plant'!$B$12:$B$375=$C55)*
('Inc CWIP &amp; Plant'!$S$12:$AP$375))</f>
        <v>0</v>
      </c>
      <c r="P55" s="299">
        <f>SUMPRODUCT(('Inc CWIP &amp; Plant'!$A$12:$A$375=P$37)*
('Inc CWIP &amp; Plant'!$S$11:$AP$11=$B55)*
('Inc CWIP &amp; Plant'!$B$12:$B$375=$C55)*
('Inc CWIP &amp; Plant'!$S$12:$AP$375))</f>
        <v>0</v>
      </c>
    </row>
    <row r="56" spans="1:16" ht="15" customHeight="1" x14ac:dyDescent="0.25">
      <c r="A56" s="297"/>
      <c r="B56" s="308">
        <f t="shared" si="3"/>
        <v>42522</v>
      </c>
      <c r="C56" s="308" t="s">
        <v>33</v>
      </c>
      <c r="D56" s="312">
        <f t="shared" si="4"/>
        <v>1137.4840833333335</v>
      </c>
      <c r="E56" s="299">
        <f>SUMPRODUCT(('Inc CWIP &amp; Plant'!$A$12:$A$375=E$37)*
('Inc CWIP &amp; Plant'!$S$11:$AP$11=$B56)*
('Inc CWIP &amp; Plant'!$B$12:$B$375=$C56)*
('Inc CWIP &amp; Plant'!$S$12:$AP$375))</f>
        <v>0</v>
      </c>
      <c r="F56" s="299">
        <f>SUMPRODUCT(('Inc CWIP &amp; Plant'!$A$12:$A$375=F$37)*
('Inc CWIP &amp; Plant'!$S$11:$AP$11=$B56)*
('Inc CWIP &amp; Plant'!$B$12:$B$375=$C56)*
('Inc CWIP &amp; Plant'!$S$12:$AP$375))</f>
        <v>0</v>
      </c>
      <c r="G56" s="299">
        <f>SUMPRODUCT(('Inc CWIP &amp; Plant'!$A$12:$A$375=G$37)*
('Inc CWIP &amp; Plant'!$S$11:$AP$11=$B56)*
('Inc CWIP &amp; Plant'!$B$12:$B$375=$C56)*
('Inc CWIP &amp; Plant'!$S$12:$AP$375))</f>
        <v>0</v>
      </c>
      <c r="H56" s="299">
        <f>SUMPRODUCT(('Inc CWIP &amp; Plant'!$A$12:$A$375=H$37)*
('Inc CWIP &amp; Plant'!$S$11:$AP$11=$B56)*
('Inc CWIP &amp; Plant'!$B$12:$B$375=$C56)*
('Inc CWIP &amp; Plant'!$S$12:$AP$375))</f>
        <v>1137.4840833333335</v>
      </c>
      <c r="I56" s="299">
        <f>SUMPRODUCT(('Inc CWIP &amp; Plant'!$A$12:$A$375=I$37)*
('Inc CWIP &amp; Plant'!$S$11:$AP$11=$B56)*
('Inc CWIP &amp; Plant'!$B$12:$B$375=$C56)*
('Inc CWIP &amp; Plant'!$S$12:$AP$375))</f>
        <v>0</v>
      </c>
      <c r="J56" s="299">
        <f>SUMPRODUCT(('Inc CWIP &amp; Plant'!$A$12:$A$375=J$37)*
('Inc CWIP &amp; Plant'!$S$11:$AP$11=$B56)*
('Inc CWIP &amp; Plant'!$B$12:$B$375=$C56)*
('Inc CWIP &amp; Plant'!$S$12:$AP$375))</f>
        <v>0</v>
      </c>
      <c r="K56" s="299">
        <f>SUMPRODUCT(('Inc CWIP &amp; Plant'!$A$12:$A$375=K$37)*
('Inc CWIP &amp; Plant'!$S$11:$AP$11=$B56)*
('Inc CWIP &amp; Plant'!$B$12:$B$375=$C56)*
('Inc CWIP &amp; Plant'!$S$12:$AP$375))</f>
        <v>0</v>
      </c>
      <c r="L56" s="299">
        <f>SUMPRODUCT(('Inc CWIP &amp; Plant'!$A$12:$A$375=L$37)*
('Inc CWIP &amp; Plant'!$S$11:$AP$11=$B56)*
('Inc CWIP &amp; Plant'!$B$12:$B$375=$C56)*
('Inc CWIP &amp; Plant'!$S$12:$AP$375))</f>
        <v>0</v>
      </c>
      <c r="M56" s="299">
        <f>SUMPRODUCT(('Inc CWIP &amp; Plant'!$A$12:$A$375=M$37)*
('Inc CWIP &amp; Plant'!$S$11:$AP$11=$B56)*
('Inc CWIP &amp; Plant'!$B$12:$B$375=$C56)*
('Inc CWIP &amp; Plant'!$S$12:$AP$375))</f>
        <v>0</v>
      </c>
      <c r="N56" s="299">
        <f>SUMPRODUCT(('Inc CWIP &amp; Plant'!$A$12:$A$375=N$37)*
('Inc CWIP &amp; Plant'!$S$11:$AP$11=$B56)*
('Inc CWIP &amp; Plant'!$B$12:$B$375=$C56)*
('Inc CWIP &amp; Plant'!$S$12:$AP$375))</f>
        <v>0</v>
      </c>
      <c r="O56" s="299">
        <f>SUMPRODUCT(('Inc CWIP &amp; Plant'!$A$12:$A$375=O$37)*
('Inc CWIP &amp; Plant'!$S$11:$AP$11=$B56)*
('Inc CWIP &amp; Plant'!$B$12:$B$375=$C56)*
('Inc CWIP &amp; Plant'!$S$12:$AP$375))</f>
        <v>0</v>
      </c>
      <c r="P56" s="299">
        <f>SUMPRODUCT(('Inc CWIP &amp; Plant'!$A$12:$A$375=P$37)*
('Inc CWIP &amp; Plant'!$S$11:$AP$11=$B56)*
('Inc CWIP &amp; Plant'!$B$12:$B$375=$C56)*
('Inc CWIP &amp; Plant'!$S$12:$AP$375))</f>
        <v>0</v>
      </c>
    </row>
    <row r="57" spans="1:16" ht="15" customHeight="1" x14ac:dyDescent="0.25">
      <c r="A57" s="297"/>
      <c r="B57" s="308">
        <f t="shared" si="3"/>
        <v>42552</v>
      </c>
      <c r="C57" s="308" t="s">
        <v>33</v>
      </c>
      <c r="D57" s="312">
        <f t="shared" si="4"/>
        <v>1137.4840833333335</v>
      </c>
      <c r="E57" s="299">
        <f>SUMPRODUCT(('Inc CWIP &amp; Plant'!$A$12:$A$375=E$37)*
('Inc CWIP &amp; Plant'!$S$11:$AP$11=$B57)*
('Inc CWIP &amp; Plant'!$B$12:$B$375=$C57)*
('Inc CWIP &amp; Plant'!$S$12:$AP$375))</f>
        <v>0</v>
      </c>
      <c r="F57" s="299">
        <f>SUMPRODUCT(('Inc CWIP &amp; Plant'!$A$12:$A$375=F$37)*
('Inc CWIP &amp; Plant'!$S$11:$AP$11=$B57)*
('Inc CWIP &amp; Plant'!$B$12:$B$375=$C57)*
('Inc CWIP &amp; Plant'!$S$12:$AP$375))</f>
        <v>0</v>
      </c>
      <c r="G57" s="299">
        <f>SUMPRODUCT(('Inc CWIP &amp; Plant'!$A$12:$A$375=G$37)*
('Inc CWIP &amp; Plant'!$S$11:$AP$11=$B57)*
('Inc CWIP &amp; Plant'!$B$12:$B$375=$C57)*
('Inc CWIP &amp; Plant'!$S$12:$AP$375))</f>
        <v>0</v>
      </c>
      <c r="H57" s="299">
        <f>SUMPRODUCT(('Inc CWIP &amp; Plant'!$A$12:$A$375=H$37)*
('Inc CWIP &amp; Plant'!$S$11:$AP$11=$B57)*
('Inc CWIP &amp; Plant'!$B$12:$B$375=$C57)*
('Inc CWIP &amp; Plant'!$S$12:$AP$375))</f>
        <v>1137.4840833333335</v>
      </c>
      <c r="I57" s="299">
        <f>SUMPRODUCT(('Inc CWIP &amp; Plant'!$A$12:$A$375=I$37)*
('Inc CWIP &amp; Plant'!$S$11:$AP$11=$B57)*
('Inc CWIP &amp; Plant'!$B$12:$B$375=$C57)*
('Inc CWIP &amp; Plant'!$S$12:$AP$375))</f>
        <v>0</v>
      </c>
      <c r="J57" s="299">
        <f>SUMPRODUCT(('Inc CWIP &amp; Plant'!$A$12:$A$375=J$37)*
('Inc CWIP &amp; Plant'!$S$11:$AP$11=$B57)*
('Inc CWIP &amp; Plant'!$B$12:$B$375=$C57)*
('Inc CWIP &amp; Plant'!$S$12:$AP$375))</f>
        <v>0</v>
      </c>
      <c r="K57" s="299">
        <f>SUMPRODUCT(('Inc CWIP &amp; Plant'!$A$12:$A$375=K$37)*
('Inc CWIP &amp; Plant'!$S$11:$AP$11=$B57)*
('Inc CWIP &amp; Plant'!$B$12:$B$375=$C57)*
('Inc CWIP &amp; Plant'!$S$12:$AP$375))</f>
        <v>0</v>
      </c>
      <c r="L57" s="299">
        <f>SUMPRODUCT(('Inc CWIP &amp; Plant'!$A$12:$A$375=L$37)*
('Inc CWIP &amp; Plant'!$S$11:$AP$11=$B57)*
('Inc CWIP &amp; Plant'!$B$12:$B$375=$C57)*
('Inc CWIP &amp; Plant'!$S$12:$AP$375))</f>
        <v>0</v>
      </c>
      <c r="M57" s="299">
        <f>SUMPRODUCT(('Inc CWIP &amp; Plant'!$A$12:$A$375=M$37)*
('Inc CWIP &amp; Plant'!$S$11:$AP$11=$B57)*
('Inc CWIP &amp; Plant'!$B$12:$B$375=$C57)*
('Inc CWIP &amp; Plant'!$S$12:$AP$375))</f>
        <v>0</v>
      </c>
      <c r="N57" s="299">
        <f>SUMPRODUCT(('Inc CWIP &amp; Plant'!$A$12:$A$375=N$37)*
('Inc CWIP &amp; Plant'!$S$11:$AP$11=$B57)*
('Inc CWIP &amp; Plant'!$B$12:$B$375=$C57)*
('Inc CWIP &amp; Plant'!$S$12:$AP$375))</f>
        <v>0</v>
      </c>
      <c r="O57" s="299">
        <f>SUMPRODUCT(('Inc CWIP &amp; Plant'!$A$12:$A$375=O$37)*
('Inc CWIP &amp; Plant'!$S$11:$AP$11=$B57)*
('Inc CWIP &amp; Plant'!$B$12:$B$375=$C57)*
('Inc CWIP &amp; Plant'!$S$12:$AP$375))</f>
        <v>0</v>
      </c>
      <c r="P57" s="299">
        <f>SUMPRODUCT(('Inc CWIP &amp; Plant'!$A$12:$A$375=P$37)*
('Inc CWIP &amp; Plant'!$S$11:$AP$11=$B57)*
('Inc CWIP &amp; Plant'!$B$12:$B$375=$C57)*
('Inc CWIP &amp; Plant'!$S$12:$AP$375))</f>
        <v>0</v>
      </c>
    </row>
    <row r="58" spans="1:16" ht="15" customHeight="1" x14ac:dyDescent="0.25">
      <c r="A58" s="297"/>
      <c r="B58" s="308">
        <f t="shared" si="3"/>
        <v>42583</v>
      </c>
      <c r="C58" s="308" t="s">
        <v>33</v>
      </c>
      <c r="D58" s="312">
        <f t="shared" si="4"/>
        <v>1137.4840833333335</v>
      </c>
      <c r="E58" s="299">
        <f>SUMPRODUCT(('Inc CWIP &amp; Plant'!$A$12:$A$375=E$37)*
('Inc CWIP &amp; Plant'!$S$11:$AP$11=$B58)*
('Inc CWIP &amp; Plant'!$B$12:$B$375=$C58)*
('Inc CWIP &amp; Plant'!$S$12:$AP$375))</f>
        <v>0</v>
      </c>
      <c r="F58" s="299">
        <f>SUMPRODUCT(('Inc CWIP &amp; Plant'!$A$12:$A$375=F$37)*
('Inc CWIP &amp; Plant'!$S$11:$AP$11=$B58)*
('Inc CWIP &amp; Plant'!$B$12:$B$375=$C58)*
('Inc CWIP &amp; Plant'!$S$12:$AP$375))</f>
        <v>0</v>
      </c>
      <c r="G58" s="299">
        <f>SUMPRODUCT(('Inc CWIP &amp; Plant'!$A$12:$A$375=G$37)*
('Inc CWIP &amp; Plant'!$S$11:$AP$11=$B58)*
('Inc CWIP &amp; Plant'!$B$12:$B$375=$C58)*
('Inc CWIP &amp; Plant'!$S$12:$AP$375))</f>
        <v>0</v>
      </c>
      <c r="H58" s="299">
        <f>SUMPRODUCT(('Inc CWIP &amp; Plant'!$A$12:$A$375=H$37)*
('Inc CWIP &amp; Plant'!$S$11:$AP$11=$B58)*
('Inc CWIP &amp; Plant'!$B$12:$B$375=$C58)*
('Inc CWIP &amp; Plant'!$S$12:$AP$375))</f>
        <v>1137.4840833333335</v>
      </c>
      <c r="I58" s="299">
        <f>SUMPRODUCT(('Inc CWIP &amp; Plant'!$A$12:$A$375=I$37)*
('Inc CWIP &amp; Plant'!$S$11:$AP$11=$B58)*
('Inc CWIP &amp; Plant'!$B$12:$B$375=$C58)*
('Inc CWIP &amp; Plant'!$S$12:$AP$375))</f>
        <v>0</v>
      </c>
      <c r="J58" s="299">
        <f>SUMPRODUCT(('Inc CWIP &amp; Plant'!$A$12:$A$375=J$37)*
('Inc CWIP &amp; Plant'!$S$11:$AP$11=$B58)*
('Inc CWIP &amp; Plant'!$B$12:$B$375=$C58)*
('Inc CWIP &amp; Plant'!$S$12:$AP$375))</f>
        <v>0</v>
      </c>
      <c r="K58" s="299">
        <f>SUMPRODUCT(('Inc CWIP &amp; Plant'!$A$12:$A$375=K$37)*
('Inc CWIP &amp; Plant'!$S$11:$AP$11=$B58)*
('Inc CWIP &amp; Plant'!$B$12:$B$375=$C58)*
('Inc CWIP &amp; Plant'!$S$12:$AP$375))</f>
        <v>0</v>
      </c>
      <c r="L58" s="299">
        <f>SUMPRODUCT(('Inc CWIP &amp; Plant'!$A$12:$A$375=L$37)*
('Inc CWIP &amp; Plant'!$S$11:$AP$11=$B58)*
('Inc CWIP &amp; Plant'!$B$12:$B$375=$C58)*
('Inc CWIP &amp; Plant'!$S$12:$AP$375))</f>
        <v>0</v>
      </c>
      <c r="M58" s="299">
        <f>SUMPRODUCT(('Inc CWIP &amp; Plant'!$A$12:$A$375=M$37)*
('Inc CWIP &amp; Plant'!$S$11:$AP$11=$B58)*
('Inc CWIP &amp; Plant'!$B$12:$B$375=$C58)*
('Inc CWIP &amp; Plant'!$S$12:$AP$375))</f>
        <v>0</v>
      </c>
      <c r="N58" s="299">
        <f>SUMPRODUCT(('Inc CWIP &amp; Plant'!$A$12:$A$375=N$37)*
('Inc CWIP &amp; Plant'!$S$11:$AP$11=$B58)*
('Inc CWIP &amp; Plant'!$B$12:$B$375=$C58)*
('Inc CWIP &amp; Plant'!$S$12:$AP$375))</f>
        <v>0</v>
      </c>
      <c r="O58" s="299">
        <f>SUMPRODUCT(('Inc CWIP &amp; Plant'!$A$12:$A$375=O$37)*
('Inc CWIP &amp; Plant'!$S$11:$AP$11=$B58)*
('Inc CWIP &amp; Plant'!$B$12:$B$375=$C58)*
('Inc CWIP &amp; Plant'!$S$12:$AP$375))</f>
        <v>0</v>
      </c>
      <c r="P58" s="299">
        <f>SUMPRODUCT(('Inc CWIP &amp; Plant'!$A$12:$A$375=P$37)*
('Inc CWIP &amp; Plant'!$S$11:$AP$11=$B58)*
('Inc CWIP &amp; Plant'!$B$12:$B$375=$C58)*
('Inc CWIP &amp; Plant'!$S$12:$AP$375))</f>
        <v>0</v>
      </c>
    </row>
    <row r="59" spans="1:16" ht="15" customHeight="1" x14ac:dyDescent="0.25">
      <c r="A59" s="297"/>
      <c r="B59" s="308">
        <f t="shared" si="3"/>
        <v>42614</v>
      </c>
      <c r="C59" s="308" t="s">
        <v>33</v>
      </c>
      <c r="D59" s="312">
        <f t="shared" si="4"/>
        <v>1137.4840833333335</v>
      </c>
      <c r="E59" s="299">
        <f>SUMPRODUCT(('Inc CWIP &amp; Plant'!$A$12:$A$375=E$37)*
('Inc CWIP &amp; Plant'!$S$11:$AP$11=$B59)*
('Inc CWIP &amp; Plant'!$B$12:$B$375=$C59)*
('Inc CWIP &amp; Plant'!$S$12:$AP$375))</f>
        <v>0</v>
      </c>
      <c r="F59" s="299">
        <f>SUMPRODUCT(('Inc CWIP &amp; Plant'!$A$12:$A$375=F$37)*
('Inc CWIP &amp; Plant'!$S$11:$AP$11=$B59)*
('Inc CWIP &amp; Plant'!$B$12:$B$375=$C59)*
('Inc CWIP &amp; Plant'!$S$12:$AP$375))</f>
        <v>0</v>
      </c>
      <c r="G59" s="299">
        <f>SUMPRODUCT(('Inc CWIP &amp; Plant'!$A$12:$A$375=G$37)*
('Inc CWIP &amp; Plant'!$S$11:$AP$11=$B59)*
('Inc CWIP &amp; Plant'!$B$12:$B$375=$C59)*
('Inc CWIP &amp; Plant'!$S$12:$AP$375))</f>
        <v>0</v>
      </c>
      <c r="H59" s="299">
        <f>SUMPRODUCT(('Inc CWIP &amp; Plant'!$A$12:$A$375=H$37)*
('Inc CWIP &amp; Plant'!$S$11:$AP$11=$B59)*
('Inc CWIP &amp; Plant'!$B$12:$B$375=$C59)*
('Inc CWIP &amp; Plant'!$S$12:$AP$375))</f>
        <v>1137.4840833333335</v>
      </c>
      <c r="I59" s="299">
        <f>SUMPRODUCT(('Inc CWIP &amp; Plant'!$A$12:$A$375=I$37)*
('Inc CWIP &amp; Plant'!$S$11:$AP$11=$B59)*
('Inc CWIP &amp; Plant'!$B$12:$B$375=$C59)*
('Inc CWIP &amp; Plant'!$S$12:$AP$375))</f>
        <v>0</v>
      </c>
      <c r="J59" s="299">
        <f>SUMPRODUCT(('Inc CWIP &amp; Plant'!$A$12:$A$375=J$37)*
('Inc CWIP &amp; Plant'!$S$11:$AP$11=$B59)*
('Inc CWIP &amp; Plant'!$B$12:$B$375=$C59)*
('Inc CWIP &amp; Plant'!$S$12:$AP$375))</f>
        <v>0</v>
      </c>
      <c r="K59" s="299">
        <f>SUMPRODUCT(('Inc CWIP &amp; Plant'!$A$12:$A$375=K$37)*
('Inc CWIP &amp; Plant'!$S$11:$AP$11=$B59)*
('Inc CWIP &amp; Plant'!$B$12:$B$375=$C59)*
('Inc CWIP &amp; Plant'!$S$12:$AP$375))</f>
        <v>0</v>
      </c>
      <c r="L59" s="299">
        <f>SUMPRODUCT(('Inc CWIP &amp; Plant'!$A$12:$A$375=L$37)*
('Inc CWIP &amp; Plant'!$S$11:$AP$11=$B59)*
('Inc CWIP &amp; Plant'!$B$12:$B$375=$C59)*
('Inc CWIP &amp; Plant'!$S$12:$AP$375))</f>
        <v>0</v>
      </c>
      <c r="M59" s="299">
        <f>SUMPRODUCT(('Inc CWIP &amp; Plant'!$A$12:$A$375=M$37)*
('Inc CWIP &amp; Plant'!$S$11:$AP$11=$B59)*
('Inc CWIP &amp; Plant'!$B$12:$B$375=$C59)*
('Inc CWIP &amp; Plant'!$S$12:$AP$375))</f>
        <v>0</v>
      </c>
      <c r="N59" s="299">
        <f>SUMPRODUCT(('Inc CWIP &amp; Plant'!$A$12:$A$375=N$37)*
('Inc CWIP &amp; Plant'!$S$11:$AP$11=$B59)*
('Inc CWIP &amp; Plant'!$B$12:$B$375=$C59)*
('Inc CWIP &amp; Plant'!$S$12:$AP$375))</f>
        <v>0</v>
      </c>
      <c r="O59" s="299">
        <f>SUMPRODUCT(('Inc CWIP &amp; Plant'!$A$12:$A$375=O$37)*
('Inc CWIP &amp; Plant'!$S$11:$AP$11=$B59)*
('Inc CWIP &amp; Plant'!$B$12:$B$375=$C59)*
('Inc CWIP &amp; Plant'!$S$12:$AP$375))</f>
        <v>0</v>
      </c>
      <c r="P59" s="299">
        <f>SUMPRODUCT(('Inc CWIP &amp; Plant'!$A$12:$A$375=P$37)*
('Inc CWIP &amp; Plant'!$S$11:$AP$11=$B59)*
('Inc CWIP &amp; Plant'!$B$12:$B$375=$C59)*
('Inc CWIP &amp; Plant'!$S$12:$AP$375))</f>
        <v>0</v>
      </c>
    </row>
    <row r="60" spans="1:16" ht="15" customHeight="1" x14ac:dyDescent="0.25">
      <c r="A60" s="297"/>
      <c r="B60" s="308">
        <f t="shared" si="3"/>
        <v>42644</v>
      </c>
      <c r="C60" s="308" t="s">
        <v>33</v>
      </c>
      <c r="D60" s="312">
        <f t="shared" si="4"/>
        <v>331770.75002333341</v>
      </c>
      <c r="E60" s="299">
        <f>SUMPRODUCT(('Inc CWIP &amp; Plant'!$A$12:$A$375=E$37)*
('Inc CWIP &amp; Plant'!$S$11:$AP$11=$B60)*
('Inc CWIP &amp; Plant'!$B$12:$B$375=$C60)*
('Inc CWIP &amp; Plant'!$S$12:$AP$375))</f>
        <v>0</v>
      </c>
      <c r="F60" s="299">
        <f>SUMPRODUCT(('Inc CWIP &amp; Plant'!$A$12:$A$375=F$37)*
('Inc CWIP &amp; Plant'!$S$11:$AP$11=$B60)*
('Inc CWIP &amp; Plant'!$B$12:$B$375=$C60)*
('Inc CWIP &amp; Plant'!$S$12:$AP$375))</f>
        <v>0</v>
      </c>
      <c r="G60" s="299">
        <f>SUMPRODUCT(('Inc CWIP &amp; Plant'!$A$12:$A$375=G$37)*
('Inc CWIP &amp; Plant'!$S$11:$AP$11=$B60)*
('Inc CWIP &amp; Plant'!$B$12:$B$375=$C60)*
('Inc CWIP &amp; Plant'!$S$12:$AP$375))</f>
        <v>0</v>
      </c>
      <c r="H60" s="299">
        <f>SUMPRODUCT(('Inc CWIP &amp; Plant'!$A$12:$A$375=H$37)*
('Inc CWIP &amp; Plant'!$S$11:$AP$11=$B60)*
('Inc CWIP &amp; Plant'!$B$12:$B$375=$C60)*
('Inc CWIP &amp; Plant'!$S$12:$AP$375))</f>
        <v>331770.75002333341</v>
      </c>
      <c r="I60" s="299">
        <f>SUMPRODUCT(('Inc CWIP &amp; Plant'!$A$12:$A$375=I$37)*
('Inc CWIP &amp; Plant'!$S$11:$AP$11=$B60)*
('Inc CWIP &amp; Plant'!$B$12:$B$375=$C60)*
('Inc CWIP &amp; Plant'!$S$12:$AP$375))</f>
        <v>0</v>
      </c>
      <c r="J60" s="299">
        <f>SUMPRODUCT(('Inc CWIP &amp; Plant'!$A$12:$A$375=J$37)*
('Inc CWIP &amp; Plant'!$S$11:$AP$11=$B60)*
('Inc CWIP &amp; Plant'!$B$12:$B$375=$C60)*
('Inc CWIP &amp; Plant'!$S$12:$AP$375))</f>
        <v>0</v>
      </c>
      <c r="K60" s="299">
        <f>SUMPRODUCT(('Inc CWIP &amp; Plant'!$A$12:$A$375=K$37)*
('Inc CWIP &amp; Plant'!$S$11:$AP$11=$B60)*
('Inc CWIP &amp; Plant'!$B$12:$B$375=$C60)*
('Inc CWIP &amp; Plant'!$S$12:$AP$375))</f>
        <v>0</v>
      </c>
      <c r="L60" s="299">
        <f>SUMPRODUCT(('Inc CWIP &amp; Plant'!$A$12:$A$375=L$37)*
('Inc CWIP &amp; Plant'!$S$11:$AP$11=$B60)*
('Inc CWIP &amp; Plant'!$B$12:$B$375=$C60)*
('Inc CWIP &amp; Plant'!$S$12:$AP$375))</f>
        <v>0</v>
      </c>
      <c r="M60" s="299">
        <f>SUMPRODUCT(('Inc CWIP &amp; Plant'!$A$12:$A$375=M$37)*
('Inc CWIP &amp; Plant'!$S$11:$AP$11=$B60)*
('Inc CWIP &amp; Plant'!$B$12:$B$375=$C60)*
('Inc CWIP &amp; Plant'!$S$12:$AP$375))</f>
        <v>0</v>
      </c>
      <c r="N60" s="299">
        <f>SUMPRODUCT(('Inc CWIP &amp; Plant'!$A$12:$A$375=N$37)*
('Inc CWIP &amp; Plant'!$S$11:$AP$11=$B60)*
('Inc CWIP &amp; Plant'!$B$12:$B$375=$C60)*
('Inc CWIP &amp; Plant'!$S$12:$AP$375))</f>
        <v>0</v>
      </c>
      <c r="O60" s="299">
        <f>SUMPRODUCT(('Inc CWIP &amp; Plant'!$A$12:$A$375=O$37)*
('Inc CWIP &amp; Plant'!$S$11:$AP$11=$B60)*
('Inc CWIP &amp; Plant'!$B$12:$B$375=$C60)*
('Inc CWIP &amp; Plant'!$S$12:$AP$375))</f>
        <v>0</v>
      </c>
      <c r="P60" s="299">
        <f>SUMPRODUCT(('Inc CWIP &amp; Plant'!$A$12:$A$375=P$37)*
('Inc CWIP &amp; Plant'!$S$11:$AP$11=$B60)*
('Inc CWIP &amp; Plant'!$B$12:$B$375=$C60)*
('Inc CWIP &amp; Plant'!$S$12:$AP$375))</f>
        <v>0</v>
      </c>
    </row>
    <row r="61" spans="1:16" ht="15" customHeight="1" x14ac:dyDescent="0.25">
      <c r="A61" s="297"/>
      <c r="B61" s="308">
        <f t="shared" si="3"/>
        <v>42675</v>
      </c>
      <c r="C61" s="308" t="s">
        <v>33</v>
      </c>
      <c r="D61" s="312">
        <f t="shared" si="4"/>
        <v>3829.4270883333338</v>
      </c>
      <c r="E61" s="299">
        <f>SUMPRODUCT(('Inc CWIP &amp; Plant'!$A$12:$A$375=E$37)*
('Inc CWIP &amp; Plant'!$S$11:$AP$11=$B61)*
('Inc CWIP &amp; Plant'!$B$12:$B$375=$C61)*
('Inc CWIP &amp; Plant'!$S$12:$AP$375))</f>
        <v>0</v>
      </c>
      <c r="F61" s="299">
        <f>SUMPRODUCT(('Inc CWIP &amp; Plant'!$A$12:$A$375=F$37)*
('Inc CWIP &amp; Plant'!$S$11:$AP$11=$B61)*
('Inc CWIP &amp; Plant'!$B$12:$B$375=$C61)*
('Inc CWIP &amp; Plant'!$S$12:$AP$375))</f>
        <v>0</v>
      </c>
      <c r="G61" s="299">
        <f>SUMPRODUCT(('Inc CWIP &amp; Plant'!$A$12:$A$375=G$37)*
('Inc CWIP &amp; Plant'!$S$11:$AP$11=$B61)*
('Inc CWIP &amp; Plant'!$B$12:$B$375=$C61)*
('Inc CWIP &amp; Plant'!$S$12:$AP$375))</f>
        <v>0</v>
      </c>
      <c r="H61" s="299">
        <f>SUMPRODUCT(('Inc CWIP &amp; Plant'!$A$12:$A$375=H$37)*
('Inc CWIP &amp; Plant'!$S$11:$AP$11=$B61)*
('Inc CWIP &amp; Plant'!$B$12:$B$375=$C61)*
('Inc CWIP &amp; Plant'!$S$12:$AP$375))</f>
        <v>3829.4270883333338</v>
      </c>
      <c r="I61" s="299">
        <f>SUMPRODUCT(('Inc CWIP &amp; Plant'!$A$12:$A$375=I$37)*
('Inc CWIP &amp; Plant'!$S$11:$AP$11=$B61)*
('Inc CWIP &amp; Plant'!$B$12:$B$375=$C61)*
('Inc CWIP &amp; Plant'!$S$12:$AP$375))</f>
        <v>0</v>
      </c>
      <c r="J61" s="299">
        <f>SUMPRODUCT(('Inc CWIP &amp; Plant'!$A$12:$A$375=J$37)*
('Inc CWIP &amp; Plant'!$S$11:$AP$11=$B61)*
('Inc CWIP &amp; Plant'!$B$12:$B$375=$C61)*
('Inc CWIP &amp; Plant'!$S$12:$AP$375))</f>
        <v>0</v>
      </c>
      <c r="K61" s="299">
        <f>SUMPRODUCT(('Inc CWIP &amp; Plant'!$A$12:$A$375=K$37)*
('Inc CWIP &amp; Plant'!$S$11:$AP$11=$B61)*
('Inc CWIP &amp; Plant'!$B$12:$B$375=$C61)*
('Inc CWIP &amp; Plant'!$S$12:$AP$375))</f>
        <v>0</v>
      </c>
      <c r="L61" s="299">
        <f>SUMPRODUCT(('Inc CWIP &amp; Plant'!$A$12:$A$375=L$37)*
('Inc CWIP &amp; Plant'!$S$11:$AP$11=$B61)*
('Inc CWIP &amp; Plant'!$B$12:$B$375=$C61)*
('Inc CWIP &amp; Plant'!$S$12:$AP$375))</f>
        <v>0</v>
      </c>
      <c r="M61" s="299">
        <f>SUMPRODUCT(('Inc CWIP &amp; Plant'!$A$12:$A$375=M$37)*
('Inc CWIP &amp; Plant'!$S$11:$AP$11=$B61)*
('Inc CWIP &amp; Plant'!$B$12:$B$375=$C61)*
('Inc CWIP &amp; Plant'!$S$12:$AP$375))</f>
        <v>0</v>
      </c>
      <c r="N61" s="299">
        <f>SUMPRODUCT(('Inc CWIP &amp; Plant'!$A$12:$A$375=N$37)*
('Inc CWIP &amp; Plant'!$S$11:$AP$11=$B61)*
('Inc CWIP &amp; Plant'!$B$12:$B$375=$C61)*
('Inc CWIP &amp; Plant'!$S$12:$AP$375))</f>
        <v>0</v>
      </c>
      <c r="O61" s="299">
        <f>SUMPRODUCT(('Inc CWIP &amp; Plant'!$A$12:$A$375=O$37)*
('Inc CWIP &amp; Plant'!$S$11:$AP$11=$B61)*
('Inc CWIP &amp; Plant'!$B$12:$B$375=$C61)*
('Inc CWIP &amp; Plant'!$S$12:$AP$375))</f>
        <v>0</v>
      </c>
      <c r="P61" s="299">
        <f>SUMPRODUCT(('Inc CWIP &amp; Plant'!$A$12:$A$375=P$37)*
('Inc CWIP &amp; Plant'!$S$11:$AP$11=$B61)*
('Inc CWIP &amp; Plant'!$B$12:$B$375=$C61)*
('Inc CWIP &amp; Plant'!$S$12:$AP$375))</f>
        <v>0</v>
      </c>
    </row>
    <row r="62" spans="1:16" ht="15" customHeight="1" thickBot="1" x14ac:dyDescent="0.3">
      <c r="A62" s="297"/>
      <c r="B62" s="308">
        <f t="shared" si="3"/>
        <v>42705</v>
      </c>
      <c r="C62" s="308" t="s">
        <v>33</v>
      </c>
      <c r="D62" s="314">
        <f>SUM(E62:P62)</f>
        <v>42363.210358333337</v>
      </c>
      <c r="E62" s="299">
        <f>SUMPRODUCT(('Inc CWIP &amp; Plant'!$A$12:$A$375=E$37)*
('Inc CWIP &amp; Plant'!$S$11:$AP$11=$B62)*
('Inc CWIP &amp; Plant'!$B$12:$B$375=$C62)*
('Inc CWIP &amp; Plant'!$S$12:$AP$375))</f>
        <v>0</v>
      </c>
      <c r="F62" s="299">
        <f>SUMPRODUCT(('Inc CWIP &amp; Plant'!$A$12:$A$375=F$37)*
('Inc CWIP &amp; Plant'!$S$11:$AP$11=$B62)*
('Inc CWIP &amp; Plant'!$B$12:$B$375=$C62)*
('Inc CWIP &amp; Plant'!$S$12:$AP$375))</f>
        <v>0</v>
      </c>
      <c r="G62" s="299">
        <f>SUMPRODUCT(('Inc CWIP &amp; Plant'!$A$12:$A$375=G$37)*
('Inc CWIP &amp; Plant'!$S$11:$AP$11=$B62)*
('Inc CWIP &amp; Plant'!$B$12:$B$375=$C62)*
('Inc CWIP &amp; Plant'!$S$12:$AP$375))</f>
        <v>0</v>
      </c>
      <c r="H62" s="299">
        <f>SUMPRODUCT(('Inc CWIP &amp; Plant'!$A$12:$A$375=H$37)*
('Inc CWIP &amp; Plant'!$S$11:$AP$11=$B62)*
('Inc CWIP &amp; Plant'!$B$12:$B$375=$C62)*
('Inc CWIP &amp; Plant'!$S$12:$AP$375))</f>
        <v>3840.4270883333338</v>
      </c>
      <c r="I62" s="299">
        <f>SUMPRODUCT(('Inc CWIP &amp; Plant'!$A$12:$A$375=I$37)*
('Inc CWIP &amp; Plant'!$S$11:$AP$11=$B62)*
('Inc CWIP &amp; Plant'!$B$12:$B$375=$C62)*
('Inc CWIP &amp; Plant'!$S$12:$AP$375))</f>
        <v>0</v>
      </c>
      <c r="J62" s="299">
        <f>SUMPRODUCT(('Inc CWIP &amp; Plant'!$A$12:$A$375=J$37)*
('Inc CWIP &amp; Plant'!$S$11:$AP$11=$B62)*
('Inc CWIP &amp; Plant'!$B$12:$B$375=$C62)*
('Inc CWIP &amp; Plant'!$S$12:$AP$375))</f>
        <v>0</v>
      </c>
      <c r="K62" s="299">
        <f>SUMPRODUCT(('Inc CWIP &amp; Plant'!$A$12:$A$375=K$37)*
('Inc CWIP &amp; Plant'!$S$11:$AP$11=$B62)*
('Inc CWIP &amp; Plant'!$B$12:$B$375=$C62)*
('Inc CWIP &amp; Plant'!$S$12:$AP$375))</f>
        <v>0</v>
      </c>
      <c r="L62" s="299">
        <f>SUMPRODUCT(('Inc CWIP &amp; Plant'!$A$12:$A$375=L$37)*
('Inc CWIP &amp; Plant'!$S$11:$AP$11=$B62)*
('Inc CWIP &amp; Plant'!$B$12:$B$375=$C62)*
('Inc CWIP &amp; Plant'!$S$12:$AP$375))</f>
        <v>0</v>
      </c>
      <c r="M62" s="299">
        <f>SUMPRODUCT(('Inc CWIP &amp; Plant'!$A$12:$A$375=M$37)*
('Inc CWIP &amp; Plant'!$S$11:$AP$11=$B62)*
('Inc CWIP &amp; Plant'!$B$12:$B$375=$C62)*
('Inc CWIP &amp; Plant'!$S$12:$AP$375))</f>
        <v>0</v>
      </c>
      <c r="N62" s="299">
        <f>SUMPRODUCT(('Inc CWIP &amp; Plant'!$A$12:$A$375=N$37)*
('Inc CWIP &amp; Plant'!$S$11:$AP$11=$B62)*
('Inc CWIP &amp; Plant'!$B$12:$B$375=$C62)*
('Inc CWIP &amp; Plant'!$S$12:$AP$375))</f>
        <v>0</v>
      </c>
      <c r="O62" s="299">
        <f>SUMPRODUCT(('Inc CWIP &amp; Plant'!$A$12:$A$375=O$37)*
('Inc CWIP &amp; Plant'!$S$11:$AP$11=$B62)*
('Inc CWIP &amp; Plant'!$B$12:$B$375=$C62)*
('Inc CWIP &amp; Plant'!$S$12:$AP$375))</f>
        <v>38522.783270000007</v>
      </c>
      <c r="P62" s="299">
        <f>SUMPRODUCT(('Inc CWIP &amp; Plant'!$A$12:$A$375=P$37)*
('Inc CWIP &amp; Plant'!$S$11:$AP$11=$B62)*
('Inc CWIP &amp; Plant'!$B$12:$B$375=$C62)*
('Inc CWIP &amp; Plant'!$S$12:$AP$375))</f>
        <v>0</v>
      </c>
    </row>
    <row r="63" spans="1:16" ht="15" customHeight="1" x14ac:dyDescent="0.25">
      <c r="A63" s="297"/>
      <c r="B63" s="297"/>
      <c r="C63" s="297"/>
      <c r="D63" s="315"/>
      <c r="E63" s="315"/>
      <c r="F63" s="315"/>
      <c r="G63" s="315"/>
      <c r="H63" s="315"/>
      <c r="I63" s="315"/>
      <c r="J63" s="315"/>
      <c r="K63" s="315"/>
      <c r="L63" s="315"/>
      <c r="M63" s="315"/>
      <c r="N63" s="315"/>
      <c r="O63" s="315"/>
      <c r="P63" s="315"/>
    </row>
    <row r="64" spans="1:16" ht="15" customHeight="1" x14ac:dyDescent="0.25">
      <c r="A64" s="297"/>
      <c r="B64" s="297"/>
      <c r="C64" s="297"/>
      <c r="D64" s="315"/>
      <c r="E64" s="297"/>
      <c r="F64" s="297"/>
      <c r="G64" s="297"/>
      <c r="H64" s="297"/>
      <c r="I64" s="297"/>
      <c r="J64" s="297"/>
      <c r="K64" s="297"/>
      <c r="L64" s="297"/>
      <c r="M64" s="297"/>
      <c r="N64" s="297"/>
      <c r="O64" s="297"/>
      <c r="P64" s="297"/>
    </row>
    <row r="65" spans="1:16" ht="15" customHeight="1" x14ac:dyDescent="0.25">
      <c r="A65" s="297"/>
      <c r="B65" s="297"/>
      <c r="C65" s="297"/>
      <c r="D65" s="297"/>
      <c r="E65" s="297"/>
      <c r="F65" s="297"/>
      <c r="G65" s="297"/>
      <c r="H65" s="297"/>
      <c r="I65" s="297"/>
      <c r="J65" s="297"/>
      <c r="K65" s="297"/>
      <c r="L65" s="297"/>
      <c r="M65" s="297"/>
      <c r="N65" s="297"/>
      <c r="O65" s="297"/>
      <c r="P65" s="297"/>
    </row>
    <row r="66" spans="1:16" ht="15" customHeight="1" x14ac:dyDescent="0.25">
      <c r="A66" s="297"/>
      <c r="B66" s="297"/>
      <c r="C66" s="297"/>
      <c r="D66" s="297"/>
      <c r="E66" s="297"/>
      <c r="F66" s="297"/>
      <c r="G66" s="297"/>
      <c r="H66" s="297"/>
      <c r="I66" s="297"/>
      <c r="J66" s="297"/>
      <c r="K66" s="297"/>
      <c r="L66" s="297"/>
      <c r="M66" s="297"/>
      <c r="N66" s="297"/>
      <c r="O66" s="297"/>
      <c r="P66" s="297"/>
    </row>
    <row r="67" spans="1:16" ht="26.25" x14ac:dyDescent="0.25">
      <c r="A67" s="298" t="s">
        <v>56</v>
      </c>
      <c r="B67" s="297"/>
      <c r="C67" s="297"/>
      <c r="D67" s="297"/>
      <c r="E67" s="297"/>
      <c r="F67" s="297"/>
      <c r="G67" s="297"/>
      <c r="H67" s="297"/>
      <c r="I67" s="297"/>
      <c r="J67" s="297"/>
      <c r="K67" s="297"/>
      <c r="L67" s="297"/>
      <c r="M67" s="297"/>
      <c r="N67" s="297"/>
      <c r="O67" s="297"/>
      <c r="P67" s="297"/>
    </row>
    <row r="68" spans="1:16" ht="15" customHeight="1" thickBot="1" x14ac:dyDescent="0.3">
      <c r="A68" s="297"/>
      <c r="B68" s="297"/>
      <c r="C68" s="297"/>
      <c r="D68" s="301" t="s">
        <v>57</v>
      </c>
      <c r="E68" s="302"/>
      <c r="F68" s="302"/>
      <c r="G68" s="302"/>
      <c r="H68" s="302"/>
      <c r="I68" s="302"/>
      <c r="J68" s="302"/>
      <c r="K68" s="302"/>
      <c r="L68" s="302"/>
      <c r="M68" s="302"/>
      <c r="N68" s="302"/>
      <c r="O68" s="302"/>
      <c r="P68" s="302"/>
    </row>
    <row r="69" spans="1:16" ht="42.75" customHeight="1" x14ac:dyDescent="0.25">
      <c r="A69" s="303"/>
      <c r="B69" s="304" t="s">
        <v>9</v>
      </c>
      <c r="C69" s="316"/>
      <c r="D69" s="317" t="s">
        <v>49</v>
      </c>
      <c r="E69" s="318" t="str">
        <f>E37</f>
        <v>Devers Colorado River (DCR)</v>
      </c>
      <c r="F69" s="318" t="str">
        <f t="shared" ref="F69:P69" si="5">F37</f>
        <v>Tehachapi Segments 1 - 3A</v>
      </c>
      <c r="G69" s="318" t="str">
        <f t="shared" si="5"/>
        <v>Tehachapi Segments 3B &amp; 3C</v>
      </c>
      <c r="H69" s="318" t="str">
        <f t="shared" si="5"/>
        <v>Tehachapi Segments 4-11</v>
      </c>
      <c r="I69" s="318" t="str">
        <f t="shared" si="5"/>
        <v>Red Bluff Substation</v>
      </c>
      <c r="J69" s="318" t="str">
        <f t="shared" si="5"/>
        <v>Eldorado - Ivanpah</v>
      </c>
      <c r="K69" s="318" t="str">
        <f t="shared" si="5"/>
        <v>Lugo-Pisgah</v>
      </c>
      <c r="L69" s="318" t="str">
        <f t="shared" si="5"/>
        <v>South of Kramer</v>
      </c>
      <c r="M69" s="318" t="str">
        <f t="shared" si="5"/>
        <v>West of Devers</v>
      </c>
      <c r="N69" s="318" t="str">
        <f t="shared" si="5"/>
        <v>Colorado River Substation</v>
      </c>
      <c r="O69" s="318" t="str">
        <f t="shared" si="5"/>
        <v>Whirlwind Substation Expansion Project</v>
      </c>
      <c r="P69" s="318" t="str">
        <f t="shared" si="5"/>
        <v>Rancho Vista</v>
      </c>
    </row>
    <row r="70" spans="1:16" ht="15" customHeight="1" x14ac:dyDescent="0.25">
      <c r="A70" s="297" t="s">
        <v>51</v>
      </c>
      <c r="B70" s="308">
        <f>B38</f>
        <v>41974</v>
      </c>
      <c r="C70" s="308" t="s">
        <v>33</v>
      </c>
      <c r="D70" s="312">
        <f>SUM(E70:P70)</f>
        <v>0</v>
      </c>
      <c r="E70" s="299">
        <f>SUMIFS('Inc CWIP &amp; Plant'!$O:$O,'Inc CWIP &amp; Plant'!$A:$A,'Inc CWIP &amp; Plant Summary'!E$69,'Inc CWIP &amp; Plant'!$B:$B,'Inc CWIP &amp; Plant Summary'!$C70,'Inc CWIP &amp; Plant'!$G:$G,'Inc CWIP &amp; Plant Summary'!$B70)</f>
        <v>0</v>
      </c>
      <c r="F70" s="299">
        <f>SUMIFS('Inc CWIP &amp; Plant'!$O:$O,'Inc CWIP &amp; Plant'!$A:$A,'Inc CWIP &amp; Plant Summary'!F$69,'Inc CWIP &amp; Plant'!$B:$B,'Inc CWIP &amp; Plant Summary'!$C70,'Inc CWIP &amp; Plant'!$G:$G,'Inc CWIP &amp; Plant Summary'!$B70)</f>
        <v>0</v>
      </c>
      <c r="G70" s="299">
        <f>SUMIFS('Inc CWIP &amp; Plant'!$O:$O,'Inc CWIP &amp; Plant'!$A:$A,'Inc CWIP &amp; Plant Summary'!G$69,'Inc CWIP &amp; Plant'!$B:$B,'Inc CWIP &amp; Plant Summary'!$C70,'Inc CWIP &amp; Plant'!$G:$G,'Inc CWIP &amp; Plant Summary'!$B70)</f>
        <v>0</v>
      </c>
      <c r="H70" s="299">
        <f>SUMIFS('Inc CWIP &amp; Plant'!$O:$O,'Inc CWIP &amp; Plant'!$A:$A,'Inc CWIP &amp; Plant Summary'!H$69,'Inc CWIP &amp; Plant'!$B:$B,'Inc CWIP &amp; Plant Summary'!$C70,'Inc CWIP &amp; Plant'!$G:$G,'Inc CWIP &amp; Plant Summary'!$B70)</f>
        <v>0</v>
      </c>
      <c r="I70" s="299">
        <f>SUMIFS('Inc CWIP &amp; Plant'!$O:$O,'Inc CWIP &amp; Plant'!$A:$A,'Inc CWIP &amp; Plant Summary'!I$69,'Inc CWIP &amp; Plant'!$B:$B,'Inc CWIP &amp; Plant Summary'!$C70,'Inc CWIP &amp; Plant'!$G:$G,'Inc CWIP &amp; Plant Summary'!$B70)</f>
        <v>0</v>
      </c>
      <c r="J70" s="299">
        <f>SUMIFS('Inc CWIP &amp; Plant'!$O:$O,'Inc CWIP &amp; Plant'!$A:$A,'Inc CWIP &amp; Plant Summary'!J$69,'Inc CWIP &amp; Plant'!$B:$B,'Inc CWIP &amp; Plant Summary'!$C70,'Inc CWIP &amp; Plant'!$G:$G,'Inc CWIP &amp; Plant Summary'!$B70)</f>
        <v>0</v>
      </c>
      <c r="K70" s="299">
        <f>SUMIFS('Inc CWIP &amp; Plant'!$O:$O,'Inc CWIP &amp; Plant'!$A:$A,'Inc CWIP &amp; Plant Summary'!K$69,'Inc CWIP &amp; Plant'!$B:$B,'Inc CWIP &amp; Plant Summary'!$C70,'Inc CWIP &amp; Plant'!$G:$G,'Inc CWIP &amp; Plant Summary'!$B70)</f>
        <v>0</v>
      </c>
      <c r="L70" s="299">
        <f>SUMIFS('Inc CWIP &amp; Plant'!$O:$O,'Inc CWIP &amp; Plant'!$A:$A,'Inc CWIP &amp; Plant Summary'!L$69,'Inc CWIP &amp; Plant'!$B:$B,'Inc CWIP &amp; Plant Summary'!$C70,'Inc CWIP &amp; Plant'!$G:$G,'Inc CWIP &amp; Plant Summary'!$B70)</f>
        <v>0</v>
      </c>
      <c r="M70" s="299">
        <f>SUMIFS('Inc CWIP &amp; Plant'!$O:$O,'Inc CWIP &amp; Plant'!$A:$A,'Inc CWIP &amp; Plant Summary'!M$69,'Inc CWIP &amp; Plant'!$B:$B,'Inc CWIP &amp; Plant Summary'!$C70,'Inc CWIP &amp; Plant'!$G:$G,'Inc CWIP &amp; Plant Summary'!$B70)</f>
        <v>0</v>
      </c>
      <c r="N70" s="299">
        <f>SUMIFS('Inc CWIP &amp; Plant'!$O:$O,'Inc CWIP &amp; Plant'!$A:$A,'Inc CWIP &amp; Plant Summary'!N$69,'Inc CWIP &amp; Plant'!$B:$B,'Inc CWIP &amp; Plant Summary'!$C70,'Inc CWIP &amp; Plant'!$G:$G,'Inc CWIP &amp; Plant Summary'!$B70)</f>
        <v>0</v>
      </c>
      <c r="O70" s="299">
        <f>SUMIFS('Inc CWIP &amp; Plant'!$O:$O,'Inc CWIP &amp; Plant'!$A:$A,'Inc CWIP &amp; Plant Summary'!O$69,'Inc CWIP &amp; Plant'!$B:$B,'Inc CWIP &amp; Plant Summary'!$C70,'Inc CWIP &amp; Plant'!$G:$G,'Inc CWIP &amp; Plant Summary'!$B70)</f>
        <v>0</v>
      </c>
      <c r="P70" s="299">
        <f>SUMIFS('Inc CWIP &amp; Plant'!$O:$O,'Inc CWIP &amp; Plant'!$A:$A,'Inc CWIP &amp; Plant Summary'!P$69,'Inc CWIP &amp; Plant'!$B:$B,'Inc CWIP &amp; Plant Summary'!$C70,'Inc CWIP &amp; Plant'!$G:$G,'Inc CWIP &amp; Plant Summary'!$B70)</f>
        <v>0</v>
      </c>
    </row>
    <row r="71" spans="1:16" ht="15" customHeight="1" x14ac:dyDescent="0.25">
      <c r="A71" s="297" t="s">
        <v>52</v>
      </c>
      <c r="B71" s="308">
        <f t="shared" ref="B71:B94" si="6">B39</f>
        <v>42005</v>
      </c>
      <c r="C71" s="308" t="s">
        <v>33</v>
      </c>
      <c r="D71" s="312">
        <f>SUM(E71:P71)</f>
        <v>10889.30493</v>
      </c>
      <c r="E71" s="299">
        <f>SUMIFS('Inc CWIP &amp; Plant'!$O:$O,'Inc CWIP &amp; Plant'!$A:$A,'Inc CWIP &amp; Plant Summary'!E$69,'Inc CWIP &amp; Plant'!$B:$B,'Inc CWIP &amp; Plant Summary'!$C71,'Inc CWIP &amp; Plant'!$G:$G,'Inc CWIP &amp; Plant Summary'!$B71)</f>
        <v>0</v>
      </c>
      <c r="F71" s="299">
        <f>SUMIFS('Inc CWIP &amp; Plant'!$O:$O,'Inc CWIP &amp; Plant'!$A:$A,'Inc CWIP &amp; Plant Summary'!F$69,'Inc CWIP &amp; Plant'!$B:$B,'Inc CWIP &amp; Plant Summary'!$C71,'Inc CWIP &amp; Plant'!$G:$G,'Inc CWIP &amp; Plant Summary'!$B71)</f>
        <v>0</v>
      </c>
      <c r="G71" s="299">
        <f>SUMIFS('Inc CWIP &amp; Plant'!$O:$O,'Inc CWIP &amp; Plant'!$A:$A,'Inc CWIP &amp; Plant Summary'!G$69,'Inc CWIP &amp; Plant'!$B:$B,'Inc CWIP &amp; Plant Summary'!$C71,'Inc CWIP &amp; Plant'!$G:$G,'Inc CWIP &amp; Plant Summary'!$B71)</f>
        <v>0</v>
      </c>
      <c r="H71" s="299">
        <f>SUMIFS('Inc CWIP &amp; Plant'!$O:$O,'Inc CWIP &amp; Plant'!$A:$A,'Inc CWIP &amp; Plant Summary'!H$69,'Inc CWIP &amp; Plant'!$B:$B,'Inc CWIP &amp; Plant Summary'!$C71,'Inc CWIP &amp; Plant'!$G:$G,'Inc CWIP &amp; Plant Summary'!$B71)</f>
        <v>10889.30493</v>
      </c>
      <c r="I71" s="299">
        <f>SUMIFS('Inc CWIP &amp; Plant'!$O:$O,'Inc CWIP &amp; Plant'!$A:$A,'Inc CWIP &amp; Plant Summary'!I$69,'Inc CWIP &amp; Plant'!$B:$B,'Inc CWIP &amp; Plant Summary'!$C71,'Inc CWIP &amp; Plant'!$G:$G,'Inc CWIP &amp; Plant Summary'!$B71)</f>
        <v>0</v>
      </c>
      <c r="J71" s="299">
        <f>SUMIFS('Inc CWIP &amp; Plant'!$O:$O,'Inc CWIP &amp; Plant'!$A:$A,'Inc CWIP &amp; Plant Summary'!J$69,'Inc CWIP &amp; Plant'!$B:$B,'Inc CWIP &amp; Plant Summary'!$C71,'Inc CWIP &amp; Plant'!$G:$G,'Inc CWIP &amp; Plant Summary'!$B71)</f>
        <v>0</v>
      </c>
      <c r="K71" s="299">
        <f>SUMIFS('Inc CWIP &amp; Plant'!$O:$O,'Inc CWIP &amp; Plant'!$A:$A,'Inc CWIP &amp; Plant Summary'!K$69,'Inc CWIP &amp; Plant'!$B:$B,'Inc CWIP &amp; Plant Summary'!$C71,'Inc CWIP &amp; Plant'!$G:$G,'Inc CWIP &amp; Plant Summary'!$B71)</f>
        <v>0</v>
      </c>
      <c r="L71" s="299">
        <f>SUMIFS('Inc CWIP &amp; Plant'!$O:$O,'Inc CWIP &amp; Plant'!$A:$A,'Inc CWIP &amp; Plant Summary'!L$69,'Inc CWIP &amp; Plant'!$B:$B,'Inc CWIP &amp; Plant Summary'!$C71,'Inc CWIP &amp; Plant'!$G:$G,'Inc CWIP &amp; Plant Summary'!$B71)</f>
        <v>0</v>
      </c>
      <c r="M71" s="299">
        <f>SUMIFS('Inc CWIP &amp; Plant'!$O:$O,'Inc CWIP &amp; Plant'!$A:$A,'Inc CWIP &amp; Plant Summary'!M$69,'Inc CWIP &amp; Plant'!$B:$B,'Inc CWIP &amp; Plant Summary'!$C71,'Inc CWIP &amp; Plant'!$G:$G,'Inc CWIP &amp; Plant Summary'!$B71)</f>
        <v>0</v>
      </c>
      <c r="N71" s="299">
        <f>SUMIFS('Inc CWIP &amp; Plant'!$O:$O,'Inc CWIP &amp; Plant'!$A:$A,'Inc CWIP &amp; Plant Summary'!N$69,'Inc CWIP &amp; Plant'!$B:$B,'Inc CWIP &amp; Plant Summary'!$C71,'Inc CWIP &amp; Plant'!$G:$G,'Inc CWIP &amp; Plant Summary'!$B71)</f>
        <v>0</v>
      </c>
      <c r="O71" s="299">
        <f>SUMIFS('Inc CWIP &amp; Plant'!$O:$O,'Inc CWIP &amp; Plant'!$A:$A,'Inc CWIP &amp; Plant Summary'!O$69,'Inc CWIP &amp; Plant'!$B:$B,'Inc CWIP &amp; Plant Summary'!$C71,'Inc CWIP &amp; Plant'!$G:$G,'Inc CWIP &amp; Plant Summary'!$B71)</f>
        <v>0</v>
      </c>
      <c r="P71" s="299">
        <f>SUMIFS('Inc CWIP &amp; Plant'!$O:$O,'Inc CWIP &amp; Plant'!$A:$A,'Inc CWIP &amp; Plant Summary'!P$69,'Inc CWIP &amp; Plant'!$B:$B,'Inc CWIP &amp; Plant Summary'!$C71,'Inc CWIP &amp; Plant'!$G:$G,'Inc CWIP &amp; Plant Summary'!$B71)</f>
        <v>0</v>
      </c>
    </row>
    <row r="72" spans="1:16" ht="15" customHeight="1" x14ac:dyDescent="0.25">
      <c r="A72" s="297"/>
      <c r="B72" s="308">
        <f t="shared" si="6"/>
        <v>42036</v>
      </c>
      <c r="C72" s="308" t="s">
        <v>33</v>
      </c>
      <c r="D72" s="312">
        <f t="shared" ref="D72:D93" si="7">SUM(E72:P72)</f>
        <v>0</v>
      </c>
      <c r="E72" s="299">
        <f>SUMIFS('Inc CWIP &amp; Plant'!$O:$O,'Inc CWIP &amp; Plant'!$A:$A,'Inc CWIP &amp; Plant Summary'!E$69,'Inc CWIP &amp; Plant'!$B:$B,'Inc CWIP &amp; Plant Summary'!$C72,'Inc CWIP &amp; Plant'!$G:$G,'Inc CWIP &amp; Plant Summary'!$B72)</f>
        <v>0</v>
      </c>
      <c r="F72" s="299">
        <f>SUMIFS('Inc CWIP &amp; Plant'!$O:$O,'Inc CWIP &amp; Plant'!$A:$A,'Inc CWIP &amp; Plant Summary'!F$69,'Inc CWIP &amp; Plant'!$B:$B,'Inc CWIP &amp; Plant Summary'!$C72,'Inc CWIP &amp; Plant'!$G:$G,'Inc CWIP &amp; Plant Summary'!$B72)</f>
        <v>0</v>
      </c>
      <c r="G72" s="299">
        <f>SUMIFS('Inc CWIP &amp; Plant'!$O:$O,'Inc CWIP &amp; Plant'!$A:$A,'Inc CWIP &amp; Plant Summary'!G$69,'Inc CWIP &amp; Plant'!$B:$B,'Inc CWIP &amp; Plant Summary'!$C72,'Inc CWIP &amp; Plant'!$G:$G,'Inc CWIP &amp; Plant Summary'!$B72)</f>
        <v>0</v>
      </c>
      <c r="H72" s="299">
        <f>SUMIFS('Inc CWIP &amp; Plant'!$O:$O,'Inc CWIP &amp; Plant'!$A:$A,'Inc CWIP &amp; Plant Summary'!H$69,'Inc CWIP &amp; Plant'!$B:$B,'Inc CWIP &amp; Plant Summary'!$C72,'Inc CWIP &amp; Plant'!$G:$G,'Inc CWIP &amp; Plant Summary'!$B72)</f>
        <v>0</v>
      </c>
      <c r="I72" s="299">
        <f>SUMIFS('Inc CWIP &amp; Plant'!$O:$O,'Inc CWIP &amp; Plant'!$A:$A,'Inc CWIP &amp; Plant Summary'!I$69,'Inc CWIP &amp; Plant'!$B:$B,'Inc CWIP &amp; Plant Summary'!$C72,'Inc CWIP &amp; Plant'!$G:$G,'Inc CWIP &amp; Plant Summary'!$B72)</f>
        <v>0</v>
      </c>
      <c r="J72" s="299">
        <f>SUMIFS('Inc CWIP &amp; Plant'!$O:$O,'Inc CWIP &amp; Plant'!$A:$A,'Inc CWIP &amp; Plant Summary'!J$69,'Inc CWIP &amp; Plant'!$B:$B,'Inc CWIP &amp; Plant Summary'!$C72,'Inc CWIP &amp; Plant'!$G:$G,'Inc CWIP &amp; Plant Summary'!$B72)</f>
        <v>0</v>
      </c>
      <c r="K72" s="299">
        <f>SUMIFS('Inc CWIP &amp; Plant'!$O:$O,'Inc CWIP &amp; Plant'!$A:$A,'Inc CWIP &amp; Plant Summary'!K$69,'Inc CWIP &amp; Plant'!$B:$B,'Inc CWIP &amp; Plant Summary'!$C72,'Inc CWIP &amp; Plant'!$G:$G,'Inc CWIP &amp; Plant Summary'!$B72)</f>
        <v>0</v>
      </c>
      <c r="L72" s="299">
        <f>SUMIFS('Inc CWIP &amp; Plant'!$O:$O,'Inc CWIP &amp; Plant'!$A:$A,'Inc CWIP &amp; Plant Summary'!L$69,'Inc CWIP &amp; Plant'!$B:$B,'Inc CWIP &amp; Plant Summary'!$C72,'Inc CWIP &amp; Plant'!$G:$G,'Inc CWIP &amp; Plant Summary'!$B72)</f>
        <v>0</v>
      </c>
      <c r="M72" s="299">
        <f>SUMIFS('Inc CWIP &amp; Plant'!$O:$O,'Inc CWIP &amp; Plant'!$A:$A,'Inc CWIP &amp; Plant Summary'!M$69,'Inc CWIP &amp; Plant'!$B:$B,'Inc CWIP &amp; Plant Summary'!$C72,'Inc CWIP &amp; Plant'!$G:$G,'Inc CWIP &amp; Plant Summary'!$B72)</f>
        <v>0</v>
      </c>
      <c r="N72" s="299">
        <f>SUMIFS('Inc CWIP &amp; Plant'!$O:$O,'Inc CWIP &amp; Plant'!$A:$A,'Inc CWIP &amp; Plant Summary'!N$69,'Inc CWIP &amp; Plant'!$B:$B,'Inc CWIP &amp; Plant Summary'!$C72,'Inc CWIP &amp; Plant'!$G:$G,'Inc CWIP &amp; Plant Summary'!$B72)</f>
        <v>0</v>
      </c>
      <c r="O72" s="299">
        <f>SUMIFS('Inc CWIP &amp; Plant'!$O:$O,'Inc CWIP &amp; Plant'!$A:$A,'Inc CWIP &amp; Plant Summary'!O$69,'Inc CWIP &amp; Plant'!$B:$B,'Inc CWIP &amp; Plant Summary'!$C72,'Inc CWIP &amp; Plant'!$G:$G,'Inc CWIP &amp; Plant Summary'!$B72)</f>
        <v>0</v>
      </c>
      <c r="P72" s="299">
        <f>SUMIFS('Inc CWIP &amp; Plant'!$O:$O,'Inc CWIP &amp; Plant'!$A:$A,'Inc CWIP &amp; Plant Summary'!P$69,'Inc CWIP &amp; Plant'!$B:$B,'Inc CWIP &amp; Plant Summary'!$C72,'Inc CWIP &amp; Plant'!$G:$G,'Inc CWIP &amp; Plant Summary'!$B72)</f>
        <v>0</v>
      </c>
    </row>
    <row r="73" spans="1:16" ht="15" customHeight="1" x14ac:dyDescent="0.25">
      <c r="A73" s="297"/>
      <c r="B73" s="308">
        <f t="shared" si="6"/>
        <v>42064</v>
      </c>
      <c r="C73" s="308" t="s">
        <v>33</v>
      </c>
      <c r="D73" s="312">
        <f t="shared" si="7"/>
        <v>0</v>
      </c>
      <c r="E73" s="299">
        <f>SUMIFS('Inc CWIP &amp; Plant'!$O:$O,'Inc CWIP &amp; Plant'!$A:$A,'Inc CWIP &amp; Plant Summary'!E$69,'Inc CWIP &amp; Plant'!$B:$B,'Inc CWIP &amp; Plant Summary'!$C73,'Inc CWIP &amp; Plant'!$G:$G,'Inc CWIP &amp; Plant Summary'!$B73)</f>
        <v>0</v>
      </c>
      <c r="F73" s="299">
        <f>SUMIFS('Inc CWIP &amp; Plant'!$O:$O,'Inc CWIP &amp; Plant'!$A:$A,'Inc CWIP &amp; Plant Summary'!F$69,'Inc CWIP &amp; Plant'!$B:$B,'Inc CWIP &amp; Plant Summary'!$C73,'Inc CWIP &amp; Plant'!$G:$G,'Inc CWIP &amp; Plant Summary'!$B73)</f>
        <v>0</v>
      </c>
      <c r="G73" s="299">
        <f>SUMIFS('Inc CWIP &amp; Plant'!$O:$O,'Inc CWIP &amp; Plant'!$A:$A,'Inc CWIP &amp; Plant Summary'!G$69,'Inc CWIP &amp; Plant'!$B:$B,'Inc CWIP &amp; Plant Summary'!$C73,'Inc CWIP &amp; Plant'!$G:$G,'Inc CWIP &amp; Plant Summary'!$B73)</f>
        <v>0</v>
      </c>
      <c r="H73" s="299">
        <f>SUMIFS('Inc CWIP &amp; Plant'!$O:$O,'Inc CWIP &amp; Plant'!$A:$A,'Inc CWIP &amp; Plant Summary'!H$69,'Inc CWIP &amp; Plant'!$B:$B,'Inc CWIP &amp; Plant Summary'!$C73,'Inc CWIP &amp; Plant'!$G:$G,'Inc CWIP &amp; Plant Summary'!$B73)</f>
        <v>0</v>
      </c>
      <c r="I73" s="299">
        <f>SUMIFS('Inc CWIP &amp; Plant'!$O:$O,'Inc CWIP &amp; Plant'!$A:$A,'Inc CWIP &amp; Plant Summary'!I$69,'Inc CWIP &amp; Plant'!$B:$B,'Inc CWIP &amp; Plant Summary'!$C73,'Inc CWIP &amp; Plant'!$G:$G,'Inc CWIP &amp; Plant Summary'!$B73)</f>
        <v>0</v>
      </c>
      <c r="J73" s="299">
        <f>SUMIFS('Inc CWIP &amp; Plant'!$O:$O,'Inc CWIP &amp; Plant'!$A:$A,'Inc CWIP &amp; Plant Summary'!J$69,'Inc CWIP &amp; Plant'!$B:$B,'Inc CWIP &amp; Plant Summary'!$C73,'Inc CWIP &amp; Plant'!$G:$G,'Inc CWIP &amp; Plant Summary'!$B73)</f>
        <v>0</v>
      </c>
      <c r="K73" s="299">
        <f>SUMIFS('Inc CWIP &amp; Plant'!$O:$O,'Inc CWIP &amp; Plant'!$A:$A,'Inc CWIP &amp; Plant Summary'!K$69,'Inc CWIP &amp; Plant'!$B:$B,'Inc CWIP &amp; Plant Summary'!$C73,'Inc CWIP &amp; Plant'!$G:$G,'Inc CWIP &amp; Plant Summary'!$B73)</f>
        <v>0</v>
      </c>
      <c r="L73" s="299">
        <f>SUMIFS('Inc CWIP &amp; Plant'!$O:$O,'Inc CWIP &amp; Plant'!$A:$A,'Inc CWIP &amp; Plant Summary'!L$69,'Inc CWIP &amp; Plant'!$B:$B,'Inc CWIP &amp; Plant Summary'!$C73,'Inc CWIP &amp; Plant'!$G:$G,'Inc CWIP &amp; Plant Summary'!$B73)</f>
        <v>0</v>
      </c>
      <c r="M73" s="299">
        <f>SUMIFS('Inc CWIP &amp; Plant'!$O:$O,'Inc CWIP &amp; Plant'!$A:$A,'Inc CWIP &amp; Plant Summary'!M$69,'Inc CWIP &amp; Plant'!$B:$B,'Inc CWIP &amp; Plant Summary'!$C73,'Inc CWIP &amp; Plant'!$G:$G,'Inc CWIP &amp; Plant Summary'!$B73)</f>
        <v>0</v>
      </c>
      <c r="N73" s="299">
        <f>SUMIFS('Inc CWIP &amp; Plant'!$O:$O,'Inc CWIP &amp; Plant'!$A:$A,'Inc CWIP &amp; Plant Summary'!N$69,'Inc CWIP &amp; Plant'!$B:$B,'Inc CWIP &amp; Plant Summary'!$C73,'Inc CWIP &amp; Plant'!$G:$G,'Inc CWIP &amp; Plant Summary'!$B73)</f>
        <v>0</v>
      </c>
      <c r="O73" s="299">
        <f>SUMIFS('Inc CWIP &amp; Plant'!$O:$O,'Inc CWIP &amp; Plant'!$A:$A,'Inc CWIP &amp; Plant Summary'!O$69,'Inc CWIP &amp; Plant'!$B:$B,'Inc CWIP &amp; Plant Summary'!$C73,'Inc CWIP &amp; Plant'!$G:$G,'Inc CWIP &amp; Plant Summary'!$B73)</f>
        <v>0</v>
      </c>
      <c r="P73" s="299">
        <f>SUMIFS('Inc CWIP &amp; Plant'!$O:$O,'Inc CWIP &amp; Plant'!$A:$A,'Inc CWIP &amp; Plant Summary'!P$69,'Inc CWIP &amp; Plant'!$B:$B,'Inc CWIP &amp; Plant Summary'!$C73,'Inc CWIP &amp; Plant'!$G:$G,'Inc CWIP &amp; Plant Summary'!$B73)</f>
        <v>0</v>
      </c>
    </row>
    <row r="74" spans="1:16" ht="15" customHeight="1" x14ac:dyDescent="0.25">
      <c r="A74" s="297"/>
      <c r="B74" s="308">
        <f t="shared" si="6"/>
        <v>42095</v>
      </c>
      <c r="C74" s="308" t="s">
        <v>33</v>
      </c>
      <c r="D74" s="312">
        <f>SUM(E74:P74)</f>
        <v>3.7122100000000002</v>
      </c>
      <c r="E74" s="299">
        <f>SUMIFS('Inc CWIP &amp; Plant'!$O:$O,'Inc CWIP &amp; Plant'!$A:$A,'Inc CWIP &amp; Plant Summary'!E$69,'Inc CWIP &amp; Plant'!$B:$B,'Inc CWIP &amp; Plant Summary'!$C74,'Inc CWIP &amp; Plant'!$G:$G,'Inc CWIP &amp; Plant Summary'!$B74)</f>
        <v>3.7122100000000002</v>
      </c>
      <c r="F74" s="299">
        <f>SUMIFS('Inc CWIP &amp; Plant'!$O:$O,'Inc CWIP &amp; Plant'!$A:$A,'Inc CWIP &amp; Plant Summary'!F$69,'Inc CWIP &amp; Plant'!$B:$B,'Inc CWIP &amp; Plant Summary'!$C74,'Inc CWIP &amp; Plant'!$G:$G,'Inc CWIP &amp; Plant Summary'!$B74)</f>
        <v>0</v>
      </c>
      <c r="G74" s="299">
        <f>SUMIFS('Inc CWIP &amp; Plant'!$O:$O,'Inc CWIP &amp; Plant'!$A:$A,'Inc CWIP &amp; Plant Summary'!G$69,'Inc CWIP &amp; Plant'!$B:$B,'Inc CWIP &amp; Plant Summary'!$C74,'Inc CWIP &amp; Plant'!$G:$G,'Inc CWIP &amp; Plant Summary'!$B74)</f>
        <v>0</v>
      </c>
      <c r="H74" s="299">
        <f>SUMIFS('Inc CWIP &amp; Plant'!$O:$O,'Inc CWIP &amp; Plant'!$A:$A,'Inc CWIP &amp; Plant Summary'!H$69,'Inc CWIP &amp; Plant'!$B:$B,'Inc CWIP &amp; Plant Summary'!$C74,'Inc CWIP &amp; Plant'!$G:$G,'Inc CWIP &amp; Plant Summary'!$B74)</f>
        <v>0</v>
      </c>
      <c r="I74" s="299">
        <f>SUMIFS('Inc CWIP &amp; Plant'!$O:$O,'Inc CWIP &amp; Plant'!$A:$A,'Inc CWIP &amp; Plant Summary'!I$69,'Inc CWIP &amp; Plant'!$B:$B,'Inc CWIP &amp; Plant Summary'!$C74,'Inc CWIP &amp; Plant'!$G:$G,'Inc CWIP &amp; Plant Summary'!$B74)</f>
        <v>0</v>
      </c>
      <c r="J74" s="299">
        <f>SUMIFS('Inc CWIP &amp; Plant'!$O:$O,'Inc CWIP &amp; Plant'!$A:$A,'Inc CWIP &amp; Plant Summary'!J$69,'Inc CWIP &amp; Plant'!$B:$B,'Inc CWIP &amp; Plant Summary'!$C74,'Inc CWIP &amp; Plant'!$G:$G,'Inc CWIP &amp; Plant Summary'!$B74)</f>
        <v>0</v>
      </c>
      <c r="K74" s="299">
        <f>SUMIFS('Inc CWIP &amp; Plant'!$O:$O,'Inc CWIP &amp; Plant'!$A:$A,'Inc CWIP &amp; Plant Summary'!K$69,'Inc CWIP &amp; Plant'!$B:$B,'Inc CWIP &amp; Plant Summary'!$C74,'Inc CWIP &amp; Plant'!$G:$G,'Inc CWIP &amp; Plant Summary'!$B74)</f>
        <v>0</v>
      </c>
      <c r="L74" s="299">
        <f>SUMIFS('Inc CWIP &amp; Plant'!$O:$O,'Inc CWIP &amp; Plant'!$A:$A,'Inc CWIP &amp; Plant Summary'!L$69,'Inc CWIP &amp; Plant'!$B:$B,'Inc CWIP &amp; Plant Summary'!$C74,'Inc CWIP &amp; Plant'!$G:$G,'Inc CWIP &amp; Plant Summary'!$B74)</f>
        <v>0</v>
      </c>
      <c r="M74" s="299">
        <f>SUMIFS('Inc CWIP &amp; Plant'!$O:$O,'Inc CWIP &amp; Plant'!$A:$A,'Inc CWIP &amp; Plant Summary'!M$69,'Inc CWIP &amp; Plant'!$B:$B,'Inc CWIP &amp; Plant Summary'!$C74,'Inc CWIP &amp; Plant'!$G:$G,'Inc CWIP &amp; Plant Summary'!$B74)</f>
        <v>0</v>
      </c>
      <c r="N74" s="299">
        <f>SUMIFS('Inc CWIP &amp; Plant'!$O:$O,'Inc CWIP &amp; Plant'!$A:$A,'Inc CWIP &amp; Plant Summary'!N$69,'Inc CWIP &amp; Plant'!$B:$B,'Inc CWIP &amp; Plant Summary'!$C74,'Inc CWIP &amp; Plant'!$G:$G,'Inc CWIP &amp; Plant Summary'!$B74)</f>
        <v>0</v>
      </c>
      <c r="O74" s="299">
        <f>SUMIFS('Inc CWIP &amp; Plant'!$O:$O,'Inc CWIP &amp; Plant'!$A:$A,'Inc CWIP &amp; Plant Summary'!O$69,'Inc CWIP &amp; Plant'!$B:$B,'Inc CWIP &amp; Plant Summary'!$C74,'Inc CWIP &amp; Plant'!$G:$G,'Inc CWIP &amp; Plant Summary'!$B74)</f>
        <v>0</v>
      </c>
      <c r="P74" s="299">
        <f>SUMIFS('Inc CWIP &amp; Plant'!$O:$O,'Inc CWIP &amp; Plant'!$A:$A,'Inc CWIP &amp; Plant Summary'!P$69,'Inc CWIP &amp; Plant'!$B:$B,'Inc CWIP &amp; Plant Summary'!$C74,'Inc CWIP &amp; Plant'!$G:$G,'Inc CWIP &amp; Plant Summary'!$B74)</f>
        <v>0</v>
      </c>
    </row>
    <row r="75" spans="1:16" ht="15" customHeight="1" x14ac:dyDescent="0.25">
      <c r="A75" s="297"/>
      <c r="B75" s="308">
        <f t="shared" si="6"/>
        <v>42125</v>
      </c>
      <c r="C75" s="308" t="s">
        <v>33</v>
      </c>
      <c r="D75" s="312">
        <f t="shared" si="7"/>
        <v>586092.43800000008</v>
      </c>
      <c r="E75" s="299">
        <f>SUMIFS('Inc CWIP &amp; Plant'!$O:$O,'Inc CWIP &amp; Plant'!$A:$A,'Inc CWIP &amp; Plant Summary'!E$69,'Inc CWIP &amp; Plant'!$B:$B,'Inc CWIP &amp; Plant Summary'!$C75,'Inc CWIP &amp; Plant'!$G:$G,'Inc CWIP &amp; Plant Summary'!$B75)</f>
        <v>0</v>
      </c>
      <c r="F75" s="299">
        <f>SUMIFS('Inc CWIP &amp; Plant'!$O:$O,'Inc CWIP &amp; Plant'!$A:$A,'Inc CWIP &amp; Plant Summary'!F$69,'Inc CWIP &amp; Plant'!$B:$B,'Inc CWIP &amp; Plant Summary'!$C75,'Inc CWIP &amp; Plant'!$G:$G,'Inc CWIP &amp; Plant Summary'!$B75)</f>
        <v>0</v>
      </c>
      <c r="G75" s="299">
        <f>SUMIFS('Inc CWIP &amp; Plant'!$O:$O,'Inc CWIP &amp; Plant'!$A:$A,'Inc CWIP &amp; Plant Summary'!G$69,'Inc CWIP &amp; Plant'!$B:$B,'Inc CWIP &amp; Plant Summary'!$C75,'Inc CWIP &amp; Plant'!$G:$G,'Inc CWIP &amp; Plant Summary'!$B75)</f>
        <v>0</v>
      </c>
      <c r="H75" s="299">
        <f>SUMIFS('Inc CWIP &amp; Plant'!$O:$O,'Inc CWIP &amp; Plant'!$A:$A,'Inc CWIP &amp; Plant Summary'!H$69,'Inc CWIP &amp; Plant'!$B:$B,'Inc CWIP &amp; Plant Summary'!$C75,'Inc CWIP &amp; Plant'!$G:$G,'Inc CWIP &amp; Plant Summary'!$B75)</f>
        <v>585504.47463000007</v>
      </c>
      <c r="I75" s="299">
        <f>SUMIFS('Inc CWIP &amp; Plant'!$O:$O,'Inc CWIP &amp; Plant'!$A:$A,'Inc CWIP &amp; Plant Summary'!I$69,'Inc CWIP &amp; Plant'!$B:$B,'Inc CWIP &amp; Plant Summary'!$C75,'Inc CWIP &amp; Plant'!$G:$G,'Inc CWIP &amp; Plant Summary'!$B75)</f>
        <v>0</v>
      </c>
      <c r="J75" s="299">
        <f>SUMIFS('Inc CWIP &amp; Plant'!$O:$O,'Inc CWIP &amp; Plant'!$A:$A,'Inc CWIP &amp; Plant Summary'!J$69,'Inc CWIP &amp; Plant'!$B:$B,'Inc CWIP &amp; Plant Summary'!$C75,'Inc CWIP &amp; Plant'!$G:$G,'Inc CWIP &amp; Plant Summary'!$B75)</f>
        <v>0</v>
      </c>
      <c r="K75" s="299">
        <f>SUMIFS('Inc CWIP &amp; Plant'!$O:$O,'Inc CWIP &amp; Plant'!$A:$A,'Inc CWIP &amp; Plant Summary'!K$69,'Inc CWIP &amp; Plant'!$B:$B,'Inc CWIP &amp; Plant Summary'!$C75,'Inc CWIP &amp; Plant'!$G:$G,'Inc CWIP &amp; Plant Summary'!$B75)</f>
        <v>0</v>
      </c>
      <c r="L75" s="299">
        <f>SUMIFS('Inc CWIP &amp; Plant'!$O:$O,'Inc CWIP &amp; Plant'!$A:$A,'Inc CWIP &amp; Plant Summary'!L$69,'Inc CWIP &amp; Plant'!$B:$B,'Inc CWIP &amp; Plant Summary'!$C75,'Inc CWIP &amp; Plant'!$G:$G,'Inc CWIP &amp; Plant Summary'!$B75)</f>
        <v>0</v>
      </c>
      <c r="M75" s="299">
        <f>SUMIFS('Inc CWIP &amp; Plant'!$O:$O,'Inc CWIP &amp; Plant'!$A:$A,'Inc CWIP &amp; Plant Summary'!M$69,'Inc CWIP &amp; Plant'!$B:$B,'Inc CWIP &amp; Plant Summary'!$C75,'Inc CWIP &amp; Plant'!$G:$G,'Inc CWIP &amp; Plant Summary'!$B75)</f>
        <v>0</v>
      </c>
      <c r="N75" s="299">
        <f>SUMIFS('Inc CWIP &amp; Plant'!$O:$O,'Inc CWIP &amp; Plant'!$A:$A,'Inc CWIP &amp; Plant Summary'!N$69,'Inc CWIP &amp; Plant'!$B:$B,'Inc CWIP &amp; Plant Summary'!$C75,'Inc CWIP &amp; Plant'!$G:$G,'Inc CWIP &amp; Plant Summary'!$B75)</f>
        <v>587.96336999999994</v>
      </c>
      <c r="O75" s="299">
        <f>SUMIFS('Inc CWIP &amp; Plant'!$O:$O,'Inc CWIP &amp; Plant'!$A:$A,'Inc CWIP &amp; Plant Summary'!O$69,'Inc CWIP &amp; Plant'!$B:$B,'Inc CWIP &amp; Plant Summary'!$C75,'Inc CWIP &amp; Plant'!$G:$G,'Inc CWIP &amp; Plant Summary'!$B75)</f>
        <v>0</v>
      </c>
      <c r="P75" s="299">
        <f>SUMIFS('Inc CWIP &amp; Plant'!$O:$O,'Inc CWIP &amp; Plant'!$A:$A,'Inc CWIP &amp; Plant Summary'!P$69,'Inc CWIP &amp; Plant'!$B:$B,'Inc CWIP &amp; Plant Summary'!$C75,'Inc CWIP &amp; Plant'!$G:$G,'Inc CWIP &amp; Plant Summary'!$B75)</f>
        <v>0</v>
      </c>
    </row>
    <row r="76" spans="1:16" ht="15" customHeight="1" x14ac:dyDescent="0.25">
      <c r="A76" s="297"/>
      <c r="B76" s="308">
        <f t="shared" si="6"/>
        <v>42156</v>
      </c>
      <c r="C76" s="308" t="s">
        <v>33</v>
      </c>
      <c r="D76" s="312">
        <f t="shared" si="7"/>
        <v>37092.773910000011</v>
      </c>
      <c r="E76" s="299">
        <f>SUMIFS('Inc CWIP &amp; Plant'!$O:$O,'Inc CWIP &amp; Plant'!$A:$A,'Inc CWIP &amp; Plant Summary'!E$69,'Inc CWIP &amp; Plant'!$B:$B,'Inc CWIP &amp; Plant Summary'!$C76,'Inc CWIP &amp; Plant'!$G:$G,'Inc CWIP &amp; Plant Summary'!$B76)</f>
        <v>86.020760000001644</v>
      </c>
      <c r="F76" s="299">
        <f>SUMIFS('Inc CWIP &amp; Plant'!$O:$O,'Inc CWIP &amp; Plant'!$A:$A,'Inc CWIP &amp; Plant Summary'!F$69,'Inc CWIP &amp; Plant'!$B:$B,'Inc CWIP &amp; Plant Summary'!$C76,'Inc CWIP &amp; Plant'!$G:$G,'Inc CWIP &amp; Plant Summary'!$B76)</f>
        <v>0</v>
      </c>
      <c r="G76" s="299">
        <f>SUMIFS('Inc CWIP &amp; Plant'!$O:$O,'Inc CWIP &amp; Plant'!$A:$A,'Inc CWIP &amp; Plant Summary'!G$69,'Inc CWIP &amp; Plant'!$B:$B,'Inc CWIP &amp; Plant Summary'!$C76,'Inc CWIP &amp; Plant'!$G:$G,'Inc CWIP &amp; Plant Summary'!$B76)</f>
        <v>0</v>
      </c>
      <c r="H76" s="299">
        <f>SUMIFS('Inc CWIP &amp; Plant'!$O:$O,'Inc CWIP &amp; Plant'!$A:$A,'Inc CWIP &amp; Plant Summary'!H$69,'Inc CWIP &amp; Plant'!$B:$B,'Inc CWIP &amp; Plant Summary'!$C76,'Inc CWIP &amp; Plant'!$G:$G,'Inc CWIP &amp; Plant Summary'!$B76)</f>
        <v>37006.753150000011</v>
      </c>
      <c r="I76" s="299">
        <f>SUMIFS('Inc CWIP &amp; Plant'!$O:$O,'Inc CWIP &amp; Plant'!$A:$A,'Inc CWIP &amp; Plant Summary'!I$69,'Inc CWIP &amp; Plant'!$B:$B,'Inc CWIP &amp; Plant Summary'!$C76,'Inc CWIP &amp; Plant'!$G:$G,'Inc CWIP &amp; Plant Summary'!$B76)</f>
        <v>0</v>
      </c>
      <c r="J76" s="299">
        <f>SUMIFS('Inc CWIP &amp; Plant'!$O:$O,'Inc CWIP &amp; Plant'!$A:$A,'Inc CWIP &amp; Plant Summary'!J$69,'Inc CWIP &amp; Plant'!$B:$B,'Inc CWIP &amp; Plant Summary'!$C76,'Inc CWIP &amp; Plant'!$G:$G,'Inc CWIP &amp; Plant Summary'!$B76)</f>
        <v>0</v>
      </c>
      <c r="K76" s="299">
        <f>SUMIFS('Inc CWIP &amp; Plant'!$O:$O,'Inc CWIP &amp; Plant'!$A:$A,'Inc CWIP &amp; Plant Summary'!K$69,'Inc CWIP &amp; Plant'!$B:$B,'Inc CWIP &amp; Plant Summary'!$C76,'Inc CWIP &amp; Plant'!$G:$G,'Inc CWIP &amp; Plant Summary'!$B76)</f>
        <v>0</v>
      </c>
      <c r="L76" s="299">
        <f>SUMIFS('Inc CWIP &amp; Plant'!$O:$O,'Inc CWIP &amp; Plant'!$A:$A,'Inc CWIP &amp; Plant Summary'!L$69,'Inc CWIP &amp; Plant'!$B:$B,'Inc CWIP &amp; Plant Summary'!$C76,'Inc CWIP &amp; Plant'!$G:$G,'Inc CWIP &amp; Plant Summary'!$B76)</f>
        <v>0</v>
      </c>
      <c r="M76" s="299">
        <f>SUMIFS('Inc CWIP &amp; Plant'!$O:$O,'Inc CWIP &amp; Plant'!$A:$A,'Inc CWIP &amp; Plant Summary'!M$69,'Inc CWIP &amp; Plant'!$B:$B,'Inc CWIP &amp; Plant Summary'!$C76,'Inc CWIP &amp; Plant'!$G:$G,'Inc CWIP &amp; Plant Summary'!$B76)</f>
        <v>0</v>
      </c>
      <c r="N76" s="299">
        <f>SUMIFS('Inc CWIP &amp; Plant'!$O:$O,'Inc CWIP &amp; Plant'!$A:$A,'Inc CWIP &amp; Plant Summary'!N$69,'Inc CWIP &amp; Plant'!$B:$B,'Inc CWIP &amp; Plant Summary'!$C76,'Inc CWIP &amp; Plant'!$G:$G,'Inc CWIP &amp; Plant Summary'!$B76)</f>
        <v>0</v>
      </c>
      <c r="O76" s="299">
        <f>SUMIFS('Inc CWIP &amp; Plant'!$O:$O,'Inc CWIP &amp; Plant'!$A:$A,'Inc CWIP &amp; Plant Summary'!O$69,'Inc CWIP &amp; Plant'!$B:$B,'Inc CWIP &amp; Plant Summary'!$C76,'Inc CWIP &amp; Plant'!$G:$G,'Inc CWIP &amp; Plant Summary'!$B76)</f>
        <v>0</v>
      </c>
      <c r="P76" s="299">
        <f>SUMIFS('Inc CWIP &amp; Plant'!$O:$O,'Inc CWIP &amp; Plant'!$A:$A,'Inc CWIP &amp; Plant Summary'!P$69,'Inc CWIP &amp; Plant'!$B:$B,'Inc CWIP &amp; Plant Summary'!$C76,'Inc CWIP &amp; Plant'!$G:$G,'Inc CWIP &amp; Plant Summary'!$B76)</f>
        <v>0</v>
      </c>
    </row>
    <row r="77" spans="1:16" ht="15" customHeight="1" x14ac:dyDescent="0.25">
      <c r="A77" s="297"/>
      <c r="B77" s="308">
        <f t="shared" si="6"/>
        <v>42186</v>
      </c>
      <c r="C77" s="308" t="s">
        <v>33</v>
      </c>
      <c r="D77" s="312">
        <f t="shared" si="7"/>
        <v>0</v>
      </c>
      <c r="E77" s="299">
        <f>SUMIFS('Inc CWIP &amp; Plant'!$O:$O,'Inc CWIP &amp; Plant'!$A:$A,'Inc CWIP &amp; Plant Summary'!E$69,'Inc CWIP &amp; Plant'!$B:$B,'Inc CWIP &amp; Plant Summary'!$C77,'Inc CWIP &amp; Plant'!$G:$G,'Inc CWIP &amp; Plant Summary'!$B77)</f>
        <v>0</v>
      </c>
      <c r="F77" s="299">
        <f>SUMIFS('Inc CWIP &amp; Plant'!$O:$O,'Inc CWIP &amp; Plant'!$A:$A,'Inc CWIP &amp; Plant Summary'!F$69,'Inc CWIP &amp; Plant'!$B:$B,'Inc CWIP &amp; Plant Summary'!$C77,'Inc CWIP &amp; Plant'!$G:$G,'Inc CWIP &amp; Plant Summary'!$B77)</f>
        <v>0</v>
      </c>
      <c r="G77" s="299">
        <f>SUMIFS('Inc CWIP &amp; Plant'!$O:$O,'Inc CWIP &amp; Plant'!$A:$A,'Inc CWIP &amp; Plant Summary'!G$69,'Inc CWIP &amp; Plant'!$B:$B,'Inc CWIP &amp; Plant Summary'!$C77,'Inc CWIP &amp; Plant'!$G:$G,'Inc CWIP &amp; Plant Summary'!$B77)</f>
        <v>0</v>
      </c>
      <c r="H77" s="299">
        <f>SUMIFS('Inc CWIP &amp; Plant'!$O:$O,'Inc CWIP &amp; Plant'!$A:$A,'Inc CWIP &amp; Plant Summary'!H$69,'Inc CWIP &amp; Plant'!$B:$B,'Inc CWIP &amp; Plant Summary'!$C77,'Inc CWIP &amp; Plant'!$G:$G,'Inc CWIP &amp; Plant Summary'!$B77)</f>
        <v>0</v>
      </c>
      <c r="I77" s="299">
        <f>SUMIFS('Inc CWIP &amp; Plant'!$O:$O,'Inc CWIP &amp; Plant'!$A:$A,'Inc CWIP &amp; Plant Summary'!I$69,'Inc CWIP &amp; Plant'!$B:$B,'Inc CWIP &amp; Plant Summary'!$C77,'Inc CWIP &amp; Plant'!$G:$G,'Inc CWIP &amp; Plant Summary'!$B77)</f>
        <v>0</v>
      </c>
      <c r="J77" s="299">
        <f>SUMIFS('Inc CWIP &amp; Plant'!$O:$O,'Inc CWIP &amp; Plant'!$A:$A,'Inc CWIP &amp; Plant Summary'!J$69,'Inc CWIP &amp; Plant'!$B:$B,'Inc CWIP &amp; Plant Summary'!$C77,'Inc CWIP &amp; Plant'!$G:$G,'Inc CWIP &amp; Plant Summary'!$B77)</f>
        <v>0</v>
      </c>
      <c r="K77" s="299">
        <f>SUMIFS('Inc CWIP &amp; Plant'!$O:$O,'Inc CWIP &amp; Plant'!$A:$A,'Inc CWIP &amp; Plant Summary'!K$69,'Inc CWIP &amp; Plant'!$B:$B,'Inc CWIP &amp; Plant Summary'!$C77,'Inc CWIP &amp; Plant'!$G:$G,'Inc CWIP &amp; Plant Summary'!$B77)</f>
        <v>0</v>
      </c>
      <c r="L77" s="299">
        <f>SUMIFS('Inc CWIP &amp; Plant'!$O:$O,'Inc CWIP &amp; Plant'!$A:$A,'Inc CWIP &amp; Plant Summary'!L$69,'Inc CWIP &amp; Plant'!$B:$B,'Inc CWIP &amp; Plant Summary'!$C77,'Inc CWIP &amp; Plant'!$G:$G,'Inc CWIP &amp; Plant Summary'!$B77)</f>
        <v>0</v>
      </c>
      <c r="M77" s="299">
        <f>SUMIFS('Inc CWIP &amp; Plant'!$O:$O,'Inc CWIP &amp; Plant'!$A:$A,'Inc CWIP &amp; Plant Summary'!M$69,'Inc CWIP &amp; Plant'!$B:$B,'Inc CWIP &amp; Plant Summary'!$C77,'Inc CWIP &amp; Plant'!$G:$G,'Inc CWIP &amp; Plant Summary'!$B77)</f>
        <v>0</v>
      </c>
      <c r="N77" s="299">
        <f>SUMIFS('Inc CWIP &amp; Plant'!$O:$O,'Inc CWIP &amp; Plant'!$A:$A,'Inc CWIP &amp; Plant Summary'!N$69,'Inc CWIP &amp; Plant'!$B:$B,'Inc CWIP &amp; Plant Summary'!$C77,'Inc CWIP &amp; Plant'!$G:$G,'Inc CWIP &amp; Plant Summary'!$B77)</f>
        <v>0</v>
      </c>
      <c r="O77" s="299">
        <f>SUMIFS('Inc CWIP &amp; Plant'!$O:$O,'Inc CWIP &amp; Plant'!$A:$A,'Inc CWIP &amp; Plant Summary'!O$69,'Inc CWIP &amp; Plant'!$B:$B,'Inc CWIP &amp; Plant Summary'!$C77,'Inc CWIP &amp; Plant'!$G:$G,'Inc CWIP &amp; Plant Summary'!$B77)</f>
        <v>0</v>
      </c>
      <c r="P77" s="299">
        <f>SUMIFS('Inc CWIP &amp; Plant'!$O:$O,'Inc CWIP &amp; Plant'!$A:$A,'Inc CWIP &amp; Plant Summary'!P$69,'Inc CWIP &amp; Plant'!$B:$B,'Inc CWIP &amp; Plant Summary'!$C77,'Inc CWIP &amp; Plant'!$G:$G,'Inc CWIP &amp; Plant Summary'!$B77)</f>
        <v>0</v>
      </c>
    </row>
    <row r="78" spans="1:16" ht="15" customHeight="1" x14ac:dyDescent="0.25">
      <c r="A78" s="297"/>
      <c r="B78" s="308">
        <f t="shared" si="6"/>
        <v>42217</v>
      </c>
      <c r="C78" s="308" t="s">
        <v>33</v>
      </c>
      <c r="D78" s="312">
        <f t="shared" si="7"/>
        <v>50.20958000000001</v>
      </c>
      <c r="E78" s="299">
        <f>SUMIFS('Inc CWIP &amp; Plant'!$O:$O,'Inc CWIP &amp; Plant'!$A:$A,'Inc CWIP &amp; Plant Summary'!E$69,'Inc CWIP &amp; Plant'!$B:$B,'Inc CWIP &amp; Plant Summary'!$C78,'Inc CWIP &amp; Plant'!$G:$G,'Inc CWIP &amp; Plant Summary'!$B78)</f>
        <v>0</v>
      </c>
      <c r="F78" s="299">
        <f>SUMIFS('Inc CWIP &amp; Plant'!$O:$O,'Inc CWIP &amp; Plant'!$A:$A,'Inc CWIP &amp; Plant Summary'!F$69,'Inc CWIP &amp; Plant'!$B:$B,'Inc CWIP &amp; Plant Summary'!$C78,'Inc CWIP &amp; Plant'!$G:$G,'Inc CWIP &amp; Plant Summary'!$B78)</f>
        <v>0</v>
      </c>
      <c r="G78" s="299">
        <f>SUMIFS('Inc CWIP &amp; Plant'!$O:$O,'Inc CWIP &amp; Plant'!$A:$A,'Inc CWIP &amp; Plant Summary'!G$69,'Inc CWIP &amp; Plant'!$B:$B,'Inc CWIP &amp; Plant Summary'!$C78,'Inc CWIP &amp; Plant'!$G:$G,'Inc CWIP &amp; Plant Summary'!$B78)</f>
        <v>50.20958000000001</v>
      </c>
      <c r="H78" s="299">
        <f>SUMIFS('Inc CWIP &amp; Plant'!$O:$O,'Inc CWIP &amp; Plant'!$A:$A,'Inc CWIP &amp; Plant Summary'!H$69,'Inc CWIP &amp; Plant'!$B:$B,'Inc CWIP &amp; Plant Summary'!$C78,'Inc CWIP &amp; Plant'!$G:$G,'Inc CWIP &amp; Plant Summary'!$B78)</f>
        <v>0</v>
      </c>
      <c r="I78" s="299">
        <f>SUMIFS('Inc CWIP &amp; Plant'!$O:$O,'Inc CWIP &amp; Plant'!$A:$A,'Inc CWIP &amp; Plant Summary'!I$69,'Inc CWIP &amp; Plant'!$B:$B,'Inc CWIP &amp; Plant Summary'!$C78,'Inc CWIP &amp; Plant'!$G:$G,'Inc CWIP &amp; Plant Summary'!$B78)</f>
        <v>0</v>
      </c>
      <c r="J78" s="299">
        <f>SUMIFS('Inc CWIP &amp; Plant'!$O:$O,'Inc CWIP &amp; Plant'!$A:$A,'Inc CWIP &amp; Plant Summary'!J$69,'Inc CWIP &amp; Plant'!$B:$B,'Inc CWIP &amp; Plant Summary'!$C78,'Inc CWIP &amp; Plant'!$G:$G,'Inc CWIP &amp; Plant Summary'!$B78)</f>
        <v>0</v>
      </c>
      <c r="K78" s="299">
        <f>SUMIFS('Inc CWIP &amp; Plant'!$O:$O,'Inc CWIP &amp; Plant'!$A:$A,'Inc CWIP &amp; Plant Summary'!K$69,'Inc CWIP &amp; Plant'!$B:$B,'Inc CWIP &amp; Plant Summary'!$C78,'Inc CWIP &amp; Plant'!$G:$G,'Inc CWIP &amp; Plant Summary'!$B78)</f>
        <v>0</v>
      </c>
      <c r="L78" s="299">
        <f>SUMIFS('Inc CWIP &amp; Plant'!$O:$O,'Inc CWIP &amp; Plant'!$A:$A,'Inc CWIP &amp; Plant Summary'!L$69,'Inc CWIP &amp; Plant'!$B:$B,'Inc CWIP &amp; Plant Summary'!$C78,'Inc CWIP &amp; Plant'!$G:$G,'Inc CWIP &amp; Plant Summary'!$B78)</f>
        <v>0</v>
      </c>
      <c r="M78" s="299">
        <f>SUMIFS('Inc CWIP &amp; Plant'!$O:$O,'Inc CWIP &amp; Plant'!$A:$A,'Inc CWIP &amp; Plant Summary'!M$69,'Inc CWIP &amp; Plant'!$B:$B,'Inc CWIP &amp; Plant Summary'!$C78,'Inc CWIP &amp; Plant'!$G:$G,'Inc CWIP &amp; Plant Summary'!$B78)</f>
        <v>0</v>
      </c>
      <c r="N78" s="299">
        <f>SUMIFS('Inc CWIP &amp; Plant'!$O:$O,'Inc CWIP &amp; Plant'!$A:$A,'Inc CWIP &amp; Plant Summary'!N$69,'Inc CWIP &amp; Plant'!$B:$B,'Inc CWIP &amp; Plant Summary'!$C78,'Inc CWIP &amp; Plant'!$G:$G,'Inc CWIP &amp; Plant Summary'!$B78)</f>
        <v>0</v>
      </c>
      <c r="O78" s="299">
        <f>SUMIFS('Inc CWIP &amp; Plant'!$O:$O,'Inc CWIP &amp; Plant'!$A:$A,'Inc CWIP &amp; Plant Summary'!O$69,'Inc CWIP &amp; Plant'!$B:$B,'Inc CWIP &amp; Plant Summary'!$C78,'Inc CWIP &amp; Plant'!$G:$G,'Inc CWIP &amp; Plant Summary'!$B78)</f>
        <v>0</v>
      </c>
      <c r="P78" s="299">
        <f>SUMIFS('Inc CWIP &amp; Plant'!$O:$O,'Inc CWIP &amp; Plant'!$A:$A,'Inc CWIP &amp; Plant Summary'!P$69,'Inc CWIP &amp; Plant'!$B:$B,'Inc CWIP &amp; Plant Summary'!$C78,'Inc CWIP &amp; Plant'!$G:$G,'Inc CWIP &amp; Plant Summary'!$B78)</f>
        <v>0</v>
      </c>
    </row>
    <row r="79" spans="1:16" ht="15" customHeight="1" x14ac:dyDescent="0.25">
      <c r="A79" s="297"/>
      <c r="B79" s="308">
        <f t="shared" si="6"/>
        <v>42248</v>
      </c>
      <c r="C79" s="308" t="s">
        <v>33</v>
      </c>
      <c r="D79" s="312">
        <f t="shared" si="7"/>
        <v>0</v>
      </c>
      <c r="E79" s="299">
        <f>SUMIFS('Inc CWIP &amp; Plant'!$O:$O,'Inc CWIP &amp; Plant'!$A:$A,'Inc CWIP &amp; Plant Summary'!E$69,'Inc CWIP &amp; Plant'!$B:$B,'Inc CWIP &amp; Plant Summary'!$C79,'Inc CWIP &amp; Plant'!$G:$G,'Inc CWIP &amp; Plant Summary'!$B79)</f>
        <v>0</v>
      </c>
      <c r="F79" s="299">
        <f>SUMIFS('Inc CWIP &amp; Plant'!$O:$O,'Inc CWIP &amp; Plant'!$A:$A,'Inc CWIP &amp; Plant Summary'!F$69,'Inc CWIP &amp; Plant'!$B:$B,'Inc CWIP &amp; Plant Summary'!$C79,'Inc CWIP &amp; Plant'!$G:$G,'Inc CWIP &amp; Plant Summary'!$B79)</f>
        <v>0</v>
      </c>
      <c r="G79" s="299">
        <f>SUMIFS('Inc CWIP &amp; Plant'!$O:$O,'Inc CWIP &amp; Plant'!$A:$A,'Inc CWIP &amp; Plant Summary'!G$69,'Inc CWIP &amp; Plant'!$B:$B,'Inc CWIP &amp; Plant Summary'!$C79,'Inc CWIP &amp; Plant'!$G:$G,'Inc CWIP &amp; Plant Summary'!$B79)</f>
        <v>0</v>
      </c>
      <c r="H79" s="299">
        <f>SUMIFS('Inc CWIP &amp; Plant'!$O:$O,'Inc CWIP &amp; Plant'!$A:$A,'Inc CWIP &amp; Plant Summary'!H$69,'Inc CWIP &amp; Plant'!$B:$B,'Inc CWIP &amp; Plant Summary'!$C79,'Inc CWIP &amp; Plant'!$G:$G,'Inc CWIP &amp; Plant Summary'!$B79)</f>
        <v>0</v>
      </c>
      <c r="I79" s="299">
        <f>SUMIFS('Inc CWIP &amp; Plant'!$O:$O,'Inc CWIP &amp; Plant'!$A:$A,'Inc CWIP &amp; Plant Summary'!I$69,'Inc CWIP &amp; Plant'!$B:$B,'Inc CWIP &amp; Plant Summary'!$C79,'Inc CWIP &amp; Plant'!$G:$G,'Inc CWIP &amp; Plant Summary'!$B79)</f>
        <v>0</v>
      </c>
      <c r="J79" s="299">
        <f>SUMIFS('Inc CWIP &amp; Plant'!$O:$O,'Inc CWIP &amp; Plant'!$A:$A,'Inc CWIP &amp; Plant Summary'!J$69,'Inc CWIP &amp; Plant'!$B:$B,'Inc CWIP &amp; Plant Summary'!$C79,'Inc CWIP &amp; Plant'!$G:$G,'Inc CWIP &amp; Plant Summary'!$B79)</f>
        <v>0</v>
      </c>
      <c r="K79" s="299">
        <f>SUMIFS('Inc CWIP &amp; Plant'!$O:$O,'Inc CWIP &amp; Plant'!$A:$A,'Inc CWIP &amp; Plant Summary'!K$69,'Inc CWIP &amp; Plant'!$B:$B,'Inc CWIP &amp; Plant Summary'!$C79,'Inc CWIP &amp; Plant'!$G:$G,'Inc CWIP &amp; Plant Summary'!$B79)</f>
        <v>0</v>
      </c>
      <c r="L79" s="299">
        <f>SUMIFS('Inc CWIP &amp; Plant'!$O:$O,'Inc CWIP &amp; Plant'!$A:$A,'Inc CWIP &amp; Plant Summary'!L$69,'Inc CWIP &amp; Plant'!$B:$B,'Inc CWIP &amp; Plant Summary'!$C79,'Inc CWIP &amp; Plant'!$G:$G,'Inc CWIP &amp; Plant Summary'!$B79)</f>
        <v>0</v>
      </c>
      <c r="M79" s="299">
        <f>SUMIFS('Inc CWIP &amp; Plant'!$O:$O,'Inc CWIP &amp; Plant'!$A:$A,'Inc CWIP &amp; Plant Summary'!M$69,'Inc CWIP &amp; Plant'!$B:$B,'Inc CWIP &amp; Plant Summary'!$C79,'Inc CWIP &amp; Plant'!$G:$G,'Inc CWIP &amp; Plant Summary'!$B79)</f>
        <v>0</v>
      </c>
      <c r="N79" s="299">
        <f>SUMIFS('Inc CWIP &amp; Plant'!$O:$O,'Inc CWIP &amp; Plant'!$A:$A,'Inc CWIP &amp; Plant Summary'!N$69,'Inc CWIP &amp; Plant'!$B:$B,'Inc CWIP &amp; Plant Summary'!$C79,'Inc CWIP &amp; Plant'!$G:$G,'Inc CWIP &amp; Plant Summary'!$B79)</f>
        <v>0</v>
      </c>
      <c r="O79" s="299">
        <f>SUMIFS('Inc CWIP &amp; Plant'!$O:$O,'Inc CWIP &amp; Plant'!$A:$A,'Inc CWIP &amp; Plant Summary'!O$69,'Inc CWIP &amp; Plant'!$B:$B,'Inc CWIP &amp; Plant Summary'!$C79,'Inc CWIP &amp; Plant'!$G:$G,'Inc CWIP &amp; Plant Summary'!$B79)</f>
        <v>0</v>
      </c>
      <c r="P79" s="299">
        <f>SUMIFS('Inc CWIP &amp; Plant'!$O:$O,'Inc CWIP &amp; Plant'!$A:$A,'Inc CWIP &amp; Plant Summary'!P$69,'Inc CWIP &amp; Plant'!$B:$B,'Inc CWIP &amp; Plant Summary'!$C79,'Inc CWIP &amp; Plant'!$G:$G,'Inc CWIP &amp; Plant Summary'!$B79)</f>
        <v>0</v>
      </c>
    </row>
    <row r="80" spans="1:16" ht="15" customHeight="1" x14ac:dyDescent="0.25">
      <c r="A80" s="297"/>
      <c r="B80" s="308">
        <f t="shared" si="6"/>
        <v>42278</v>
      </c>
      <c r="C80" s="308" t="s">
        <v>33</v>
      </c>
      <c r="D80" s="312">
        <f t="shared" si="7"/>
        <v>0</v>
      </c>
      <c r="E80" s="299">
        <f>SUMIFS('Inc CWIP &amp; Plant'!$O:$O,'Inc CWIP &amp; Plant'!$A:$A,'Inc CWIP &amp; Plant Summary'!E$69,'Inc CWIP &amp; Plant'!$B:$B,'Inc CWIP &amp; Plant Summary'!$C80,'Inc CWIP &amp; Plant'!$G:$G,'Inc CWIP &amp; Plant Summary'!$B80)</f>
        <v>0</v>
      </c>
      <c r="F80" s="299">
        <f>SUMIFS('Inc CWIP &amp; Plant'!$O:$O,'Inc CWIP &amp; Plant'!$A:$A,'Inc CWIP &amp; Plant Summary'!F$69,'Inc CWIP &amp; Plant'!$B:$B,'Inc CWIP &amp; Plant Summary'!$C80,'Inc CWIP &amp; Plant'!$G:$G,'Inc CWIP &amp; Plant Summary'!$B80)</f>
        <v>0</v>
      </c>
      <c r="G80" s="299">
        <f>SUMIFS('Inc CWIP &amp; Plant'!$O:$O,'Inc CWIP &amp; Plant'!$A:$A,'Inc CWIP &amp; Plant Summary'!G$69,'Inc CWIP &amp; Plant'!$B:$B,'Inc CWIP &amp; Plant Summary'!$C80,'Inc CWIP &amp; Plant'!$G:$G,'Inc CWIP &amp; Plant Summary'!$B80)</f>
        <v>0</v>
      </c>
      <c r="H80" s="299">
        <f>SUMIFS('Inc CWIP &amp; Plant'!$O:$O,'Inc CWIP &amp; Plant'!$A:$A,'Inc CWIP &amp; Plant Summary'!H$69,'Inc CWIP &amp; Plant'!$B:$B,'Inc CWIP &amp; Plant Summary'!$C80,'Inc CWIP &amp; Plant'!$G:$G,'Inc CWIP &amp; Plant Summary'!$B80)</f>
        <v>0</v>
      </c>
      <c r="I80" s="299">
        <f>SUMIFS('Inc CWIP &amp; Plant'!$O:$O,'Inc CWIP &amp; Plant'!$A:$A,'Inc CWIP &amp; Plant Summary'!I$69,'Inc CWIP &amp; Plant'!$B:$B,'Inc CWIP &amp; Plant Summary'!$C80,'Inc CWIP &amp; Plant'!$G:$G,'Inc CWIP &amp; Plant Summary'!$B80)</f>
        <v>0</v>
      </c>
      <c r="J80" s="299">
        <f>SUMIFS('Inc CWIP &amp; Plant'!$O:$O,'Inc CWIP &amp; Plant'!$A:$A,'Inc CWIP &amp; Plant Summary'!J$69,'Inc CWIP &amp; Plant'!$B:$B,'Inc CWIP &amp; Plant Summary'!$C80,'Inc CWIP &amp; Plant'!$G:$G,'Inc CWIP &amp; Plant Summary'!$B80)</f>
        <v>0</v>
      </c>
      <c r="K80" s="299">
        <f>SUMIFS('Inc CWIP &amp; Plant'!$O:$O,'Inc CWIP &amp; Plant'!$A:$A,'Inc CWIP &amp; Plant Summary'!K$69,'Inc CWIP &amp; Plant'!$B:$B,'Inc CWIP &amp; Plant Summary'!$C80,'Inc CWIP &amp; Plant'!$G:$G,'Inc CWIP &amp; Plant Summary'!$B80)</f>
        <v>0</v>
      </c>
      <c r="L80" s="299">
        <f>SUMIFS('Inc CWIP &amp; Plant'!$O:$O,'Inc CWIP &amp; Plant'!$A:$A,'Inc CWIP &amp; Plant Summary'!L$69,'Inc CWIP &amp; Plant'!$B:$B,'Inc CWIP &amp; Plant Summary'!$C80,'Inc CWIP &amp; Plant'!$G:$G,'Inc CWIP &amp; Plant Summary'!$B80)</f>
        <v>0</v>
      </c>
      <c r="M80" s="299">
        <f>SUMIFS('Inc CWIP &amp; Plant'!$O:$O,'Inc CWIP &amp; Plant'!$A:$A,'Inc CWIP &amp; Plant Summary'!M$69,'Inc CWIP &amp; Plant'!$B:$B,'Inc CWIP &amp; Plant Summary'!$C80,'Inc CWIP &amp; Plant'!$G:$G,'Inc CWIP &amp; Plant Summary'!$B80)</f>
        <v>0</v>
      </c>
      <c r="N80" s="299">
        <f>SUMIFS('Inc CWIP &amp; Plant'!$O:$O,'Inc CWIP &amp; Plant'!$A:$A,'Inc CWIP &amp; Plant Summary'!N$69,'Inc CWIP &amp; Plant'!$B:$B,'Inc CWIP &amp; Plant Summary'!$C80,'Inc CWIP &amp; Plant'!$G:$G,'Inc CWIP &amp; Plant Summary'!$B80)</f>
        <v>0</v>
      </c>
      <c r="O80" s="299">
        <f>SUMIFS('Inc CWIP &amp; Plant'!$O:$O,'Inc CWIP &amp; Plant'!$A:$A,'Inc CWIP &amp; Plant Summary'!O$69,'Inc CWIP &amp; Plant'!$B:$B,'Inc CWIP &amp; Plant Summary'!$C80,'Inc CWIP &amp; Plant'!$G:$G,'Inc CWIP &amp; Plant Summary'!$B80)</f>
        <v>0</v>
      </c>
      <c r="P80" s="299">
        <f>SUMIFS('Inc CWIP &amp; Plant'!$O:$O,'Inc CWIP &amp; Plant'!$A:$A,'Inc CWIP &amp; Plant Summary'!P$69,'Inc CWIP &amp; Plant'!$B:$B,'Inc CWIP &amp; Plant Summary'!$C80,'Inc CWIP &amp; Plant'!$G:$G,'Inc CWIP &amp; Plant Summary'!$B80)</f>
        <v>0</v>
      </c>
    </row>
    <row r="81" spans="1:16" ht="15" customHeight="1" x14ac:dyDescent="0.25">
      <c r="A81" s="297"/>
      <c r="B81" s="308">
        <f t="shared" si="6"/>
        <v>42309</v>
      </c>
      <c r="C81" s="308" t="s">
        <v>33</v>
      </c>
      <c r="D81" s="312">
        <f t="shared" si="7"/>
        <v>0</v>
      </c>
      <c r="E81" s="299">
        <f>SUMIFS('Inc CWIP &amp; Plant'!$O:$O,'Inc CWIP &amp; Plant'!$A:$A,'Inc CWIP &amp; Plant Summary'!E$69,'Inc CWIP &amp; Plant'!$B:$B,'Inc CWIP &amp; Plant Summary'!$C81,'Inc CWIP &amp; Plant'!$G:$G,'Inc CWIP &amp; Plant Summary'!$B81)</f>
        <v>0</v>
      </c>
      <c r="F81" s="299">
        <f>SUMIFS('Inc CWIP &amp; Plant'!$O:$O,'Inc CWIP &amp; Plant'!$A:$A,'Inc CWIP &amp; Plant Summary'!F$69,'Inc CWIP &amp; Plant'!$B:$B,'Inc CWIP &amp; Plant Summary'!$C81,'Inc CWIP &amp; Plant'!$G:$G,'Inc CWIP &amp; Plant Summary'!$B81)</f>
        <v>0</v>
      </c>
      <c r="G81" s="299">
        <f>SUMIFS('Inc CWIP &amp; Plant'!$O:$O,'Inc CWIP &amp; Plant'!$A:$A,'Inc CWIP &amp; Plant Summary'!G$69,'Inc CWIP &amp; Plant'!$B:$B,'Inc CWIP &amp; Plant Summary'!$C81,'Inc CWIP &amp; Plant'!$G:$G,'Inc CWIP &amp; Plant Summary'!$B81)</f>
        <v>0</v>
      </c>
      <c r="H81" s="299">
        <f>SUMIFS('Inc CWIP &amp; Plant'!$O:$O,'Inc CWIP &amp; Plant'!$A:$A,'Inc CWIP &amp; Plant Summary'!H$69,'Inc CWIP &amp; Plant'!$B:$B,'Inc CWIP &amp; Plant Summary'!$C81,'Inc CWIP &amp; Plant'!$G:$G,'Inc CWIP &amp; Plant Summary'!$B81)</f>
        <v>0</v>
      </c>
      <c r="I81" s="299">
        <f>SUMIFS('Inc CWIP &amp; Plant'!$O:$O,'Inc CWIP &amp; Plant'!$A:$A,'Inc CWIP &amp; Plant Summary'!I$69,'Inc CWIP &amp; Plant'!$B:$B,'Inc CWIP &amp; Plant Summary'!$C81,'Inc CWIP &amp; Plant'!$G:$G,'Inc CWIP &amp; Plant Summary'!$B81)</f>
        <v>0</v>
      </c>
      <c r="J81" s="299">
        <f>SUMIFS('Inc CWIP &amp; Plant'!$O:$O,'Inc CWIP &amp; Plant'!$A:$A,'Inc CWIP &amp; Plant Summary'!J$69,'Inc CWIP &amp; Plant'!$B:$B,'Inc CWIP &amp; Plant Summary'!$C81,'Inc CWIP &amp; Plant'!$G:$G,'Inc CWIP &amp; Plant Summary'!$B81)</f>
        <v>0</v>
      </c>
      <c r="K81" s="299">
        <f>SUMIFS('Inc CWIP &amp; Plant'!$O:$O,'Inc CWIP &amp; Plant'!$A:$A,'Inc CWIP &amp; Plant Summary'!K$69,'Inc CWIP &amp; Plant'!$B:$B,'Inc CWIP &amp; Plant Summary'!$C81,'Inc CWIP &amp; Plant'!$G:$G,'Inc CWIP &amp; Plant Summary'!$B81)</f>
        <v>0</v>
      </c>
      <c r="L81" s="299">
        <f>SUMIFS('Inc CWIP &amp; Plant'!$O:$O,'Inc CWIP &amp; Plant'!$A:$A,'Inc CWIP &amp; Plant Summary'!L$69,'Inc CWIP &amp; Plant'!$B:$B,'Inc CWIP &amp; Plant Summary'!$C81,'Inc CWIP &amp; Plant'!$G:$G,'Inc CWIP &amp; Plant Summary'!$B81)</f>
        <v>0</v>
      </c>
      <c r="M81" s="299">
        <f>SUMIFS('Inc CWIP &amp; Plant'!$O:$O,'Inc CWIP &amp; Plant'!$A:$A,'Inc CWIP &amp; Plant Summary'!M$69,'Inc CWIP &amp; Plant'!$B:$B,'Inc CWIP &amp; Plant Summary'!$C81,'Inc CWIP &amp; Plant'!$G:$G,'Inc CWIP &amp; Plant Summary'!$B81)</f>
        <v>0</v>
      </c>
      <c r="N81" s="299">
        <f>SUMIFS('Inc CWIP &amp; Plant'!$O:$O,'Inc CWIP &amp; Plant'!$A:$A,'Inc CWIP &amp; Plant Summary'!N$69,'Inc CWIP &amp; Plant'!$B:$B,'Inc CWIP &amp; Plant Summary'!$C81,'Inc CWIP &amp; Plant'!$G:$G,'Inc CWIP &amp; Plant Summary'!$B81)</f>
        <v>0</v>
      </c>
      <c r="O81" s="299">
        <f>SUMIFS('Inc CWIP &amp; Plant'!$O:$O,'Inc CWIP &amp; Plant'!$A:$A,'Inc CWIP &amp; Plant Summary'!O$69,'Inc CWIP &amp; Plant'!$B:$B,'Inc CWIP &amp; Plant Summary'!$C81,'Inc CWIP &amp; Plant'!$G:$G,'Inc CWIP &amp; Plant Summary'!$B81)</f>
        <v>0</v>
      </c>
      <c r="P81" s="299">
        <f>SUMIFS('Inc CWIP &amp; Plant'!$O:$O,'Inc CWIP &amp; Plant'!$A:$A,'Inc CWIP &amp; Plant Summary'!P$69,'Inc CWIP &amp; Plant'!$B:$B,'Inc CWIP &amp; Plant Summary'!$C81,'Inc CWIP &amp; Plant'!$G:$G,'Inc CWIP &amp; Plant Summary'!$B81)</f>
        <v>0</v>
      </c>
    </row>
    <row r="82" spans="1:16" ht="15" customHeight="1" x14ac:dyDescent="0.25">
      <c r="A82" s="297"/>
      <c r="B82" s="308">
        <f t="shared" si="6"/>
        <v>42339</v>
      </c>
      <c r="C82" s="308" t="s">
        <v>33</v>
      </c>
      <c r="D82" s="312">
        <f t="shared" si="7"/>
        <v>3445.3826699999995</v>
      </c>
      <c r="E82" s="299">
        <f>SUMIFS('Inc CWIP &amp; Plant'!$O:$O,'Inc CWIP &amp; Plant'!$A:$A,'Inc CWIP &amp; Plant Summary'!E$69,'Inc CWIP &amp; Plant'!$B:$B,'Inc CWIP &amp; Plant Summary'!$C82,'Inc CWIP &amp; Plant'!$G:$G,'Inc CWIP &amp; Plant Summary'!$B82)</f>
        <v>0</v>
      </c>
      <c r="F82" s="299">
        <f>SUMIFS('Inc CWIP &amp; Plant'!$O:$O,'Inc CWIP &amp; Plant'!$A:$A,'Inc CWIP &amp; Plant Summary'!F$69,'Inc CWIP &amp; Plant'!$B:$B,'Inc CWIP &amp; Plant Summary'!$C82,'Inc CWIP &amp; Plant'!$G:$G,'Inc CWIP &amp; Plant Summary'!$B82)</f>
        <v>0</v>
      </c>
      <c r="G82" s="299">
        <f>SUMIFS('Inc CWIP &amp; Plant'!$O:$O,'Inc CWIP &amp; Plant'!$A:$A,'Inc CWIP &amp; Plant Summary'!G$69,'Inc CWIP &amp; Plant'!$B:$B,'Inc CWIP &amp; Plant Summary'!$C82,'Inc CWIP &amp; Plant'!$G:$G,'Inc CWIP &amp; Plant Summary'!$B82)</f>
        <v>0</v>
      </c>
      <c r="H82" s="299">
        <f>SUMIFS('Inc CWIP &amp; Plant'!$O:$O,'Inc CWIP &amp; Plant'!$A:$A,'Inc CWIP &amp; Plant Summary'!H$69,'Inc CWIP &amp; Plant'!$B:$B,'Inc CWIP &amp; Plant Summary'!$C82,'Inc CWIP &amp; Plant'!$G:$G,'Inc CWIP &amp; Plant Summary'!$B82)</f>
        <v>0</v>
      </c>
      <c r="I82" s="299">
        <f>SUMIFS('Inc CWIP &amp; Plant'!$O:$O,'Inc CWIP &amp; Plant'!$A:$A,'Inc CWIP &amp; Plant Summary'!I$69,'Inc CWIP &amp; Plant'!$B:$B,'Inc CWIP &amp; Plant Summary'!$C82,'Inc CWIP &amp; Plant'!$G:$G,'Inc CWIP &amp; Plant Summary'!$B82)</f>
        <v>3445.3826699999995</v>
      </c>
      <c r="J82" s="299">
        <f>SUMIFS('Inc CWIP &amp; Plant'!$O:$O,'Inc CWIP &amp; Plant'!$A:$A,'Inc CWIP &amp; Plant Summary'!J$69,'Inc CWIP &amp; Plant'!$B:$B,'Inc CWIP &amp; Plant Summary'!$C82,'Inc CWIP &amp; Plant'!$G:$G,'Inc CWIP &amp; Plant Summary'!$B82)</f>
        <v>0</v>
      </c>
      <c r="K82" s="299">
        <f>SUMIFS('Inc CWIP &amp; Plant'!$O:$O,'Inc CWIP &amp; Plant'!$A:$A,'Inc CWIP &amp; Plant Summary'!K$69,'Inc CWIP &amp; Plant'!$B:$B,'Inc CWIP &amp; Plant Summary'!$C82,'Inc CWIP &amp; Plant'!$G:$G,'Inc CWIP &amp; Plant Summary'!$B82)</f>
        <v>0</v>
      </c>
      <c r="L82" s="299">
        <f>SUMIFS('Inc CWIP &amp; Plant'!$O:$O,'Inc CWIP &amp; Plant'!$A:$A,'Inc CWIP &amp; Plant Summary'!L$69,'Inc CWIP &amp; Plant'!$B:$B,'Inc CWIP &amp; Plant Summary'!$C82,'Inc CWIP &amp; Plant'!$G:$G,'Inc CWIP &amp; Plant Summary'!$B82)</f>
        <v>0</v>
      </c>
      <c r="M82" s="299">
        <f>SUMIFS('Inc CWIP &amp; Plant'!$O:$O,'Inc CWIP &amp; Plant'!$A:$A,'Inc CWIP &amp; Plant Summary'!M$69,'Inc CWIP &amp; Plant'!$B:$B,'Inc CWIP &amp; Plant Summary'!$C82,'Inc CWIP &amp; Plant'!$G:$G,'Inc CWIP &amp; Plant Summary'!$B82)</f>
        <v>0</v>
      </c>
      <c r="N82" s="299">
        <f>SUMIFS('Inc CWIP &amp; Plant'!$O:$O,'Inc CWIP &amp; Plant'!$A:$A,'Inc CWIP &amp; Plant Summary'!N$69,'Inc CWIP &amp; Plant'!$B:$B,'Inc CWIP &amp; Plant Summary'!$C82,'Inc CWIP &amp; Plant'!$G:$G,'Inc CWIP &amp; Plant Summary'!$B82)</f>
        <v>0</v>
      </c>
      <c r="O82" s="299">
        <f>SUMIFS('Inc CWIP &amp; Plant'!$O:$O,'Inc CWIP &amp; Plant'!$A:$A,'Inc CWIP &amp; Plant Summary'!O$69,'Inc CWIP &amp; Plant'!$B:$B,'Inc CWIP &amp; Plant Summary'!$C82,'Inc CWIP &amp; Plant'!$G:$G,'Inc CWIP &amp; Plant Summary'!$B82)</f>
        <v>0</v>
      </c>
      <c r="P82" s="299">
        <f>SUMIFS('Inc CWIP &amp; Plant'!$O:$O,'Inc CWIP &amp; Plant'!$A:$A,'Inc CWIP &amp; Plant Summary'!P$69,'Inc CWIP &amp; Plant'!$B:$B,'Inc CWIP &amp; Plant Summary'!$C82,'Inc CWIP &amp; Plant'!$G:$G,'Inc CWIP &amp; Plant Summary'!$B82)</f>
        <v>0</v>
      </c>
    </row>
    <row r="83" spans="1:16" ht="15" customHeight="1" x14ac:dyDescent="0.25">
      <c r="A83" s="297"/>
      <c r="B83" s="308">
        <f t="shared" si="6"/>
        <v>42370</v>
      </c>
      <c r="C83" s="308" t="s">
        <v>33</v>
      </c>
      <c r="D83" s="312">
        <f t="shared" si="7"/>
        <v>0</v>
      </c>
      <c r="E83" s="299">
        <f>SUMIFS('Inc CWIP &amp; Plant'!$O:$O,'Inc CWIP &amp; Plant'!$A:$A,'Inc CWIP &amp; Plant Summary'!E$69,'Inc CWIP &amp; Plant'!$B:$B,'Inc CWIP &amp; Plant Summary'!$C83,'Inc CWIP &amp; Plant'!$G:$G,'Inc CWIP &amp; Plant Summary'!$B83)</f>
        <v>0</v>
      </c>
      <c r="F83" s="299">
        <f>SUMIFS('Inc CWIP &amp; Plant'!$O:$O,'Inc CWIP &amp; Plant'!$A:$A,'Inc CWIP &amp; Plant Summary'!F$69,'Inc CWIP &amp; Plant'!$B:$B,'Inc CWIP &amp; Plant Summary'!$C83,'Inc CWIP &amp; Plant'!$G:$G,'Inc CWIP &amp; Plant Summary'!$B83)</f>
        <v>0</v>
      </c>
      <c r="G83" s="299">
        <f>SUMIFS('Inc CWIP &amp; Plant'!$O:$O,'Inc CWIP &amp; Plant'!$A:$A,'Inc CWIP &amp; Plant Summary'!G$69,'Inc CWIP &amp; Plant'!$B:$B,'Inc CWIP &amp; Plant Summary'!$C83,'Inc CWIP &amp; Plant'!$G:$G,'Inc CWIP &amp; Plant Summary'!$B83)</f>
        <v>0</v>
      </c>
      <c r="H83" s="299">
        <f>SUMIFS('Inc CWIP &amp; Plant'!$O:$O,'Inc CWIP &amp; Plant'!$A:$A,'Inc CWIP &amp; Plant Summary'!H$69,'Inc CWIP &amp; Plant'!$B:$B,'Inc CWIP &amp; Plant Summary'!$C83,'Inc CWIP &amp; Plant'!$G:$G,'Inc CWIP &amp; Plant Summary'!$B83)</f>
        <v>0</v>
      </c>
      <c r="I83" s="299">
        <f>SUMIFS('Inc CWIP &amp; Plant'!$O:$O,'Inc CWIP &amp; Plant'!$A:$A,'Inc CWIP &amp; Plant Summary'!I$69,'Inc CWIP &amp; Plant'!$B:$B,'Inc CWIP &amp; Plant Summary'!$C83,'Inc CWIP &amp; Plant'!$G:$G,'Inc CWIP &amp; Plant Summary'!$B83)</f>
        <v>0</v>
      </c>
      <c r="J83" s="299">
        <f>SUMIFS('Inc CWIP &amp; Plant'!$O:$O,'Inc CWIP &amp; Plant'!$A:$A,'Inc CWIP &amp; Plant Summary'!J$69,'Inc CWIP &amp; Plant'!$B:$B,'Inc CWIP &amp; Plant Summary'!$C83,'Inc CWIP &amp; Plant'!$G:$G,'Inc CWIP &amp; Plant Summary'!$B83)</f>
        <v>0</v>
      </c>
      <c r="K83" s="299">
        <f>SUMIFS('Inc CWIP &amp; Plant'!$O:$O,'Inc CWIP &amp; Plant'!$A:$A,'Inc CWIP &amp; Plant Summary'!K$69,'Inc CWIP &amp; Plant'!$B:$B,'Inc CWIP &amp; Plant Summary'!$C83,'Inc CWIP &amp; Plant'!$G:$G,'Inc CWIP &amp; Plant Summary'!$B83)</f>
        <v>0</v>
      </c>
      <c r="L83" s="299">
        <f>SUMIFS('Inc CWIP &amp; Plant'!$O:$O,'Inc CWIP &amp; Plant'!$A:$A,'Inc CWIP &amp; Plant Summary'!L$69,'Inc CWIP &amp; Plant'!$B:$B,'Inc CWIP &amp; Plant Summary'!$C83,'Inc CWIP &amp; Plant'!$G:$G,'Inc CWIP &amp; Plant Summary'!$B83)</f>
        <v>0</v>
      </c>
      <c r="M83" s="299">
        <f>SUMIFS('Inc CWIP &amp; Plant'!$O:$O,'Inc CWIP &amp; Plant'!$A:$A,'Inc CWIP &amp; Plant Summary'!M$69,'Inc CWIP &amp; Plant'!$B:$B,'Inc CWIP &amp; Plant Summary'!$C83,'Inc CWIP &amp; Plant'!$G:$G,'Inc CWIP &amp; Plant Summary'!$B83)</f>
        <v>0</v>
      </c>
      <c r="N83" s="299">
        <f>SUMIFS('Inc CWIP &amp; Plant'!$O:$O,'Inc CWIP &amp; Plant'!$A:$A,'Inc CWIP &amp; Plant Summary'!N$69,'Inc CWIP &amp; Plant'!$B:$B,'Inc CWIP &amp; Plant Summary'!$C83,'Inc CWIP &amp; Plant'!$G:$G,'Inc CWIP &amp; Plant Summary'!$B83)</f>
        <v>0</v>
      </c>
      <c r="O83" s="299">
        <f>SUMIFS('Inc CWIP &amp; Plant'!$O:$O,'Inc CWIP &amp; Plant'!$A:$A,'Inc CWIP &amp; Plant Summary'!O$69,'Inc CWIP &amp; Plant'!$B:$B,'Inc CWIP &amp; Plant Summary'!$C83,'Inc CWIP &amp; Plant'!$G:$G,'Inc CWIP &amp; Plant Summary'!$B83)</f>
        <v>0</v>
      </c>
      <c r="P83" s="299">
        <f>SUMIFS('Inc CWIP &amp; Plant'!$O:$O,'Inc CWIP &amp; Plant'!$A:$A,'Inc CWIP &amp; Plant Summary'!P$69,'Inc CWIP &amp; Plant'!$B:$B,'Inc CWIP &amp; Plant Summary'!$C83,'Inc CWIP &amp; Plant'!$G:$G,'Inc CWIP &amp; Plant Summary'!$B83)</f>
        <v>0</v>
      </c>
    </row>
    <row r="84" spans="1:16" ht="15" customHeight="1" x14ac:dyDescent="0.25">
      <c r="A84" s="297"/>
      <c r="B84" s="308">
        <f t="shared" si="6"/>
        <v>42401</v>
      </c>
      <c r="C84" s="308" t="s">
        <v>33</v>
      </c>
      <c r="D84" s="312">
        <f t="shared" si="7"/>
        <v>0</v>
      </c>
      <c r="E84" s="299">
        <f>SUMIFS('Inc CWIP &amp; Plant'!$O:$O,'Inc CWIP &amp; Plant'!$A:$A,'Inc CWIP &amp; Plant Summary'!E$69,'Inc CWIP &amp; Plant'!$B:$B,'Inc CWIP &amp; Plant Summary'!$C84,'Inc CWIP &amp; Plant'!$G:$G,'Inc CWIP &amp; Plant Summary'!$B84)</f>
        <v>0</v>
      </c>
      <c r="F84" s="299">
        <f>SUMIFS('Inc CWIP &amp; Plant'!$O:$O,'Inc CWIP &amp; Plant'!$A:$A,'Inc CWIP &amp; Plant Summary'!F$69,'Inc CWIP &amp; Plant'!$B:$B,'Inc CWIP &amp; Plant Summary'!$C84,'Inc CWIP &amp; Plant'!$G:$G,'Inc CWIP &amp; Plant Summary'!$B84)</f>
        <v>0</v>
      </c>
      <c r="G84" s="299">
        <f>SUMIFS('Inc CWIP &amp; Plant'!$O:$O,'Inc CWIP &amp; Plant'!$A:$A,'Inc CWIP &amp; Plant Summary'!G$69,'Inc CWIP &amp; Plant'!$B:$B,'Inc CWIP &amp; Plant Summary'!$C84,'Inc CWIP &amp; Plant'!$G:$G,'Inc CWIP &amp; Plant Summary'!$B84)</f>
        <v>0</v>
      </c>
      <c r="H84" s="299">
        <f>SUMIFS('Inc CWIP &amp; Plant'!$O:$O,'Inc CWIP &amp; Plant'!$A:$A,'Inc CWIP &amp; Plant Summary'!H$69,'Inc CWIP &amp; Plant'!$B:$B,'Inc CWIP &amp; Plant Summary'!$C84,'Inc CWIP &amp; Plant'!$G:$G,'Inc CWIP &amp; Plant Summary'!$B84)</f>
        <v>0</v>
      </c>
      <c r="I84" s="299">
        <f>SUMIFS('Inc CWIP &amp; Plant'!$O:$O,'Inc CWIP &amp; Plant'!$A:$A,'Inc CWIP &amp; Plant Summary'!I$69,'Inc CWIP &amp; Plant'!$B:$B,'Inc CWIP &amp; Plant Summary'!$C84,'Inc CWIP &amp; Plant'!$G:$G,'Inc CWIP &amp; Plant Summary'!$B84)</f>
        <v>0</v>
      </c>
      <c r="J84" s="299">
        <f>SUMIFS('Inc CWIP &amp; Plant'!$O:$O,'Inc CWIP &amp; Plant'!$A:$A,'Inc CWIP &amp; Plant Summary'!J$69,'Inc CWIP &amp; Plant'!$B:$B,'Inc CWIP &amp; Plant Summary'!$C84,'Inc CWIP &amp; Plant'!$G:$G,'Inc CWIP &amp; Plant Summary'!$B84)</f>
        <v>0</v>
      </c>
      <c r="K84" s="299">
        <f>SUMIFS('Inc CWIP &amp; Plant'!$O:$O,'Inc CWIP &amp; Plant'!$A:$A,'Inc CWIP &amp; Plant Summary'!K$69,'Inc CWIP &amp; Plant'!$B:$B,'Inc CWIP &amp; Plant Summary'!$C84,'Inc CWIP &amp; Plant'!$G:$G,'Inc CWIP &amp; Plant Summary'!$B84)</f>
        <v>0</v>
      </c>
      <c r="L84" s="299">
        <f>SUMIFS('Inc CWIP &amp; Plant'!$O:$O,'Inc CWIP &amp; Plant'!$A:$A,'Inc CWIP &amp; Plant Summary'!L$69,'Inc CWIP &amp; Plant'!$B:$B,'Inc CWIP &amp; Plant Summary'!$C84,'Inc CWIP &amp; Plant'!$G:$G,'Inc CWIP &amp; Plant Summary'!$B84)</f>
        <v>0</v>
      </c>
      <c r="M84" s="299">
        <f>SUMIFS('Inc CWIP &amp; Plant'!$O:$O,'Inc CWIP &amp; Plant'!$A:$A,'Inc CWIP &amp; Plant Summary'!M$69,'Inc CWIP &amp; Plant'!$B:$B,'Inc CWIP &amp; Plant Summary'!$C84,'Inc CWIP &amp; Plant'!$G:$G,'Inc CWIP &amp; Plant Summary'!$B84)</f>
        <v>0</v>
      </c>
      <c r="N84" s="299">
        <f>SUMIFS('Inc CWIP &amp; Plant'!$O:$O,'Inc CWIP &amp; Plant'!$A:$A,'Inc CWIP &amp; Plant Summary'!N$69,'Inc CWIP &amp; Plant'!$B:$B,'Inc CWIP &amp; Plant Summary'!$C84,'Inc CWIP &amp; Plant'!$G:$G,'Inc CWIP &amp; Plant Summary'!$B84)</f>
        <v>0</v>
      </c>
      <c r="O84" s="299">
        <f>SUMIFS('Inc CWIP &amp; Plant'!$O:$O,'Inc CWIP &amp; Plant'!$A:$A,'Inc CWIP &amp; Plant Summary'!O$69,'Inc CWIP &amp; Plant'!$B:$B,'Inc CWIP &amp; Plant Summary'!$C84,'Inc CWIP &amp; Plant'!$G:$G,'Inc CWIP &amp; Plant Summary'!$B84)</f>
        <v>0</v>
      </c>
      <c r="P84" s="299">
        <f>SUMIFS('Inc CWIP &amp; Plant'!$O:$O,'Inc CWIP &amp; Plant'!$A:$A,'Inc CWIP &amp; Plant Summary'!P$69,'Inc CWIP &amp; Plant'!$B:$B,'Inc CWIP &amp; Plant Summary'!$C84,'Inc CWIP &amp; Plant'!$G:$G,'Inc CWIP &amp; Plant Summary'!$B84)</f>
        <v>0</v>
      </c>
    </row>
    <row r="85" spans="1:16" ht="15" customHeight="1" x14ac:dyDescent="0.25">
      <c r="A85" s="297"/>
      <c r="B85" s="308">
        <f t="shared" si="6"/>
        <v>42430</v>
      </c>
      <c r="C85" s="308" t="s">
        <v>33</v>
      </c>
      <c r="D85" s="312">
        <f t="shared" si="7"/>
        <v>0</v>
      </c>
      <c r="E85" s="299">
        <f>SUMIFS('Inc CWIP &amp; Plant'!$O:$O,'Inc CWIP &amp; Plant'!$A:$A,'Inc CWIP &amp; Plant Summary'!E$69,'Inc CWIP &amp; Plant'!$B:$B,'Inc CWIP &amp; Plant Summary'!$C85,'Inc CWIP &amp; Plant'!$G:$G,'Inc CWIP &amp; Plant Summary'!$B85)</f>
        <v>0</v>
      </c>
      <c r="F85" s="299">
        <f>SUMIFS('Inc CWIP &amp; Plant'!$O:$O,'Inc CWIP &amp; Plant'!$A:$A,'Inc CWIP &amp; Plant Summary'!F$69,'Inc CWIP &amp; Plant'!$B:$B,'Inc CWIP &amp; Plant Summary'!$C85,'Inc CWIP &amp; Plant'!$G:$G,'Inc CWIP &amp; Plant Summary'!$B85)</f>
        <v>0</v>
      </c>
      <c r="G85" s="299">
        <f>SUMIFS('Inc CWIP &amp; Plant'!$O:$O,'Inc CWIP &amp; Plant'!$A:$A,'Inc CWIP &amp; Plant Summary'!G$69,'Inc CWIP &amp; Plant'!$B:$B,'Inc CWIP &amp; Plant Summary'!$C85,'Inc CWIP &amp; Plant'!$G:$G,'Inc CWIP &amp; Plant Summary'!$B85)</f>
        <v>0</v>
      </c>
      <c r="H85" s="299">
        <f>SUMIFS('Inc CWIP &amp; Plant'!$O:$O,'Inc CWIP &amp; Plant'!$A:$A,'Inc CWIP &amp; Plant Summary'!H$69,'Inc CWIP &amp; Plant'!$B:$B,'Inc CWIP &amp; Plant Summary'!$C85,'Inc CWIP &amp; Plant'!$G:$G,'Inc CWIP &amp; Plant Summary'!$B85)</f>
        <v>0</v>
      </c>
      <c r="I85" s="299">
        <f>SUMIFS('Inc CWIP &amp; Plant'!$O:$O,'Inc CWIP &amp; Plant'!$A:$A,'Inc CWIP &amp; Plant Summary'!I$69,'Inc CWIP &amp; Plant'!$B:$B,'Inc CWIP &amp; Plant Summary'!$C85,'Inc CWIP &amp; Plant'!$G:$G,'Inc CWIP &amp; Plant Summary'!$B85)</f>
        <v>0</v>
      </c>
      <c r="J85" s="299">
        <f>SUMIFS('Inc CWIP &amp; Plant'!$O:$O,'Inc CWIP &amp; Plant'!$A:$A,'Inc CWIP &amp; Plant Summary'!J$69,'Inc CWIP &amp; Plant'!$B:$B,'Inc CWIP &amp; Plant Summary'!$C85,'Inc CWIP &amp; Plant'!$G:$G,'Inc CWIP &amp; Plant Summary'!$B85)</f>
        <v>0</v>
      </c>
      <c r="K85" s="299">
        <f>SUMIFS('Inc CWIP &amp; Plant'!$O:$O,'Inc CWIP &amp; Plant'!$A:$A,'Inc CWIP &amp; Plant Summary'!K$69,'Inc CWIP &amp; Plant'!$B:$B,'Inc CWIP &amp; Plant Summary'!$C85,'Inc CWIP &amp; Plant'!$G:$G,'Inc CWIP &amp; Plant Summary'!$B85)</f>
        <v>0</v>
      </c>
      <c r="L85" s="299">
        <f>SUMIFS('Inc CWIP &amp; Plant'!$O:$O,'Inc CWIP &amp; Plant'!$A:$A,'Inc CWIP &amp; Plant Summary'!L$69,'Inc CWIP &amp; Plant'!$B:$B,'Inc CWIP &amp; Plant Summary'!$C85,'Inc CWIP &amp; Plant'!$G:$G,'Inc CWIP &amp; Plant Summary'!$B85)</f>
        <v>0</v>
      </c>
      <c r="M85" s="299">
        <f>SUMIFS('Inc CWIP &amp; Plant'!$O:$O,'Inc CWIP &amp; Plant'!$A:$A,'Inc CWIP &amp; Plant Summary'!M$69,'Inc CWIP &amp; Plant'!$B:$B,'Inc CWIP &amp; Plant Summary'!$C85,'Inc CWIP &amp; Plant'!$G:$G,'Inc CWIP &amp; Plant Summary'!$B85)</f>
        <v>0</v>
      </c>
      <c r="N85" s="299">
        <f>SUMIFS('Inc CWIP &amp; Plant'!$O:$O,'Inc CWIP &amp; Plant'!$A:$A,'Inc CWIP &amp; Plant Summary'!N$69,'Inc CWIP &amp; Plant'!$B:$B,'Inc CWIP &amp; Plant Summary'!$C85,'Inc CWIP &amp; Plant'!$G:$G,'Inc CWIP &amp; Plant Summary'!$B85)</f>
        <v>0</v>
      </c>
      <c r="O85" s="299">
        <f>SUMIFS('Inc CWIP &amp; Plant'!$O:$O,'Inc CWIP &amp; Plant'!$A:$A,'Inc CWIP &amp; Plant Summary'!O$69,'Inc CWIP &amp; Plant'!$B:$B,'Inc CWIP &amp; Plant Summary'!$C85,'Inc CWIP &amp; Plant'!$G:$G,'Inc CWIP &amp; Plant Summary'!$B85)</f>
        <v>0</v>
      </c>
      <c r="P85" s="299">
        <f>SUMIFS('Inc CWIP &amp; Plant'!$O:$O,'Inc CWIP &amp; Plant'!$A:$A,'Inc CWIP &amp; Plant Summary'!P$69,'Inc CWIP &amp; Plant'!$B:$B,'Inc CWIP &amp; Plant Summary'!$C85,'Inc CWIP &amp; Plant'!$G:$G,'Inc CWIP &amp; Plant Summary'!$B85)</f>
        <v>0</v>
      </c>
    </row>
    <row r="86" spans="1:16" ht="15" customHeight="1" x14ac:dyDescent="0.25">
      <c r="A86" s="297"/>
      <c r="B86" s="308">
        <f t="shared" si="6"/>
        <v>42461</v>
      </c>
      <c r="C86" s="308" t="s">
        <v>33</v>
      </c>
      <c r="D86" s="312">
        <f t="shared" si="7"/>
        <v>0</v>
      </c>
      <c r="E86" s="299">
        <f>SUMIFS('Inc CWIP &amp; Plant'!$O:$O,'Inc CWIP &amp; Plant'!$A:$A,'Inc CWIP &amp; Plant Summary'!E$69,'Inc CWIP &amp; Plant'!$B:$B,'Inc CWIP &amp; Plant Summary'!$C86,'Inc CWIP &amp; Plant'!$G:$G,'Inc CWIP &amp; Plant Summary'!$B86)</f>
        <v>0</v>
      </c>
      <c r="F86" s="299">
        <f>SUMIFS('Inc CWIP &amp; Plant'!$O:$O,'Inc CWIP &amp; Plant'!$A:$A,'Inc CWIP &amp; Plant Summary'!F$69,'Inc CWIP &amp; Plant'!$B:$B,'Inc CWIP &amp; Plant Summary'!$C86,'Inc CWIP &amp; Plant'!$G:$G,'Inc CWIP &amp; Plant Summary'!$B86)</f>
        <v>0</v>
      </c>
      <c r="G86" s="299">
        <f>SUMIFS('Inc CWIP &amp; Plant'!$O:$O,'Inc CWIP &amp; Plant'!$A:$A,'Inc CWIP &amp; Plant Summary'!G$69,'Inc CWIP &amp; Plant'!$B:$B,'Inc CWIP &amp; Plant Summary'!$C86,'Inc CWIP &amp; Plant'!$G:$G,'Inc CWIP &amp; Plant Summary'!$B86)</f>
        <v>0</v>
      </c>
      <c r="H86" s="299">
        <f>SUMIFS('Inc CWIP &amp; Plant'!$O:$O,'Inc CWIP &amp; Plant'!$A:$A,'Inc CWIP &amp; Plant Summary'!H$69,'Inc CWIP &amp; Plant'!$B:$B,'Inc CWIP &amp; Plant Summary'!$C86,'Inc CWIP &amp; Plant'!$G:$G,'Inc CWIP &amp; Plant Summary'!$B86)</f>
        <v>0</v>
      </c>
      <c r="I86" s="299">
        <f>SUMIFS('Inc CWIP &amp; Plant'!$O:$O,'Inc CWIP &amp; Plant'!$A:$A,'Inc CWIP &amp; Plant Summary'!I$69,'Inc CWIP &amp; Plant'!$B:$B,'Inc CWIP &amp; Plant Summary'!$C86,'Inc CWIP &amp; Plant'!$G:$G,'Inc CWIP &amp; Plant Summary'!$B86)</f>
        <v>0</v>
      </c>
      <c r="J86" s="299">
        <f>SUMIFS('Inc CWIP &amp; Plant'!$O:$O,'Inc CWIP &amp; Plant'!$A:$A,'Inc CWIP &amp; Plant Summary'!J$69,'Inc CWIP &amp; Plant'!$B:$B,'Inc CWIP &amp; Plant Summary'!$C86,'Inc CWIP &amp; Plant'!$G:$G,'Inc CWIP &amp; Plant Summary'!$B86)</f>
        <v>0</v>
      </c>
      <c r="K86" s="299">
        <f>SUMIFS('Inc CWIP &amp; Plant'!$O:$O,'Inc CWIP &amp; Plant'!$A:$A,'Inc CWIP &amp; Plant Summary'!K$69,'Inc CWIP &amp; Plant'!$B:$B,'Inc CWIP &amp; Plant Summary'!$C86,'Inc CWIP &amp; Plant'!$G:$G,'Inc CWIP &amp; Plant Summary'!$B86)</f>
        <v>0</v>
      </c>
      <c r="L86" s="299">
        <f>SUMIFS('Inc CWIP &amp; Plant'!$O:$O,'Inc CWIP &amp; Plant'!$A:$A,'Inc CWIP &amp; Plant Summary'!L$69,'Inc CWIP &amp; Plant'!$B:$B,'Inc CWIP &amp; Plant Summary'!$C86,'Inc CWIP &amp; Plant'!$G:$G,'Inc CWIP &amp; Plant Summary'!$B86)</f>
        <v>0</v>
      </c>
      <c r="M86" s="299">
        <f>SUMIFS('Inc CWIP &amp; Plant'!$O:$O,'Inc CWIP &amp; Plant'!$A:$A,'Inc CWIP &amp; Plant Summary'!M$69,'Inc CWIP &amp; Plant'!$B:$B,'Inc CWIP &amp; Plant Summary'!$C86,'Inc CWIP &amp; Plant'!$G:$G,'Inc CWIP &amp; Plant Summary'!$B86)</f>
        <v>0</v>
      </c>
      <c r="N86" s="299">
        <f>SUMIFS('Inc CWIP &amp; Plant'!$O:$O,'Inc CWIP &amp; Plant'!$A:$A,'Inc CWIP &amp; Plant Summary'!N$69,'Inc CWIP &amp; Plant'!$B:$B,'Inc CWIP &amp; Plant Summary'!$C86,'Inc CWIP &amp; Plant'!$G:$G,'Inc CWIP &amp; Plant Summary'!$B86)</f>
        <v>0</v>
      </c>
      <c r="O86" s="299">
        <f>SUMIFS('Inc CWIP &amp; Plant'!$O:$O,'Inc CWIP &amp; Plant'!$A:$A,'Inc CWIP &amp; Plant Summary'!O$69,'Inc CWIP &amp; Plant'!$B:$B,'Inc CWIP &amp; Plant Summary'!$C86,'Inc CWIP &amp; Plant'!$G:$G,'Inc CWIP &amp; Plant Summary'!$B86)</f>
        <v>0</v>
      </c>
      <c r="P86" s="299">
        <f>SUMIFS('Inc CWIP &amp; Plant'!$O:$O,'Inc CWIP &amp; Plant'!$A:$A,'Inc CWIP &amp; Plant Summary'!P$69,'Inc CWIP &amp; Plant'!$B:$B,'Inc CWIP &amp; Plant Summary'!$C86,'Inc CWIP &amp; Plant'!$G:$G,'Inc CWIP &amp; Plant Summary'!$B86)</f>
        <v>0</v>
      </c>
    </row>
    <row r="87" spans="1:16" ht="15" customHeight="1" x14ac:dyDescent="0.25">
      <c r="A87" s="297"/>
      <c r="B87" s="308">
        <f t="shared" si="6"/>
        <v>42491</v>
      </c>
      <c r="C87" s="308" t="s">
        <v>33</v>
      </c>
      <c r="D87" s="312">
        <f t="shared" si="7"/>
        <v>0</v>
      </c>
      <c r="E87" s="299">
        <f>SUMIFS('Inc CWIP &amp; Plant'!$O:$O,'Inc CWIP &amp; Plant'!$A:$A,'Inc CWIP &amp; Plant Summary'!E$69,'Inc CWIP &amp; Plant'!$B:$B,'Inc CWIP &amp; Plant Summary'!$C87,'Inc CWIP &amp; Plant'!$G:$G,'Inc CWIP &amp; Plant Summary'!$B87)</f>
        <v>0</v>
      </c>
      <c r="F87" s="299">
        <f>SUMIFS('Inc CWIP &amp; Plant'!$O:$O,'Inc CWIP &amp; Plant'!$A:$A,'Inc CWIP &amp; Plant Summary'!F$69,'Inc CWIP &amp; Plant'!$B:$B,'Inc CWIP &amp; Plant Summary'!$C87,'Inc CWIP &amp; Plant'!$G:$G,'Inc CWIP &amp; Plant Summary'!$B87)</f>
        <v>0</v>
      </c>
      <c r="G87" s="299">
        <f>SUMIFS('Inc CWIP &amp; Plant'!$O:$O,'Inc CWIP &amp; Plant'!$A:$A,'Inc CWIP &amp; Plant Summary'!G$69,'Inc CWIP &amp; Plant'!$B:$B,'Inc CWIP &amp; Plant Summary'!$C87,'Inc CWIP &amp; Plant'!$G:$G,'Inc CWIP &amp; Plant Summary'!$B87)</f>
        <v>0</v>
      </c>
      <c r="H87" s="299">
        <f>SUMIFS('Inc CWIP &amp; Plant'!$O:$O,'Inc CWIP &amp; Plant'!$A:$A,'Inc CWIP &amp; Plant Summary'!H$69,'Inc CWIP &amp; Plant'!$B:$B,'Inc CWIP &amp; Plant Summary'!$C87,'Inc CWIP &amp; Plant'!$G:$G,'Inc CWIP &amp; Plant Summary'!$B87)</f>
        <v>0</v>
      </c>
      <c r="I87" s="299">
        <f>SUMIFS('Inc CWIP &amp; Plant'!$O:$O,'Inc CWIP &amp; Plant'!$A:$A,'Inc CWIP &amp; Plant Summary'!I$69,'Inc CWIP &amp; Plant'!$B:$B,'Inc CWIP &amp; Plant Summary'!$C87,'Inc CWIP &amp; Plant'!$G:$G,'Inc CWIP &amp; Plant Summary'!$B87)</f>
        <v>0</v>
      </c>
      <c r="J87" s="299">
        <f>SUMIFS('Inc CWIP &amp; Plant'!$O:$O,'Inc CWIP &amp; Plant'!$A:$A,'Inc CWIP &amp; Plant Summary'!J$69,'Inc CWIP &amp; Plant'!$B:$B,'Inc CWIP &amp; Plant Summary'!$C87,'Inc CWIP &amp; Plant'!$G:$G,'Inc CWIP &amp; Plant Summary'!$B87)</f>
        <v>0</v>
      </c>
      <c r="K87" s="299">
        <f>SUMIFS('Inc CWIP &amp; Plant'!$O:$O,'Inc CWIP &amp; Plant'!$A:$A,'Inc CWIP &amp; Plant Summary'!K$69,'Inc CWIP &amp; Plant'!$B:$B,'Inc CWIP &amp; Plant Summary'!$C87,'Inc CWIP &amp; Plant'!$G:$G,'Inc CWIP &amp; Plant Summary'!$B87)</f>
        <v>0</v>
      </c>
      <c r="L87" s="299">
        <f>SUMIFS('Inc CWIP &amp; Plant'!$O:$O,'Inc CWIP &amp; Plant'!$A:$A,'Inc CWIP &amp; Plant Summary'!L$69,'Inc CWIP &amp; Plant'!$B:$B,'Inc CWIP &amp; Plant Summary'!$C87,'Inc CWIP &amp; Plant'!$G:$G,'Inc CWIP &amp; Plant Summary'!$B87)</f>
        <v>0</v>
      </c>
      <c r="M87" s="299">
        <f>SUMIFS('Inc CWIP &amp; Plant'!$O:$O,'Inc CWIP &amp; Plant'!$A:$A,'Inc CWIP &amp; Plant Summary'!M$69,'Inc CWIP &amp; Plant'!$B:$B,'Inc CWIP &amp; Plant Summary'!$C87,'Inc CWIP &amp; Plant'!$G:$G,'Inc CWIP &amp; Plant Summary'!$B87)</f>
        <v>0</v>
      </c>
      <c r="N87" s="299">
        <f>SUMIFS('Inc CWIP &amp; Plant'!$O:$O,'Inc CWIP &amp; Plant'!$A:$A,'Inc CWIP &amp; Plant Summary'!N$69,'Inc CWIP &amp; Plant'!$B:$B,'Inc CWIP &amp; Plant Summary'!$C87,'Inc CWIP &amp; Plant'!$G:$G,'Inc CWIP &amp; Plant Summary'!$B87)</f>
        <v>0</v>
      </c>
      <c r="O87" s="299">
        <f>SUMIFS('Inc CWIP &amp; Plant'!$O:$O,'Inc CWIP &amp; Plant'!$A:$A,'Inc CWIP &amp; Plant Summary'!O$69,'Inc CWIP &amp; Plant'!$B:$B,'Inc CWIP &amp; Plant Summary'!$C87,'Inc CWIP &amp; Plant'!$G:$G,'Inc CWIP &amp; Plant Summary'!$B87)</f>
        <v>0</v>
      </c>
      <c r="P87" s="299">
        <f>SUMIFS('Inc CWIP &amp; Plant'!$O:$O,'Inc CWIP &amp; Plant'!$A:$A,'Inc CWIP &amp; Plant Summary'!P$69,'Inc CWIP &amp; Plant'!$B:$B,'Inc CWIP &amp; Plant Summary'!$C87,'Inc CWIP &amp; Plant'!$G:$G,'Inc CWIP &amp; Plant Summary'!$B87)</f>
        <v>0</v>
      </c>
    </row>
    <row r="88" spans="1:16" ht="15" customHeight="1" x14ac:dyDescent="0.25">
      <c r="A88" s="297"/>
      <c r="B88" s="308">
        <f t="shared" si="6"/>
        <v>42522</v>
      </c>
      <c r="C88" s="308" t="s">
        <v>33</v>
      </c>
      <c r="D88" s="312">
        <f t="shared" si="7"/>
        <v>0</v>
      </c>
      <c r="E88" s="299">
        <f>SUMIFS('Inc CWIP &amp; Plant'!$O:$O,'Inc CWIP &amp; Plant'!$A:$A,'Inc CWIP &amp; Plant Summary'!E$69,'Inc CWIP &amp; Plant'!$B:$B,'Inc CWIP &amp; Plant Summary'!$C88,'Inc CWIP &amp; Plant'!$G:$G,'Inc CWIP &amp; Plant Summary'!$B88)</f>
        <v>0</v>
      </c>
      <c r="F88" s="299">
        <f>SUMIFS('Inc CWIP &amp; Plant'!$O:$O,'Inc CWIP &amp; Plant'!$A:$A,'Inc CWIP &amp; Plant Summary'!F$69,'Inc CWIP &amp; Plant'!$B:$B,'Inc CWIP &amp; Plant Summary'!$C88,'Inc CWIP &amp; Plant'!$G:$G,'Inc CWIP &amp; Plant Summary'!$B88)</f>
        <v>0</v>
      </c>
      <c r="G88" s="299">
        <f>SUMIFS('Inc CWIP &amp; Plant'!$O:$O,'Inc CWIP &amp; Plant'!$A:$A,'Inc CWIP &amp; Plant Summary'!G$69,'Inc CWIP &amp; Plant'!$B:$B,'Inc CWIP &amp; Plant Summary'!$C88,'Inc CWIP &amp; Plant'!$G:$G,'Inc CWIP &amp; Plant Summary'!$B88)</f>
        <v>0</v>
      </c>
      <c r="H88" s="299">
        <f>SUMIFS('Inc CWIP &amp; Plant'!$O:$O,'Inc CWIP &amp; Plant'!$A:$A,'Inc CWIP &amp; Plant Summary'!H$69,'Inc CWIP &amp; Plant'!$B:$B,'Inc CWIP &amp; Plant Summary'!$C88,'Inc CWIP &amp; Plant'!$G:$G,'Inc CWIP &amp; Plant Summary'!$B88)</f>
        <v>0</v>
      </c>
      <c r="I88" s="299">
        <f>SUMIFS('Inc CWIP &amp; Plant'!$O:$O,'Inc CWIP &amp; Plant'!$A:$A,'Inc CWIP &amp; Plant Summary'!I$69,'Inc CWIP &amp; Plant'!$B:$B,'Inc CWIP &amp; Plant Summary'!$C88,'Inc CWIP &amp; Plant'!$G:$G,'Inc CWIP &amp; Plant Summary'!$B88)</f>
        <v>0</v>
      </c>
      <c r="J88" s="299">
        <f>SUMIFS('Inc CWIP &amp; Plant'!$O:$O,'Inc CWIP &amp; Plant'!$A:$A,'Inc CWIP &amp; Plant Summary'!J$69,'Inc CWIP &amp; Plant'!$B:$B,'Inc CWIP &amp; Plant Summary'!$C88,'Inc CWIP &amp; Plant'!$G:$G,'Inc CWIP &amp; Plant Summary'!$B88)</f>
        <v>0</v>
      </c>
      <c r="K88" s="299">
        <f>SUMIFS('Inc CWIP &amp; Plant'!$O:$O,'Inc CWIP &amp; Plant'!$A:$A,'Inc CWIP &amp; Plant Summary'!K$69,'Inc CWIP &amp; Plant'!$B:$B,'Inc CWIP &amp; Plant Summary'!$C88,'Inc CWIP &amp; Plant'!$G:$G,'Inc CWIP &amp; Plant Summary'!$B88)</f>
        <v>0</v>
      </c>
      <c r="L88" s="299">
        <f>SUMIFS('Inc CWIP &amp; Plant'!$O:$O,'Inc CWIP &amp; Plant'!$A:$A,'Inc CWIP &amp; Plant Summary'!L$69,'Inc CWIP &amp; Plant'!$B:$B,'Inc CWIP &amp; Plant Summary'!$C88,'Inc CWIP &amp; Plant'!$G:$G,'Inc CWIP &amp; Plant Summary'!$B88)</f>
        <v>0</v>
      </c>
      <c r="M88" s="299">
        <f>SUMIFS('Inc CWIP &amp; Plant'!$O:$O,'Inc CWIP &amp; Plant'!$A:$A,'Inc CWIP &amp; Plant Summary'!M$69,'Inc CWIP &amp; Plant'!$B:$B,'Inc CWIP &amp; Plant Summary'!$C88,'Inc CWIP &amp; Plant'!$G:$G,'Inc CWIP &amp; Plant Summary'!$B88)</f>
        <v>0</v>
      </c>
      <c r="N88" s="299">
        <f>SUMIFS('Inc CWIP &amp; Plant'!$O:$O,'Inc CWIP &amp; Plant'!$A:$A,'Inc CWIP &amp; Plant Summary'!N$69,'Inc CWIP &amp; Plant'!$B:$B,'Inc CWIP &amp; Plant Summary'!$C88,'Inc CWIP &amp; Plant'!$G:$G,'Inc CWIP &amp; Plant Summary'!$B88)</f>
        <v>0</v>
      </c>
      <c r="O88" s="299">
        <f>SUMIFS('Inc CWIP &amp; Plant'!$O:$O,'Inc CWIP &amp; Plant'!$A:$A,'Inc CWIP &amp; Plant Summary'!O$69,'Inc CWIP &amp; Plant'!$B:$B,'Inc CWIP &amp; Plant Summary'!$C88,'Inc CWIP &amp; Plant'!$G:$G,'Inc CWIP &amp; Plant Summary'!$B88)</f>
        <v>0</v>
      </c>
      <c r="P88" s="299">
        <f>SUMIFS('Inc CWIP &amp; Plant'!$O:$O,'Inc CWIP &amp; Plant'!$A:$A,'Inc CWIP &amp; Plant Summary'!P$69,'Inc CWIP &amp; Plant'!$B:$B,'Inc CWIP &amp; Plant Summary'!$C88,'Inc CWIP &amp; Plant'!$G:$G,'Inc CWIP &amp; Plant Summary'!$B88)</f>
        <v>0</v>
      </c>
    </row>
    <row r="89" spans="1:16" ht="15" customHeight="1" x14ac:dyDescent="0.25">
      <c r="A89" s="297"/>
      <c r="B89" s="308">
        <f t="shared" si="6"/>
        <v>42552</v>
      </c>
      <c r="C89" s="308" t="s">
        <v>33</v>
      </c>
      <c r="D89" s="312">
        <f t="shared" si="7"/>
        <v>0</v>
      </c>
      <c r="E89" s="299">
        <f>SUMIFS('Inc CWIP &amp; Plant'!$O:$O,'Inc CWIP &amp; Plant'!$A:$A,'Inc CWIP &amp; Plant Summary'!E$69,'Inc CWIP &amp; Plant'!$B:$B,'Inc CWIP &amp; Plant Summary'!$C89,'Inc CWIP &amp; Plant'!$G:$G,'Inc CWIP &amp; Plant Summary'!$B89)</f>
        <v>0</v>
      </c>
      <c r="F89" s="299">
        <f>SUMIFS('Inc CWIP &amp; Plant'!$O:$O,'Inc CWIP &amp; Plant'!$A:$A,'Inc CWIP &amp; Plant Summary'!F$69,'Inc CWIP &amp; Plant'!$B:$B,'Inc CWIP &amp; Plant Summary'!$C89,'Inc CWIP &amp; Plant'!$G:$G,'Inc CWIP &amp; Plant Summary'!$B89)</f>
        <v>0</v>
      </c>
      <c r="G89" s="299">
        <f>SUMIFS('Inc CWIP &amp; Plant'!$O:$O,'Inc CWIP &amp; Plant'!$A:$A,'Inc CWIP &amp; Plant Summary'!G$69,'Inc CWIP &amp; Plant'!$B:$B,'Inc CWIP &amp; Plant Summary'!$C89,'Inc CWIP &amp; Plant'!$G:$G,'Inc CWIP &amp; Plant Summary'!$B89)</f>
        <v>0</v>
      </c>
      <c r="H89" s="299">
        <f>SUMIFS('Inc CWIP &amp; Plant'!$O:$O,'Inc CWIP &amp; Plant'!$A:$A,'Inc CWIP &amp; Plant Summary'!H$69,'Inc CWIP &amp; Plant'!$B:$B,'Inc CWIP &amp; Plant Summary'!$C89,'Inc CWIP &amp; Plant'!$G:$G,'Inc CWIP &amp; Plant Summary'!$B89)</f>
        <v>0</v>
      </c>
      <c r="I89" s="299">
        <f>SUMIFS('Inc CWIP &amp; Plant'!$O:$O,'Inc CWIP &amp; Plant'!$A:$A,'Inc CWIP &amp; Plant Summary'!I$69,'Inc CWIP &amp; Plant'!$B:$B,'Inc CWIP &amp; Plant Summary'!$C89,'Inc CWIP &amp; Plant'!$G:$G,'Inc CWIP &amp; Plant Summary'!$B89)</f>
        <v>0</v>
      </c>
      <c r="J89" s="299">
        <f>SUMIFS('Inc CWIP &amp; Plant'!$O:$O,'Inc CWIP &amp; Plant'!$A:$A,'Inc CWIP &amp; Plant Summary'!J$69,'Inc CWIP &amp; Plant'!$B:$B,'Inc CWIP &amp; Plant Summary'!$C89,'Inc CWIP &amp; Plant'!$G:$G,'Inc CWIP &amp; Plant Summary'!$B89)</f>
        <v>0</v>
      </c>
      <c r="K89" s="299">
        <f>SUMIFS('Inc CWIP &amp; Plant'!$O:$O,'Inc CWIP &amp; Plant'!$A:$A,'Inc CWIP &amp; Plant Summary'!K$69,'Inc CWIP &amp; Plant'!$B:$B,'Inc CWIP &amp; Plant Summary'!$C89,'Inc CWIP &amp; Plant'!$G:$G,'Inc CWIP &amp; Plant Summary'!$B89)</f>
        <v>0</v>
      </c>
      <c r="L89" s="299">
        <f>SUMIFS('Inc CWIP &amp; Plant'!$O:$O,'Inc CWIP &amp; Plant'!$A:$A,'Inc CWIP &amp; Plant Summary'!L$69,'Inc CWIP &amp; Plant'!$B:$B,'Inc CWIP &amp; Plant Summary'!$C89,'Inc CWIP &amp; Plant'!$G:$G,'Inc CWIP &amp; Plant Summary'!$B89)</f>
        <v>0</v>
      </c>
      <c r="M89" s="299">
        <f>SUMIFS('Inc CWIP &amp; Plant'!$O:$O,'Inc CWIP &amp; Plant'!$A:$A,'Inc CWIP &amp; Plant Summary'!M$69,'Inc CWIP &amp; Plant'!$B:$B,'Inc CWIP &amp; Plant Summary'!$C89,'Inc CWIP &amp; Plant'!$G:$G,'Inc CWIP &amp; Plant Summary'!$B89)</f>
        <v>0</v>
      </c>
      <c r="N89" s="299">
        <f>SUMIFS('Inc CWIP &amp; Plant'!$O:$O,'Inc CWIP &amp; Plant'!$A:$A,'Inc CWIP &amp; Plant Summary'!N$69,'Inc CWIP &amp; Plant'!$B:$B,'Inc CWIP &amp; Plant Summary'!$C89,'Inc CWIP &amp; Plant'!$G:$G,'Inc CWIP &amp; Plant Summary'!$B89)</f>
        <v>0</v>
      </c>
      <c r="O89" s="299">
        <f>SUMIFS('Inc CWIP &amp; Plant'!$O:$O,'Inc CWIP &amp; Plant'!$A:$A,'Inc CWIP &amp; Plant Summary'!O$69,'Inc CWIP &amp; Plant'!$B:$B,'Inc CWIP &amp; Plant Summary'!$C89,'Inc CWIP &amp; Plant'!$G:$G,'Inc CWIP &amp; Plant Summary'!$B89)</f>
        <v>0</v>
      </c>
      <c r="P89" s="299">
        <f>SUMIFS('Inc CWIP &amp; Plant'!$O:$O,'Inc CWIP &amp; Plant'!$A:$A,'Inc CWIP &amp; Plant Summary'!P$69,'Inc CWIP &amp; Plant'!$B:$B,'Inc CWIP &amp; Plant Summary'!$C89,'Inc CWIP &amp; Plant'!$G:$G,'Inc CWIP &amp; Plant Summary'!$B89)</f>
        <v>0</v>
      </c>
    </row>
    <row r="90" spans="1:16" ht="15" customHeight="1" x14ac:dyDescent="0.25">
      <c r="A90" s="297"/>
      <c r="B90" s="308">
        <f t="shared" si="6"/>
        <v>42583</v>
      </c>
      <c r="C90" s="308" t="s">
        <v>33</v>
      </c>
      <c r="D90" s="312">
        <f t="shared" si="7"/>
        <v>0</v>
      </c>
      <c r="E90" s="299">
        <f>SUMIFS('Inc CWIP &amp; Plant'!$O:$O,'Inc CWIP &amp; Plant'!$A:$A,'Inc CWIP &amp; Plant Summary'!E$69,'Inc CWIP &amp; Plant'!$B:$B,'Inc CWIP &amp; Plant Summary'!$C90,'Inc CWIP &amp; Plant'!$G:$G,'Inc CWIP &amp; Plant Summary'!$B90)</f>
        <v>0</v>
      </c>
      <c r="F90" s="299">
        <f>SUMIFS('Inc CWIP &amp; Plant'!$O:$O,'Inc CWIP &amp; Plant'!$A:$A,'Inc CWIP &amp; Plant Summary'!F$69,'Inc CWIP &amp; Plant'!$B:$B,'Inc CWIP &amp; Plant Summary'!$C90,'Inc CWIP &amp; Plant'!$G:$G,'Inc CWIP &amp; Plant Summary'!$B90)</f>
        <v>0</v>
      </c>
      <c r="G90" s="299">
        <f>SUMIFS('Inc CWIP &amp; Plant'!$O:$O,'Inc CWIP &amp; Plant'!$A:$A,'Inc CWIP &amp; Plant Summary'!G$69,'Inc CWIP &amp; Plant'!$B:$B,'Inc CWIP &amp; Plant Summary'!$C90,'Inc CWIP &amp; Plant'!$G:$G,'Inc CWIP &amp; Plant Summary'!$B90)</f>
        <v>0</v>
      </c>
      <c r="H90" s="299">
        <f>SUMIFS('Inc CWIP &amp; Plant'!$O:$O,'Inc CWIP &amp; Plant'!$A:$A,'Inc CWIP &amp; Plant Summary'!H$69,'Inc CWIP &amp; Plant'!$B:$B,'Inc CWIP &amp; Plant Summary'!$C90,'Inc CWIP &amp; Plant'!$G:$G,'Inc CWIP &amp; Plant Summary'!$B90)</f>
        <v>0</v>
      </c>
      <c r="I90" s="299">
        <f>SUMIFS('Inc CWIP &amp; Plant'!$O:$O,'Inc CWIP &amp; Plant'!$A:$A,'Inc CWIP &amp; Plant Summary'!I$69,'Inc CWIP &amp; Plant'!$B:$B,'Inc CWIP &amp; Plant Summary'!$C90,'Inc CWIP &amp; Plant'!$G:$G,'Inc CWIP &amp; Plant Summary'!$B90)</f>
        <v>0</v>
      </c>
      <c r="J90" s="299">
        <f>SUMIFS('Inc CWIP &amp; Plant'!$O:$O,'Inc CWIP &amp; Plant'!$A:$A,'Inc CWIP &amp; Plant Summary'!J$69,'Inc CWIP &amp; Plant'!$B:$B,'Inc CWIP &amp; Plant Summary'!$C90,'Inc CWIP &amp; Plant'!$G:$G,'Inc CWIP &amp; Plant Summary'!$B90)</f>
        <v>0</v>
      </c>
      <c r="K90" s="299">
        <f>SUMIFS('Inc CWIP &amp; Plant'!$O:$O,'Inc CWIP &amp; Plant'!$A:$A,'Inc CWIP &amp; Plant Summary'!K$69,'Inc CWIP &amp; Plant'!$B:$B,'Inc CWIP &amp; Plant Summary'!$C90,'Inc CWIP &amp; Plant'!$G:$G,'Inc CWIP &amp; Plant Summary'!$B90)</f>
        <v>0</v>
      </c>
      <c r="L90" s="299">
        <f>SUMIFS('Inc CWIP &amp; Plant'!$O:$O,'Inc CWIP &amp; Plant'!$A:$A,'Inc CWIP &amp; Plant Summary'!L$69,'Inc CWIP &amp; Plant'!$B:$B,'Inc CWIP &amp; Plant Summary'!$C90,'Inc CWIP &amp; Plant'!$G:$G,'Inc CWIP &amp; Plant Summary'!$B90)</f>
        <v>0</v>
      </c>
      <c r="M90" s="299">
        <f>SUMIFS('Inc CWIP &amp; Plant'!$O:$O,'Inc CWIP &amp; Plant'!$A:$A,'Inc CWIP &amp; Plant Summary'!M$69,'Inc CWIP &amp; Plant'!$B:$B,'Inc CWIP &amp; Plant Summary'!$C90,'Inc CWIP &amp; Plant'!$G:$G,'Inc CWIP &amp; Plant Summary'!$B90)</f>
        <v>0</v>
      </c>
      <c r="N90" s="299">
        <f>SUMIFS('Inc CWIP &amp; Plant'!$O:$O,'Inc CWIP &amp; Plant'!$A:$A,'Inc CWIP &amp; Plant Summary'!N$69,'Inc CWIP &amp; Plant'!$B:$B,'Inc CWIP &amp; Plant Summary'!$C90,'Inc CWIP &amp; Plant'!$G:$G,'Inc CWIP &amp; Plant Summary'!$B90)</f>
        <v>0</v>
      </c>
      <c r="O90" s="299">
        <f>SUMIFS('Inc CWIP &amp; Plant'!$O:$O,'Inc CWIP &amp; Plant'!$A:$A,'Inc CWIP &amp; Plant Summary'!O$69,'Inc CWIP &amp; Plant'!$B:$B,'Inc CWIP &amp; Plant Summary'!$C90,'Inc CWIP &amp; Plant'!$G:$G,'Inc CWIP &amp; Plant Summary'!$B90)</f>
        <v>0</v>
      </c>
      <c r="P90" s="299">
        <f>SUMIFS('Inc CWIP &amp; Plant'!$O:$O,'Inc CWIP &amp; Plant'!$A:$A,'Inc CWIP &amp; Plant Summary'!P$69,'Inc CWIP &amp; Plant'!$B:$B,'Inc CWIP &amp; Plant Summary'!$C90,'Inc CWIP &amp; Plant'!$G:$G,'Inc CWIP &amp; Plant Summary'!$B90)</f>
        <v>0</v>
      </c>
    </row>
    <row r="91" spans="1:16" ht="15" customHeight="1" x14ac:dyDescent="0.25">
      <c r="A91" s="297"/>
      <c r="B91" s="308">
        <f t="shared" si="6"/>
        <v>42614</v>
      </c>
      <c r="C91" s="308" t="s">
        <v>33</v>
      </c>
      <c r="D91" s="312">
        <f t="shared" si="7"/>
        <v>0</v>
      </c>
      <c r="E91" s="299">
        <f>SUMIFS('Inc CWIP &amp; Plant'!$O:$O,'Inc CWIP &amp; Plant'!$A:$A,'Inc CWIP &amp; Plant Summary'!E$69,'Inc CWIP &amp; Plant'!$B:$B,'Inc CWIP &amp; Plant Summary'!$C91,'Inc CWIP &amp; Plant'!$G:$G,'Inc CWIP &amp; Plant Summary'!$B91)</f>
        <v>0</v>
      </c>
      <c r="F91" s="299">
        <f>SUMIFS('Inc CWIP &amp; Plant'!$O:$O,'Inc CWIP &amp; Plant'!$A:$A,'Inc CWIP &amp; Plant Summary'!F$69,'Inc CWIP &amp; Plant'!$B:$B,'Inc CWIP &amp; Plant Summary'!$C91,'Inc CWIP &amp; Plant'!$G:$G,'Inc CWIP &amp; Plant Summary'!$B91)</f>
        <v>0</v>
      </c>
      <c r="G91" s="299">
        <f>SUMIFS('Inc CWIP &amp; Plant'!$O:$O,'Inc CWIP &amp; Plant'!$A:$A,'Inc CWIP &amp; Plant Summary'!G$69,'Inc CWIP &amp; Plant'!$B:$B,'Inc CWIP &amp; Plant Summary'!$C91,'Inc CWIP &amp; Plant'!$G:$G,'Inc CWIP &amp; Plant Summary'!$B91)</f>
        <v>0</v>
      </c>
      <c r="H91" s="299">
        <f>SUMIFS('Inc CWIP &amp; Plant'!$O:$O,'Inc CWIP &amp; Plant'!$A:$A,'Inc CWIP &amp; Plant Summary'!H$69,'Inc CWIP &amp; Plant'!$B:$B,'Inc CWIP &amp; Plant Summary'!$C91,'Inc CWIP &amp; Plant'!$G:$G,'Inc CWIP &amp; Plant Summary'!$B91)</f>
        <v>0</v>
      </c>
      <c r="I91" s="299">
        <f>SUMIFS('Inc CWIP &amp; Plant'!$O:$O,'Inc CWIP &amp; Plant'!$A:$A,'Inc CWIP &amp; Plant Summary'!I$69,'Inc CWIP &amp; Plant'!$B:$B,'Inc CWIP &amp; Plant Summary'!$C91,'Inc CWIP &amp; Plant'!$G:$G,'Inc CWIP &amp; Plant Summary'!$B91)</f>
        <v>0</v>
      </c>
      <c r="J91" s="299">
        <f>SUMIFS('Inc CWIP &amp; Plant'!$O:$O,'Inc CWIP &amp; Plant'!$A:$A,'Inc CWIP &amp; Plant Summary'!J$69,'Inc CWIP &amp; Plant'!$B:$B,'Inc CWIP &amp; Plant Summary'!$C91,'Inc CWIP &amp; Plant'!$G:$G,'Inc CWIP &amp; Plant Summary'!$B91)</f>
        <v>0</v>
      </c>
      <c r="K91" s="299">
        <f>SUMIFS('Inc CWIP &amp; Plant'!$O:$O,'Inc CWIP &amp; Plant'!$A:$A,'Inc CWIP &amp; Plant Summary'!K$69,'Inc CWIP &amp; Plant'!$B:$B,'Inc CWIP &amp; Plant Summary'!$C91,'Inc CWIP &amp; Plant'!$G:$G,'Inc CWIP &amp; Plant Summary'!$B91)</f>
        <v>0</v>
      </c>
      <c r="L91" s="299">
        <f>SUMIFS('Inc CWIP &amp; Plant'!$O:$O,'Inc CWIP &amp; Plant'!$A:$A,'Inc CWIP &amp; Plant Summary'!L$69,'Inc CWIP &amp; Plant'!$B:$B,'Inc CWIP &amp; Plant Summary'!$C91,'Inc CWIP &amp; Plant'!$G:$G,'Inc CWIP &amp; Plant Summary'!$B91)</f>
        <v>0</v>
      </c>
      <c r="M91" s="299">
        <f>SUMIFS('Inc CWIP &amp; Plant'!$O:$O,'Inc CWIP &amp; Plant'!$A:$A,'Inc CWIP &amp; Plant Summary'!M$69,'Inc CWIP &amp; Plant'!$B:$B,'Inc CWIP &amp; Plant Summary'!$C91,'Inc CWIP &amp; Plant'!$G:$G,'Inc CWIP &amp; Plant Summary'!$B91)</f>
        <v>0</v>
      </c>
      <c r="N91" s="299">
        <f>SUMIFS('Inc CWIP &amp; Plant'!$O:$O,'Inc CWIP &amp; Plant'!$A:$A,'Inc CWIP &amp; Plant Summary'!N$69,'Inc CWIP &amp; Plant'!$B:$B,'Inc CWIP &amp; Plant Summary'!$C91,'Inc CWIP &amp; Plant'!$G:$G,'Inc CWIP &amp; Plant Summary'!$B91)</f>
        <v>0</v>
      </c>
      <c r="O91" s="299">
        <f>SUMIFS('Inc CWIP &amp; Plant'!$O:$O,'Inc CWIP &amp; Plant'!$A:$A,'Inc CWIP &amp; Plant Summary'!O$69,'Inc CWIP &amp; Plant'!$B:$B,'Inc CWIP &amp; Plant Summary'!$C91,'Inc CWIP &amp; Plant'!$G:$G,'Inc CWIP &amp; Plant Summary'!$B91)</f>
        <v>0</v>
      </c>
      <c r="P91" s="299">
        <f>SUMIFS('Inc CWIP &amp; Plant'!$O:$O,'Inc CWIP &amp; Plant'!$A:$A,'Inc CWIP &amp; Plant Summary'!P$69,'Inc CWIP &amp; Plant'!$B:$B,'Inc CWIP &amp; Plant Summary'!$C91,'Inc CWIP &amp; Plant'!$G:$G,'Inc CWIP &amp; Plant Summary'!$B91)</f>
        <v>0</v>
      </c>
    </row>
    <row r="92" spans="1:16" ht="15" customHeight="1" x14ac:dyDescent="0.25">
      <c r="A92" s="297"/>
      <c r="B92" s="308">
        <f t="shared" si="6"/>
        <v>42644</v>
      </c>
      <c r="C92" s="308" t="s">
        <v>33</v>
      </c>
      <c r="D92" s="312">
        <f t="shared" si="7"/>
        <v>46256.564290000002</v>
      </c>
      <c r="E92" s="299">
        <f>SUMIFS('Inc CWIP &amp; Plant'!$O:$O,'Inc CWIP &amp; Plant'!$A:$A,'Inc CWIP &amp; Plant Summary'!E$69,'Inc CWIP &amp; Plant'!$B:$B,'Inc CWIP &amp; Plant Summary'!$C92,'Inc CWIP &amp; Plant'!$G:$G,'Inc CWIP &amp; Plant Summary'!$B92)</f>
        <v>0</v>
      </c>
      <c r="F92" s="299">
        <f>SUMIFS('Inc CWIP &amp; Plant'!$O:$O,'Inc CWIP &amp; Plant'!$A:$A,'Inc CWIP &amp; Plant Summary'!F$69,'Inc CWIP &amp; Plant'!$B:$B,'Inc CWIP &amp; Plant Summary'!$C92,'Inc CWIP &amp; Plant'!$G:$G,'Inc CWIP &amp; Plant Summary'!$B92)</f>
        <v>0</v>
      </c>
      <c r="G92" s="299">
        <f>SUMIFS('Inc CWIP &amp; Plant'!$O:$O,'Inc CWIP &amp; Plant'!$A:$A,'Inc CWIP &amp; Plant Summary'!G$69,'Inc CWIP &amp; Plant'!$B:$B,'Inc CWIP &amp; Plant Summary'!$C92,'Inc CWIP &amp; Plant'!$G:$G,'Inc CWIP &amp; Plant Summary'!$B92)</f>
        <v>0</v>
      </c>
      <c r="H92" s="299">
        <f>SUMIFS('Inc CWIP &amp; Plant'!$O:$O,'Inc CWIP &amp; Plant'!$A:$A,'Inc CWIP &amp; Plant Summary'!H$69,'Inc CWIP &amp; Plant'!$B:$B,'Inc CWIP &amp; Plant Summary'!$C92,'Inc CWIP &amp; Plant'!$G:$G,'Inc CWIP &amp; Plant Summary'!$B92)</f>
        <v>46256.564290000002</v>
      </c>
      <c r="I92" s="299">
        <f>SUMIFS('Inc CWIP &amp; Plant'!$O:$O,'Inc CWIP &amp; Plant'!$A:$A,'Inc CWIP &amp; Plant Summary'!I$69,'Inc CWIP &amp; Plant'!$B:$B,'Inc CWIP &amp; Plant Summary'!$C92,'Inc CWIP &amp; Plant'!$G:$G,'Inc CWIP &amp; Plant Summary'!$B92)</f>
        <v>0</v>
      </c>
      <c r="J92" s="299">
        <f>SUMIFS('Inc CWIP &amp; Plant'!$O:$O,'Inc CWIP &amp; Plant'!$A:$A,'Inc CWIP &amp; Plant Summary'!J$69,'Inc CWIP &amp; Plant'!$B:$B,'Inc CWIP &amp; Plant Summary'!$C92,'Inc CWIP &amp; Plant'!$G:$G,'Inc CWIP &amp; Plant Summary'!$B92)</f>
        <v>0</v>
      </c>
      <c r="K92" s="299">
        <f>SUMIFS('Inc CWIP &amp; Plant'!$O:$O,'Inc CWIP &amp; Plant'!$A:$A,'Inc CWIP &amp; Plant Summary'!K$69,'Inc CWIP &amp; Plant'!$B:$B,'Inc CWIP &amp; Plant Summary'!$C92,'Inc CWIP &amp; Plant'!$G:$G,'Inc CWIP &amp; Plant Summary'!$B92)</f>
        <v>0</v>
      </c>
      <c r="L92" s="299">
        <f>SUMIFS('Inc CWIP &amp; Plant'!$O:$O,'Inc CWIP &amp; Plant'!$A:$A,'Inc CWIP &amp; Plant Summary'!L$69,'Inc CWIP &amp; Plant'!$B:$B,'Inc CWIP &amp; Plant Summary'!$C92,'Inc CWIP &amp; Plant'!$G:$G,'Inc CWIP &amp; Plant Summary'!$B92)</f>
        <v>0</v>
      </c>
      <c r="M92" s="299">
        <f>SUMIFS('Inc CWIP &amp; Plant'!$O:$O,'Inc CWIP &amp; Plant'!$A:$A,'Inc CWIP &amp; Plant Summary'!M$69,'Inc CWIP &amp; Plant'!$B:$B,'Inc CWIP &amp; Plant Summary'!$C92,'Inc CWIP &amp; Plant'!$G:$G,'Inc CWIP &amp; Plant Summary'!$B92)</f>
        <v>0</v>
      </c>
      <c r="N92" s="299">
        <f>SUMIFS('Inc CWIP &amp; Plant'!$O:$O,'Inc CWIP &amp; Plant'!$A:$A,'Inc CWIP &amp; Plant Summary'!N$69,'Inc CWIP &amp; Plant'!$B:$B,'Inc CWIP &amp; Plant Summary'!$C92,'Inc CWIP &amp; Plant'!$G:$G,'Inc CWIP &amp; Plant Summary'!$B92)</f>
        <v>0</v>
      </c>
      <c r="O92" s="299">
        <f>SUMIFS('Inc CWIP &amp; Plant'!$O:$O,'Inc CWIP &amp; Plant'!$A:$A,'Inc CWIP &amp; Plant Summary'!O$69,'Inc CWIP &amp; Plant'!$B:$B,'Inc CWIP &amp; Plant Summary'!$C92,'Inc CWIP &amp; Plant'!$G:$G,'Inc CWIP &amp; Plant Summary'!$B92)</f>
        <v>0</v>
      </c>
      <c r="P92" s="299">
        <f>SUMIFS('Inc CWIP &amp; Plant'!$O:$O,'Inc CWIP &amp; Plant'!$A:$A,'Inc CWIP &amp; Plant Summary'!P$69,'Inc CWIP &amp; Plant'!$B:$B,'Inc CWIP &amp; Plant Summary'!$C92,'Inc CWIP &amp; Plant'!$G:$G,'Inc CWIP &amp; Plant Summary'!$B92)</f>
        <v>0</v>
      </c>
    </row>
    <row r="93" spans="1:16" ht="15" customHeight="1" x14ac:dyDescent="0.25">
      <c r="A93" s="297"/>
      <c r="B93" s="308">
        <f t="shared" si="6"/>
        <v>42675</v>
      </c>
      <c r="C93" s="308" t="s">
        <v>33</v>
      </c>
      <c r="D93" s="312">
        <f t="shared" si="7"/>
        <v>0</v>
      </c>
      <c r="E93" s="299">
        <f>SUMIFS('Inc CWIP &amp; Plant'!$O:$O,'Inc CWIP &amp; Plant'!$A:$A,'Inc CWIP &amp; Plant Summary'!E$69,'Inc CWIP &amp; Plant'!$B:$B,'Inc CWIP &amp; Plant Summary'!$C93,'Inc CWIP &amp; Plant'!$G:$G,'Inc CWIP &amp; Plant Summary'!$B93)</f>
        <v>0</v>
      </c>
      <c r="F93" s="299">
        <f>SUMIFS('Inc CWIP &amp; Plant'!$O:$O,'Inc CWIP &amp; Plant'!$A:$A,'Inc CWIP &amp; Plant Summary'!F$69,'Inc CWIP &amp; Plant'!$B:$B,'Inc CWIP &amp; Plant Summary'!$C93,'Inc CWIP &amp; Plant'!$G:$G,'Inc CWIP &amp; Plant Summary'!$B93)</f>
        <v>0</v>
      </c>
      <c r="G93" s="299">
        <f>SUMIFS('Inc CWIP &amp; Plant'!$O:$O,'Inc CWIP &amp; Plant'!$A:$A,'Inc CWIP &amp; Plant Summary'!G$69,'Inc CWIP &amp; Plant'!$B:$B,'Inc CWIP &amp; Plant Summary'!$C93,'Inc CWIP &amp; Plant'!$G:$G,'Inc CWIP &amp; Plant Summary'!$B93)</f>
        <v>0</v>
      </c>
      <c r="H93" s="299">
        <f>SUMIFS('Inc CWIP &amp; Plant'!$O:$O,'Inc CWIP &amp; Plant'!$A:$A,'Inc CWIP &amp; Plant Summary'!H$69,'Inc CWIP &amp; Plant'!$B:$B,'Inc CWIP &amp; Plant Summary'!$C93,'Inc CWIP &amp; Plant'!$G:$G,'Inc CWIP &amp; Plant Summary'!$B93)</f>
        <v>0</v>
      </c>
      <c r="I93" s="299">
        <f>SUMIFS('Inc CWIP &amp; Plant'!$O:$O,'Inc CWIP &amp; Plant'!$A:$A,'Inc CWIP &amp; Plant Summary'!I$69,'Inc CWIP &amp; Plant'!$B:$B,'Inc CWIP &amp; Plant Summary'!$C93,'Inc CWIP &amp; Plant'!$G:$G,'Inc CWIP &amp; Plant Summary'!$B93)</f>
        <v>0</v>
      </c>
      <c r="J93" s="299">
        <f>SUMIFS('Inc CWIP &amp; Plant'!$O:$O,'Inc CWIP &amp; Plant'!$A:$A,'Inc CWIP &amp; Plant Summary'!J$69,'Inc CWIP &amp; Plant'!$B:$B,'Inc CWIP &amp; Plant Summary'!$C93,'Inc CWIP &amp; Plant'!$G:$G,'Inc CWIP &amp; Plant Summary'!$B93)</f>
        <v>0</v>
      </c>
      <c r="K93" s="299">
        <f>SUMIFS('Inc CWIP &amp; Plant'!$O:$O,'Inc CWIP &amp; Plant'!$A:$A,'Inc CWIP &amp; Plant Summary'!K$69,'Inc CWIP &amp; Plant'!$B:$B,'Inc CWIP &amp; Plant Summary'!$C93,'Inc CWIP &amp; Plant'!$G:$G,'Inc CWIP &amp; Plant Summary'!$B93)</f>
        <v>0</v>
      </c>
      <c r="L93" s="299">
        <f>SUMIFS('Inc CWIP &amp; Plant'!$O:$O,'Inc CWIP &amp; Plant'!$A:$A,'Inc CWIP &amp; Plant Summary'!L$69,'Inc CWIP &amp; Plant'!$B:$B,'Inc CWIP &amp; Plant Summary'!$C93,'Inc CWIP &amp; Plant'!$G:$G,'Inc CWIP &amp; Plant Summary'!$B93)</f>
        <v>0</v>
      </c>
      <c r="M93" s="299">
        <f>SUMIFS('Inc CWIP &amp; Plant'!$O:$O,'Inc CWIP &amp; Plant'!$A:$A,'Inc CWIP &amp; Plant Summary'!M$69,'Inc CWIP &amp; Plant'!$B:$B,'Inc CWIP &amp; Plant Summary'!$C93,'Inc CWIP &amp; Plant'!$G:$G,'Inc CWIP &amp; Plant Summary'!$B93)</f>
        <v>0</v>
      </c>
      <c r="N93" s="299">
        <f>SUMIFS('Inc CWIP &amp; Plant'!$O:$O,'Inc CWIP &amp; Plant'!$A:$A,'Inc CWIP &amp; Plant Summary'!N$69,'Inc CWIP &amp; Plant'!$B:$B,'Inc CWIP &amp; Plant Summary'!$C93,'Inc CWIP &amp; Plant'!$G:$G,'Inc CWIP &amp; Plant Summary'!$B93)</f>
        <v>0</v>
      </c>
      <c r="O93" s="299">
        <f>SUMIFS('Inc CWIP &amp; Plant'!$O:$O,'Inc CWIP &amp; Plant'!$A:$A,'Inc CWIP &amp; Plant Summary'!O$69,'Inc CWIP &amp; Plant'!$B:$B,'Inc CWIP &amp; Plant Summary'!$C93,'Inc CWIP &amp; Plant'!$G:$G,'Inc CWIP &amp; Plant Summary'!$B93)</f>
        <v>0</v>
      </c>
      <c r="P93" s="299">
        <f>SUMIFS('Inc CWIP &amp; Plant'!$O:$O,'Inc CWIP &amp; Plant'!$A:$A,'Inc CWIP &amp; Plant Summary'!P$69,'Inc CWIP &amp; Plant'!$B:$B,'Inc CWIP &amp; Plant Summary'!$C93,'Inc CWIP &amp; Plant'!$G:$G,'Inc CWIP &amp; Plant Summary'!$B93)</f>
        <v>0</v>
      </c>
    </row>
    <row r="94" spans="1:16" ht="15" customHeight="1" thickBot="1" x14ac:dyDescent="0.3">
      <c r="A94" s="297"/>
      <c r="B94" s="308">
        <f t="shared" si="6"/>
        <v>42705</v>
      </c>
      <c r="C94" s="308" t="s">
        <v>33</v>
      </c>
      <c r="D94" s="314">
        <f>SUM(E94:P94)</f>
        <v>23.158429999999999</v>
      </c>
      <c r="E94" s="299">
        <f>SUMIFS('Inc CWIP &amp; Plant'!$O:$O,'Inc CWIP &amp; Plant'!$A:$A,'Inc CWIP &amp; Plant Summary'!E$69,'Inc CWIP &amp; Plant'!$B:$B,'Inc CWIP &amp; Plant Summary'!$C94,'Inc CWIP &amp; Plant'!$G:$G,'Inc CWIP &amp; Plant Summary'!$B94)</f>
        <v>0</v>
      </c>
      <c r="F94" s="299">
        <f>SUMIFS('Inc CWIP &amp; Plant'!$O:$O,'Inc CWIP &amp; Plant'!$A:$A,'Inc CWIP &amp; Plant Summary'!F$69,'Inc CWIP &amp; Plant'!$B:$B,'Inc CWIP &amp; Plant Summary'!$C94,'Inc CWIP &amp; Plant'!$G:$G,'Inc CWIP &amp; Plant Summary'!$B94)</f>
        <v>0</v>
      </c>
      <c r="G94" s="299">
        <f>SUMIFS('Inc CWIP &amp; Plant'!$O:$O,'Inc CWIP &amp; Plant'!$A:$A,'Inc CWIP &amp; Plant Summary'!G$69,'Inc CWIP &amp; Plant'!$B:$B,'Inc CWIP &amp; Plant Summary'!$C94,'Inc CWIP &amp; Plant'!$G:$G,'Inc CWIP &amp; Plant Summary'!$B94)</f>
        <v>0</v>
      </c>
      <c r="H94" s="299">
        <f>SUMIFS('Inc CWIP &amp; Plant'!$O:$O,'Inc CWIP &amp; Plant'!$A:$A,'Inc CWIP &amp; Plant Summary'!H$69,'Inc CWIP &amp; Plant'!$B:$B,'Inc CWIP &amp; Plant Summary'!$C94,'Inc CWIP &amp; Plant'!$G:$G,'Inc CWIP &amp; Plant Summary'!$B94)</f>
        <v>0</v>
      </c>
      <c r="I94" s="299">
        <f>SUMIFS('Inc CWIP &amp; Plant'!$O:$O,'Inc CWIP &amp; Plant'!$A:$A,'Inc CWIP &amp; Plant Summary'!I$69,'Inc CWIP &amp; Plant'!$B:$B,'Inc CWIP &amp; Plant Summary'!$C94,'Inc CWIP &amp; Plant'!$G:$G,'Inc CWIP &amp; Plant Summary'!$B94)</f>
        <v>0</v>
      </c>
      <c r="J94" s="299">
        <f>SUMIFS('Inc CWIP &amp; Plant'!$O:$O,'Inc CWIP &amp; Plant'!$A:$A,'Inc CWIP &amp; Plant Summary'!J$69,'Inc CWIP &amp; Plant'!$B:$B,'Inc CWIP &amp; Plant Summary'!$C94,'Inc CWIP &amp; Plant'!$G:$G,'Inc CWIP &amp; Plant Summary'!$B94)</f>
        <v>0</v>
      </c>
      <c r="K94" s="299">
        <f>SUMIFS('Inc CWIP &amp; Plant'!$O:$O,'Inc CWIP &amp; Plant'!$A:$A,'Inc CWIP &amp; Plant Summary'!K$69,'Inc CWIP &amp; Plant'!$B:$B,'Inc CWIP &amp; Plant Summary'!$C94,'Inc CWIP &amp; Plant'!$G:$G,'Inc CWIP &amp; Plant Summary'!$B94)</f>
        <v>0</v>
      </c>
      <c r="L94" s="299">
        <f>SUMIFS('Inc CWIP &amp; Plant'!$O:$O,'Inc CWIP &amp; Plant'!$A:$A,'Inc CWIP &amp; Plant Summary'!L$69,'Inc CWIP &amp; Plant'!$B:$B,'Inc CWIP &amp; Plant Summary'!$C94,'Inc CWIP &amp; Plant'!$G:$G,'Inc CWIP &amp; Plant Summary'!$B94)</f>
        <v>0</v>
      </c>
      <c r="M94" s="299">
        <f>SUMIFS('Inc CWIP &amp; Plant'!$O:$O,'Inc CWIP &amp; Plant'!$A:$A,'Inc CWIP &amp; Plant Summary'!M$69,'Inc CWIP &amp; Plant'!$B:$B,'Inc CWIP &amp; Plant Summary'!$C94,'Inc CWIP &amp; Plant'!$G:$G,'Inc CWIP &amp; Plant Summary'!$B94)</f>
        <v>0</v>
      </c>
      <c r="N94" s="299">
        <f>SUMIFS('Inc CWIP &amp; Plant'!$O:$O,'Inc CWIP &amp; Plant'!$A:$A,'Inc CWIP &amp; Plant Summary'!N$69,'Inc CWIP &amp; Plant'!$B:$B,'Inc CWIP &amp; Plant Summary'!$C94,'Inc CWIP &amp; Plant'!$G:$G,'Inc CWIP &amp; Plant Summary'!$B94)</f>
        <v>0</v>
      </c>
      <c r="O94" s="299">
        <f>SUMIFS('Inc CWIP &amp; Plant'!$O:$O,'Inc CWIP &amp; Plant'!$A:$A,'Inc CWIP &amp; Plant Summary'!O$69,'Inc CWIP &amp; Plant'!$B:$B,'Inc CWIP &amp; Plant Summary'!$C94,'Inc CWIP &amp; Plant'!$G:$G,'Inc CWIP &amp; Plant Summary'!$B94)</f>
        <v>23.158429999999999</v>
      </c>
      <c r="P94" s="299">
        <f>SUMIFS('Inc CWIP &amp; Plant'!$O:$O,'Inc CWIP &amp; Plant'!$A:$A,'Inc CWIP &amp; Plant Summary'!P$69,'Inc CWIP &amp; Plant'!$B:$B,'Inc CWIP &amp; Plant Summary'!$C94,'Inc CWIP &amp; Plant'!$G:$G,'Inc CWIP &amp; Plant Summary'!$B94)</f>
        <v>0</v>
      </c>
    </row>
    <row r="95" spans="1:16" ht="15" customHeight="1" x14ac:dyDescent="0.25">
      <c r="A95" s="297"/>
      <c r="B95" s="297"/>
      <c r="C95" s="297"/>
      <c r="D95" s="315"/>
      <c r="E95" s="315"/>
      <c r="F95" s="315"/>
      <c r="G95" s="315"/>
      <c r="H95" s="315"/>
      <c r="I95" s="315"/>
      <c r="J95" s="315"/>
      <c r="K95" s="315"/>
      <c r="L95" s="315"/>
      <c r="M95" s="315"/>
      <c r="N95" s="315"/>
      <c r="O95" s="315"/>
      <c r="P95" s="315"/>
    </row>
    <row r="96" spans="1:16" ht="15" customHeight="1" x14ac:dyDescent="0.25">
      <c r="A96" s="297"/>
      <c r="B96" s="297"/>
      <c r="C96" s="297"/>
      <c r="D96" s="315"/>
      <c r="E96" s="297"/>
      <c r="F96" s="297"/>
      <c r="G96" s="297"/>
      <c r="H96" s="297"/>
      <c r="I96" s="297"/>
      <c r="J96" s="297"/>
      <c r="K96" s="297"/>
      <c r="L96" s="297"/>
      <c r="M96" s="297"/>
      <c r="N96" s="297"/>
      <c r="O96" s="297"/>
      <c r="P96" s="297"/>
    </row>
  </sheetData>
  <printOptions horizontalCentered="1"/>
  <pageMargins left="0.7" right="0.7" top="0.75" bottom="0.75" header="0.3" footer="0.3"/>
  <pageSetup scale="53" fitToHeight="0" orientation="landscape" r:id="rId1"/>
  <headerFooter>
    <oddHeader>&amp;RTO10 Draft Annual Update
Attachment 4
WP-Schedule 10 and 16
Page &amp;P of &amp;N</oddHeader>
  </headerFooter>
  <rowBreaks count="2" manualBreakCount="2">
    <brk id="32" max="14" man="1"/>
    <brk id="65" max="14" man="1"/>
  </rowBreaks>
  <colBreaks count="1" manualBreakCount="1">
    <brk id="15"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7" tint="0.59999389629810485"/>
    <pageSetUpPr fitToPage="1"/>
  </sheetPr>
  <dimension ref="A1:P77"/>
  <sheetViews>
    <sheetView zoomScale="90" zoomScaleNormal="90" workbookViewId="0">
      <selection activeCell="C67" sqref="C67"/>
    </sheetView>
  </sheetViews>
  <sheetFormatPr defaultRowHeight="15" x14ac:dyDescent="0.25"/>
  <cols>
    <col min="1" max="1" width="17.28515625" style="80" customWidth="1"/>
    <col min="2" max="12" width="19.42578125" style="80" customWidth="1"/>
    <col min="13" max="13" width="19.7109375" style="80" bestFit="1" customWidth="1"/>
    <col min="14" max="14" width="9.140625" style="80"/>
    <col min="15" max="15" width="12" style="80" bestFit="1" customWidth="1"/>
    <col min="16" max="254" width="9.140625" style="80"/>
    <col min="255" max="255" width="0" style="80" hidden="1" customWidth="1"/>
    <col min="256" max="256" width="22.28515625" style="80" customWidth="1"/>
    <col min="257" max="257" width="17.5703125" style="80" bestFit="1" customWidth="1"/>
    <col min="258" max="266" width="15.28515625" style="80" customWidth="1"/>
    <col min="267" max="267" width="16" style="80" customWidth="1"/>
    <col min="268" max="269" width="0" style="80" hidden="1" customWidth="1"/>
    <col min="270" max="510" width="9.140625" style="80"/>
    <col min="511" max="511" width="0" style="80" hidden="1" customWidth="1"/>
    <col min="512" max="512" width="22.28515625" style="80" customWidth="1"/>
    <col min="513" max="513" width="17.5703125" style="80" bestFit="1" customWidth="1"/>
    <col min="514" max="522" width="15.28515625" style="80" customWidth="1"/>
    <col min="523" max="523" width="16" style="80" customWidth="1"/>
    <col min="524" max="525" width="0" style="80" hidden="1" customWidth="1"/>
    <col min="526" max="766" width="9.140625" style="80"/>
    <col min="767" max="767" width="0" style="80" hidden="1" customWidth="1"/>
    <col min="768" max="768" width="22.28515625" style="80" customWidth="1"/>
    <col min="769" max="769" width="17.5703125" style="80" bestFit="1" customWidth="1"/>
    <col min="770" max="778" width="15.28515625" style="80" customWidth="1"/>
    <col min="779" max="779" width="16" style="80" customWidth="1"/>
    <col min="780" max="781" width="0" style="80" hidden="1" customWidth="1"/>
    <col min="782" max="1022" width="9.140625" style="80"/>
    <col min="1023" max="1023" width="0" style="80" hidden="1" customWidth="1"/>
    <col min="1024" max="1024" width="22.28515625" style="80" customWidth="1"/>
    <col min="1025" max="1025" width="17.5703125" style="80" bestFit="1" customWidth="1"/>
    <col min="1026" max="1034" width="15.28515625" style="80" customWidth="1"/>
    <col min="1035" max="1035" width="16" style="80" customWidth="1"/>
    <col min="1036" max="1037" width="0" style="80" hidden="1" customWidth="1"/>
    <col min="1038" max="1278" width="9.140625" style="80"/>
    <col min="1279" max="1279" width="0" style="80" hidden="1" customWidth="1"/>
    <col min="1280" max="1280" width="22.28515625" style="80" customWidth="1"/>
    <col min="1281" max="1281" width="17.5703125" style="80" bestFit="1" customWidth="1"/>
    <col min="1282" max="1290" width="15.28515625" style="80" customWidth="1"/>
    <col min="1291" max="1291" width="16" style="80" customWidth="1"/>
    <col min="1292" max="1293" width="0" style="80" hidden="1" customWidth="1"/>
    <col min="1294" max="1534" width="9.140625" style="80"/>
    <col min="1535" max="1535" width="0" style="80" hidden="1" customWidth="1"/>
    <col min="1536" max="1536" width="22.28515625" style="80" customWidth="1"/>
    <col min="1537" max="1537" width="17.5703125" style="80" bestFit="1" customWidth="1"/>
    <col min="1538" max="1546" width="15.28515625" style="80" customWidth="1"/>
    <col min="1547" max="1547" width="16" style="80" customWidth="1"/>
    <col min="1548" max="1549" width="0" style="80" hidden="1" customWidth="1"/>
    <col min="1550" max="1790" width="9.140625" style="80"/>
    <col min="1791" max="1791" width="0" style="80" hidden="1" customWidth="1"/>
    <col min="1792" max="1792" width="22.28515625" style="80" customWidth="1"/>
    <col min="1793" max="1793" width="17.5703125" style="80" bestFit="1" customWidth="1"/>
    <col min="1794" max="1802" width="15.28515625" style="80" customWidth="1"/>
    <col min="1803" max="1803" width="16" style="80" customWidth="1"/>
    <col min="1804" max="1805" width="0" style="80" hidden="1" customWidth="1"/>
    <col min="1806" max="2046" width="9.140625" style="80"/>
    <col min="2047" max="2047" width="0" style="80" hidden="1" customWidth="1"/>
    <col min="2048" max="2048" width="22.28515625" style="80" customWidth="1"/>
    <col min="2049" max="2049" width="17.5703125" style="80" bestFit="1" customWidth="1"/>
    <col min="2050" max="2058" width="15.28515625" style="80" customWidth="1"/>
    <col min="2059" max="2059" width="16" style="80" customWidth="1"/>
    <col min="2060" max="2061" width="0" style="80" hidden="1" customWidth="1"/>
    <col min="2062" max="2302" width="9.140625" style="80"/>
    <col min="2303" max="2303" width="0" style="80" hidden="1" customWidth="1"/>
    <col min="2304" max="2304" width="22.28515625" style="80" customWidth="1"/>
    <col min="2305" max="2305" width="17.5703125" style="80" bestFit="1" customWidth="1"/>
    <col min="2306" max="2314" width="15.28515625" style="80" customWidth="1"/>
    <col min="2315" max="2315" width="16" style="80" customWidth="1"/>
    <col min="2316" max="2317" width="0" style="80" hidden="1" customWidth="1"/>
    <col min="2318" max="2558" width="9.140625" style="80"/>
    <col min="2559" max="2559" width="0" style="80" hidden="1" customWidth="1"/>
    <col min="2560" max="2560" width="22.28515625" style="80" customWidth="1"/>
    <col min="2561" max="2561" width="17.5703125" style="80" bestFit="1" customWidth="1"/>
    <col min="2562" max="2570" width="15.28515625" style="80" customWidth="1"/>
    <col min="2571" max="2571" width="16" style="80" customWidth="1"/>
    <col min="2572" max="2573" width="0" style="80" hidden="1" customWidth="1"/>
    <col min="2574" max="2814" width="9.140625" style="80"/>
    <col min="2815" max="2815" width="0" style="80" hidden="1" customWidth="1"/>
    <col min="2816" max="2816" width="22.28515625" style="80" customWidth="1"/>
    <col min="2817" max="2817" width="17.5703125" style="80" bestFit="1" customWidth="1"/>
    <col min="2818" max="2826" width="15.28515625" style="80" customWidth="1"/>
    <col min="2827" max="2827" width="16" style="80" customWidth="1"/>
    <col min="2828" max="2829" width="0" style="80" hidden="1" customWidth="1"/>
    <col min="2830" max="3070" width="9.140625" style="80"/>
    <col min="3071" max="3071" width="0" style="80" hidden="1" customWidth="1"/>
    <col min="3072" max="3072" width="22.28515625" style="80" customWidth="1"/>
    <col min="3073" max="3073" width="17.5703125" style="80" bestFit="1" customWidth="1"/>
    <col min="3074" max="3082" width="15.28515625" style="80" customWidth="1"/>
    <col min="3083" max="3083" width="16" style="80" customWidth="1"/>
    <col min="3084" max="3085" width="0" style="80" hidden="1" customWidth="1"/>
    <col min="3086" max="3326" width="9.140625" style="80"/>
    <col min="3327" max="3327" width="0" style="80" hidden="1" customWidth="1"/>
    <col min="3328" max="3328" width="22.28515625" style="80" customWidth="1"/>
    <col min="3329" max="3329" width="17.5703125" style="80" bestFit="1" customWidth="1"/>
    <col min="3330" max="3338" width="15.28515625" style="80" customWidth="1"/>
    <col min="3339" max="3339" width="16" style="80" customWidth="1"/>
    <col min="3340" max="3341" width="0" style="80" hidden="1" customWidth="1"/>
    <col min="3342" max="3582" width="9.140625" style="80"/>
    <col min="3583" max="3583" width="0" style="80" hidden="1" customWidth="1"/>
    <col min="3584" max="3584" width="22.28515625" style="80" customWidth="1"/>
    <col min="3585" max="3585" width="17.5703125" style="80" bestFit="1" customWidth="1"/>
    <col min="3586" max="3594" width="15.28515625" style="80" customWidth="1"/>
    <col min="3595" max="3595" width="16" style="80" customWidth="1"/>
    <col min="3596" max="3597" width="0" style="80" hidden="1" customWidth="1"/>
    <col min="3598" max="3838" width="9.140625" style="80"/>
    <col min="3839" max="3839" width="0" style="80" hidden="1" customWidth="1"/>
    <col min="3840" max="3840" width="22.28515625" style="80" customWidth="1"/>
    <col min="3841" max="3841" width="17.5703125" style="80" bestFit="1" customWidth="1"/>
    <col min="3842" max="3850" width="15.28515625" style="80" customWidth="1"/>
    <col min="3851" max="3851" width="16" style="80" customWidth="1"/>
    <col min="3852" max="3853" width="0" style="80" hidden="1" customWidth="1"/>
    <col min="3854" max="4094" width="9.140625" style="80"/>
    <col min="4095" max="4095" width="0" style="80" hidden="1" customWidth="1"/>
    <col min="4096" max="4096" width="22.28515625" style="80" customWidth="1"/>
    <col min="4097" max="4097" width="17.5703125" style="80" bestFit="1" customWidth="1"/>
    <col min="4098" max="4106" width="15.28515625" style="80" customWidth="1"/>
    <col min="4107" max="4107" width="16" style="80" customWidth="1"/>
    <col min="4108" max="4109" width="0" style="80" hidden="1" customWidth="1"/>
    <col min="4110" max="4350" width="9.140625" style="80"/>
    <col min="4351" max="4351" width="0" style="80" hidden="1" customWidth="1"/>
    <col min="4352" max="4352" width="22.28515625" style="80" customWidth="1"/>
    <col min="4353" max="4353" width="17.5703125" style="80" bestFit="1" customWidth="1"/>
    <col min="4354" max="4362" width="15.28515625" style="80" customWidth="1"/>
    <col min="4363" max="4363" width="16" style="80" customWidth="1"/>
    <col min="4364" max="4365" width="0" style="80" hidden="1" customWidth="1"/>
    <col min="4366" max="4606" width="9.140625" style="80"/>
    <col min="4607" max="4607" width="0" style="80" hidden="1" customWidth="1"/>
    <col min="4608" max="4608" width="22.28515625" style="80" customWidth="1"/>
    <col min="4609" max="4609" width="17.5703125" style="80" bestFit="1" customWidth="1"/>
    <col min="4610" max="4618" width="15.28515625" style="80" customWidth="1"/>
    <col min="4619" max="4619" width="16" style="80" customWidth="1"/>
    <col min="4620" max="4621" width="0" style="80" hidden="1" customWidth="1"/>
    <col min="4622" max="4862" width="9.140625" style="80"/>
    <col min="4863" max="4863" width="0" style="80" hidden="1" customWidth="1"/>
    <col min="4864" max="4864" width="22.28515625" style="80" customWidth="1"/>
    <col min="4865" max="4865" width="17.5703125" style="80" bestFit="1" customWidth="1"/>
    <col min="4866" max="4874" width="15.28515625" style="80" customWidth="1"/>
    <col min="4875" max="4875" width="16" style="80" customWidth="1"/>
    <col min="4876" max="4877" width="0" style="80" hidden="1" customWidth="1"/>
    <col min="4878" max="5118" width="9.140625" style="80"/>
    <col min="5119" max="5119" width="0" style="80" hidden="1" customWidth="1"/>
    <col min="5120" max="5120" width="22.28515625" style="80" customWidth="1"/>
    <col min="5121" max="5121" width="17.5703125" style="80" bestFit="1" customWidth="1"/>
    <col min="5122" max="5130" width="15.28515625" style="80" customWidth="1"/>
    <col min="5131" max="5131" width="16" style="80" customWidth="1"/>
    <col min="5132" max="5133" width="0" style="80" hidden="1" customWidth="1"/>
    <col min="5134" max="5374" width="9.140625" style="80"/>
    <col min="5375" max="5375" width="0" style="80" hidden="1" customWidth="1"/>
    <col min="5376" max="5376" width="22.28515625" style="80" customWidth="1"/>
    <col min="5377" max="5377" width="17.5703125" style="80" bestFit="1" customWidth="1"/>
    <col min="5378" max="5386" width="15.28515625" style="80" customWidth="1"/>
    <col min="5387" max="5387" width="16" style="80" customWidth="1"/>
    <col min="5388" max="5389" width="0" style="80" hidden="1" customWidth="1"/>
    <col min="5390" max="5630" width="9.140625" style="80"/>
    <col min="5631" max="5631" width="0" style="80" hidden="1" customWidth="1"/>
    <col min="5632" max="5632" width="22.28515625" style="80" customWidth="1"/>
    <col min="5633" max="5633" width="17.5703125" style="80" bestFit="1" customWidth="1"/>
    <col min="5634" max="5642" width="15.28515625" style="80" customWidth="1"/>
    <col min="5643" max="5643" width="16" style="80" customWidth="1"/>
    <col min="5644" max="5645" width="0" style="80" hidden="1" customWidth="1"/>
    <col min="5646" max="5886" width="9.140625" style="80"/>
    <col min="5887" max="5887" width="0" style="80" hidden="1" customWidth="1"/>
    <col min="5888" max="5888" width="22.28515625" style="80" customWidth="1"/>
    <col min="5889" max="5889" width="17.5703125" style="80" bestFit="1" customWidth="1"/>
    <col min="5890" max="5898" width="15.28515625" style="80" customWidth="1"/>
    <col min="5899" max="5899" width="16" style="80" customWidth="1"/>
    <col min="5900" max="5901" width="0" style="80" hidden="1" customWidth="1"/>
    <col min="5902" max="6142" width="9.140625" style="80"/>
    <col min="6143" max="6143" width="0" style="80" hidden="1" customWidth="1"/>
    <col min="6144" max="6144" width="22.28515625" style="80" customWidth="1"/>
    <col min="6145" max="6145" width="17.5703125" style="80" bestFit="1" customWidth="1"/>
    <col min="6146" max="6154" width="15.28515625" style="80" customWidth="1"/>
    <col min="6155" max="6155" width="16" style="80" customWidth="1"/>
    <col min="6156" max="6157" width="0" style="80" hidden="1" customWidth="1"/>
    <col min="6158" max="6398" width="9.140625" style="80"/>
    <col min="6399" max="6399" width="0" style="80" hidden="1" customWidth="1"/>
    <col min="6400" max="6400" width="22.28515625" style="80" customWidth="1"/>
    <col min="6401" max="6401" width="17.5703125" style="80" bestFit="1" customWidth="1"/>
    <col min="6402" max="6410" width="15.28515625" style="80" customWidth="1"/>
    <col min="6411" max="6411" width="16" style="80" customWidth="1"/>
    <col min="6412" max="6413" width="0" style="80" hidden="1" customWidth="1"/>
    <col min="6414" max="6654" width="9.140625" style="80"/>
    <col min="6655" max="6655" width="0" style="80" hidden="1" customWidth="1"/>
    <col min="6656" max="6656" width="22.28515625" style="80" customWidth="1"/>
    <col min="6657" max="6657" width="17.5703125" style="80" bestFit="1" customWidth="1"/>
    <col min="6658" max="6666" width="15.28515625" style="80" customWidth="1"/>
    <col min="6667" max="6667" width="16" style="80" customWidth="1"/>
    <col min="6668" max="6669" width="0" style="80" hidden="1" customWidth="1"/>
    <col min="6670" max="6910" width="9.140625" style="80"/>
    <col min="6911" max="6911" width="0" style="80" hidden="1" customWidth="1"/>
    <col min="6912" max="6912" width="22.28515625" style="80" customWidth="1"/>
    <col min="6913" max="6913" width="17.5703125" style="80" bestFit="1" customWidth="1"/>
    <col min="6914" max="6922" width="15.28515625" style="80" customWidth="1"/>
    <col min="6923" max="6923" width="16" style="80" customWidth="1"/>
    <col min="6924" max="6925" width="0" style="80" hidden="1" customWidth="1"/>
    <col min="6926" max="7166" width="9.140625" style="80"/>
    <col min="7167" max="7167" width="0" style="80" hidden="1" customWidth="1"/>
    <col min="7168" max="7168" width="22.28515625" style="80" customWidth="1"/>
    <col min="7169" max="7169" width="17.5703125" style="80" bestFit="1" customWidth="1"/>
    <col min="7170" max="7178" width="15.28515625" style="80" customWidth="1"/>
    <col min="7179" max="7179" width="16" style="80" customWidth="1"/>
    <col min="7180" max="7181" width="0" style="80" hidden="1" customWidth="1"/>
    <col min="7182" max="7422" width="9.140625" style="80"/>
    <col min="7423" max="7423" width="0" style="80" hidden="1" customWidth="1"/>
    <col min="7424" max="7424" width="22.28515625" style="80" customWidth="1"/>
    <col min="7425" max="7425" width="17.5703125" style="80" bestFit="1" customWidth="1"/>
    <col min="7426" max="7434" width="15.28515625" style="80" customWidth="1"/>
    <col min="7435" max="7435" width="16" style="80" customWidth="1"/>
    <col min="7436" max="7437" width="0" style="80" hidden="1" customWidth="1"/>
    <col min="7438" max="7678" width="9.140625" style="80"/>
    <col min="7679" max="7679" width="0" style="80" hidden="1" customWidth="1"/>
    <col min="7680" max="7680" width="22.28515625" style="80" customWidth="1"/>
    <col min="7681" max="7681" width="17.5703125" style="80" bestFit="1" customWidth="1"/>
    <col min="7682" max="7690" width="15.28515625" style="80" customWidth="1"/>
    <col min="7691" max="7691" width="16" style="80" customWidth="1"/>
    <col min="7692" max="7693" width="0" style="80" hidden="1" customWidth="1"/>
    <col min="7694" max="7934" width="9.140625" style="80"/>
    <col min="7935" max="7935" width="0" style="80" hidden="1" customWidth="1"/>
    <col min="7936" max="7936" width="22.28515625" style="80" customWidth="1"/>
    <col min="7937" max="7937" width="17.5703125" style="80" bestFit="1" customWidth="1"/>
    <col min="7938" max="7946" width="15.28515625" style="80" customWidth="1"/>
    <col min="7947" max="7947" width="16" style="80" customWidth="1"/>
    <col min="7948" max="7949" width="0" style="80" hidden="1" customWidth="1"/>
    <col min="7950" max="8190" width="9.140625" style="80"/>
    <col min="8191" max="8191" width="0" style="80" hidden="1" customWidth="1"/>
    <col min="8192" max="8192" width="22.28515625" style="80" customWidth="1"/>
    <col min="8193" max="8193" width="17.5703125" style="80" bestFit="1" customWidth="1"/>
    <col min="8194" max="8202" width="15.28515625" style="80" customWidth="1"/>
    <col min="8203" max="8203" width="16" style="80" customWidth="1"/>
    <col min="8204" max="8205" width="0" style="80" hidden="1" customWidth="1"/>
    <col min="8206" max="8446" width="9.140625" style="80"/>
    <col min="8447" max="8447" width="0" style="80" hidden="1" customWidth="1"/>
    <col min="8448" max="8448" width="22.28515625" style="80" customWidth="1"/>
    <col min="8449" max="8449" width="17.5703125" style="80" bestFit="1" customWidth="1"/>
    <col min="8450" max="8458" width="15.28515625" style="80" customWidth="1"/>
    <col min="8459" max="8459" width="16" style="80" customWidth="1"/>
    <col min="8460" max="8461" width="0" style="80" hidden="1" customWidth="1"/>
    <col min="8462" max="8702" width="9.140625" style="80"/>
    <col min="8703" max="8703" width="0" style="80" hidden="1" customWidth="1"/>
    <col min="8704" max="8704" width="22.28515625" style="80" customWidth="1"/>
    <col min="8705" max="8705" width="17.5703125" style="80" bestFit="1" customWidth="1"/>
    <col min="8706" max="8714" width="15.28515625" style="80" customWidth="1"/>
    <col min="8715" max="8715" width="16" style="80" customWidth="1"/>
    <col min="8716" max="8717" width="0" style="80" hidden="1" customWidth="1"/>
    <col min="8718" max="8958" width="9.140625" style="80"/>
    <col min="8959" max="8959" width="0" style="80" hidden="1" customWidth="1"/>
    <col min="8960" max="8960" width="22.28515625" style="80" customWidth="1"/>
    <col min="8961" max="8961" width="17.5703125" style="80" bestFit="1" customWidth="1"/>
    <col min="8962" max="8970" width="15.28515625" style="80" customWidth="1"/>
    <col min="8971" max="8971" width="16" style="80" customWidth="1"/>
    <col min="8972" max="8973" width="0" style="80" hidden="1" customWidth="1"/>
    <col min="8974" max="9214" width="9.140625" style="80"/>
    <col min="9215" max="9215" width="0" style="80" hidden="1" customWidth="1"/>
    <col min="9216" max="9216" width="22.28515625" style="80" customWidth="1"/>
    <col min="9217" max="9217" width="17.5703125" style="80" bestFit="1" customWidth="1"/>
    <col min="9218" max="9226" width="15.28515625" style="80" customWidth="1"/>
    <col min="9227" max="9227" width="16" style="80" customWidth="1"/>
    <col min="9228" max="9229" width="0" style="80" hidden="1" customWidth="1"/>
    <col min="9230" max="9470" width="9.140625" style="80"/>
    <col min="9471" max="9471" width="0" style="80" hidden="1" customWidth="1"/>
    <col min="9472" max="9472" width="22.28515625" style="80" customWidth="1"/>
    <col min="9473" max="9473" width="17.5703125" style="80" bestFit="1" customWidth="1"/>
    <col min="9474" max="9482" width="15.28515625" style="80" customWidth="1"/>
    <col min="9483" max="9483" width="16" style="80" customWidth="1"/>
    <col min="9484" max="9485" width="0" style="80" hidden="1" customWidth="1"/>
    <col min="9486" max="9726" width="9.140625" style="80"/>
    <col min="9727" max="9727" width="0" style="80" hidden="1" customWidth="1"/>
    <col min="9728" max="9728" width="22.28515625" style="80" customWidth="1"/>
    <col min="9729" max="9729" width="17.5703125" style="80" bestFit="1" customWidth="1"/>
    <col min="9730" max="9738" width="15.28515625" style="80" customWidth="1"/>
    <col min="9739" max="9739" width="16" style="80" customWidth="1"/>
    <col min="9740" max="9741" width="0" style="80" hidden="1" customWidth="1"/>
    <col min="9742" max="9982" width="9.140625" style="80"/>
    <col min="9983" max="9983" width="0" style="80" hidden="1" customWidth="1"/>
    <col min="9984" max="9984" width="22.28515625" style="80" customWidth="1"/>
    <col min="9985" max="9985" width="17.5703125" style="80" bestFit="1" customWidth="1"/>
    <col min="9986" max="9994" width="15.28515625" style="80" customWidth="1"/>
    <col min="9995" max="9995" width="16" style="80" customWidth="1"/>
    <col min="9996" max="9997" width="0" style="80" hidden="1" customWidth="1"/>
    <col min="9998" max="10238" width="9.140625" style="80"/>
    <col min="10239" max="10239" width="0" style="80" hidden="1" customWidth="1"/>
    <col min="10240" max="10240" width="22.28515625" style="80" customWidth="1"/>
    <col min="10241" max="10241" width="17.5703125" style="80" bestFit="1" customWidth="1"/>
    <col min="10242" max="10250" width="15.28515625" style="80" customWidth="1"/>
    <col min="10251" max="10251" width="16" style="80" customWidth="1"/>
    <col min="10252" max="10253" width="0" style="80" hidden="1" customWidth="1"/>
    <col min="10254" max="10494" width="9.140625" style="80"/>
    <col min="10495" max="10495" width="0" style="80" hidden="1" customWidth="1"/>
    <col min="10496" max="10496" width="22.28515625" style="80" customWidth="1"/>
    <col min="10497" max="10497" width="17.5703125" style="80" bestFit="1" customWidth="1"/>
    <col min="10498" max="10506" width="15.28515625" style="80" customWidth="1"/>
    <col min="10507" max="10507" width="16" style="80" customWidth="1"/>
    <col min="10508" max="10509" width="0" style="80" hidden="1" customWidth="1"/>
    <col min="10510" max="10750" width="9.140625" style="80"/>
    <col min="10751" max="10751" width="0" style="80" hidden="1" customWidth="1"/>
    <col min="10752" max="10752" width="22.28515625" style="80" customWidth="1"/>
    <col min="10753" max="10753" width="17.5703125" style="80" bestFit="1" customWidth="1"/>
    <col min="10754" max="10762" width="15.28515625" style="80" customWidth="1"/>
    <col min="10763" max="10763" width="16" style="80" customWidth="1"/>
    <col min="10764" max="10765" width="0" style="80" hidden="1" customWidth="1"/>
    <col min="10766" max="11006" width="9.140625" style="80"/>
    <col min="11007" max="11007" width="0" style="80" hidden="1" customWidth="1"/>
    <col min="11008" max="11008" width="22.28515625" style="80" customWidth="1"/>
    <col min="11009" max="11009" width="17.5703125" style="80" bestFit="1" customWidth="1"/>
    <col min="11010" max="11018" width="15.28515625" style="80" customWidth="1"/>
    <col min="11019" max="11019" width="16" style="80" customWidth="1"/>
    <col min="11020" max="11021" width="0" style="80" hidden="1" customWidth="1"/>
    <col min="11022" max="11262" width="9.140625" style="80"/>
    <col min="11263" max="11263" width="0" style="80" hidden="1" customWidth="1"/>
    <col min="11264" max="11264" width="22.28515625" style="80" customWidth="1"/>
    <col min="11265" max="11265" width="17.5703125" style="80" bestFit="1" customWidth="1"/>
    <col min="11266" max="11274" width="15.28515625" style="80" customWidth="1"/>
    <col min="11275" max="11275" width="16" style="80" customWidth="1"/>
    <col min="11276" max="11277" width="0" style="80" hidden="1" customWidth="1"/>
    <col min="11278" max="11518" width="9.140625" style="80"/>
    <col min="11519" max="11519" width="0" style="80" hidden="1" customWidth="1"/>
    <col min="11520" max="11520" width="22.28515625" style="80" customWidth="1"/>
    <col min="11521" max="11521" width="17.5703125" style="80" bestFit="1" customWidth="1"/>
    <col min="11522" max="11530" width="15.28515625" style="80" customWidth="1"/>
    <col min="11531" max="11531" width="16" style="80" customWidth="1"/>
    <col min="11532" max="11533" width="0" style="80" hidden="1" customWidth="1"/>
    <col min="11534" max="11774" width="9.140625" style="80"/>
    <col min="11775" max="11775" width="0" style="80" hidden="1" customWidth="1"/>
    <col min="11776" max="11776" width="22.28515625" style="80" customWidth="1"/>
    <col min="11777" max="11777" width="17.5703125" style="80" bestFit="1" customWidth="1"/>
    <col min="11778" max="11786" width="15.28515625" style="80" customWidth="1"/>
    <col min="11787" max="11787" width="16" style="80" customWidth="1"/>
    <col min="11788" max="11789" width="0" style="80" hidden="1" customWidth="1"/>
    <col min="11790" max="12030" width="9.140625" style="80"/>
    <col min="12031" max="12031" width="0" style="80" hidden="1" customWidth="1"/>
    <col min="12032" max="12032" width="22.28515625" style="80" customWidth="1"/>
    <col min="12033" max="12033" width="17.5703125" style="80" bestFit="1" customWidth="1"/>
    <col min="12034" max="12042" width="15.28515625" style="80" customWidth="1"/>
    <col min="12043" max="12043" width="16" style="80" customWidth="1"/>
    <col min="12044" max="12045" width="0" style="80" hidden="1" customWidth="1"/>
    <col min="12046" max="12286" width="9.140625" style="80"/>
    <col min="12287" max="12287" width="0" style="80" hidden="1" customWidth="1"/>
    <col min="12288" max="12288" width="22.28515625" style="80" customWidth="1"/>
    <col min="12289" max="12289" width="17.5703125" style="80" bestFit="1" customWidth="1"/>
    <col min="12290" max="12298" width="15.28515625" style="80" customWidth="1"/>
    <col min="12299" max="12299" width="16" style="80" customWidth="1"/>
    <col min="12300" max="12301" width="0" style="80" hidden="1" customWidth="1"/>
    <col min="12302" max="12542" width="9.140625" style="80"/>
    <col min="12543" max="12543" width="0" style="80" hidden="1" customWidth="1"/>
    <col min="12544" max="12544" width="22.28515625" style="80" customWidth="1"/>
    <col min="12545" max="12545" width="17.5703125" style="80" bestFit="1" customWidth="1"/>
    <col min="12546" max="12554" width="15.28515625" style="80" customWidth="1"/>
    <col min="12555" max="12555" width="16" style="80" customWidth="1"/>
    <col min="12556" max="12557" width="0" style="80" hidden="1" customWidth="1"/>
    <col min="12558" max="12798" width="9.140625" style="80"/>
    <col min="12799" max="12799" width="0" style="80" hidden="1" customWidth="1"/>
    <col min="12800" max="12800" width="22.28515625" style="80" customWidth="1"/>
    <col min="12801" max="12801" width="17.5703125" style="80" bestFit="1" customWidth="1"/>
    <col min="12802" max="12810" width="15.28515625" style="80" customWidth="1"/>
    <col min="12811" max="12811" width="16" style="80" customWidth="1"/>
    <col min="12812" max="12813" width="0" style="80" hidden="1" customWidth="1"/>
    <col min="12814" max="13054" width="9.140625" style="80"/>
    <col min="13055" max="13055" width="0" style="80" hidden="1" customWidth="1"/>
    <col min="13056" max="13056" width="22.28515625" style="80" customWidth="1"/>
    <col min="13057" max="13057" width="17.5703125" style="80" bestFit="1" customWidth="1"/>
    <col min="13058" max="13066" width="15.28515625" style="80" customWidth="1"/>
    <col min="13067" max="13067" width="16" style="80" customWidth="1"/>
    <col min="13068" max="13069" width="0" style="80" hidden="1" customWidth="1"/>
    <col min="13070" max="13310" width="9.140625" style="80"/>
    <col min="13311" max="13311" width="0" style="80" hidden="1" customWidth="1"/>
    <col min="13312" max="13312" width="22.28515625" style="80" customWidth="1"/>
    <col min="13313" max="13313" width="17.5703125" style="80" bestFit="1" customWidth="1"/>
    <col min="13314" max="13322" width="15.28515625" style="80" customWidth="1"/>
    <col min="13323" max="13323" width="16" style="80" customWidth="1"/>
    <col min="13324" max="13325" width="0" style="80" hidden="1" customWidth="1"/>
    <col min="13326" max="13566" width="9.140625" style="80"/>
    <col min="13567" max="13567" width="0" style="80" hidden="1" customWidth="1"/>
    <col min="13568" max="13568" width="22.28515625" style="80" customWidth="1"/>
    <col min="13569" max="13569" width="17.5703125" style="80" bestFit="1" customWidth="1"/>
    <col min="13570" max="13578" width="15.28515625" style="80" customWidth="1"/>
    <col min="13579" max="13579" width="16" style="80" customWidth="1"/>
    <col min="13580" max="13581" width="0" style="80" hidden="1" customWidth="1"/>
    <col min="13582" max="13822" width="9.140625" style="80"/>
    <col min="13823" max="13823" width="0" style="80" hidden="1" customWidth="1"/>
    <col min="13824" max="13824" width="22.28515625" style="80" customWidth="1"/>
    <col min="13825" max="13825" width="17.5703125" style="80" bestFit="1" customWidth="1"/>
    <col min="13826" max="13834" width="15.28515625" style="80" customWidth="1"/>
    <col min="13835" max="13835" width="16" style="80" customWidth="1"/>
    <col min="13836" max="13837" width="0" style="80" hidden="1" customWidth="1"/>
    <col min="13838" max="14078" width="9.140625" style="80"/>
    <col min="14079" max="14079" width="0" style="80" hidden="1" customWidth="1"/>
    <col min="14080" max="14080" width="22.28515625" style="80" customWidth="1"/>
    <col min="14081" max="14081" width="17.5703125" style="80" bestFit="1" customWidth="1"/>
    <col min="14082" max="14090" width="15.28515625" style="80" customWidth="1"/>
    <col min="14091" max="14091" width="16" style="80" customWidth="1"/>
    <col min="14092" max="14093" width="0" style="80" hidden="1" customWidth="1"/>
    <col min="14094" max="14334" width="9.140625" style="80"/>
    <col min="14335" max="14335" width="0" style="80" hidden="1" customWidth="1"/>
    <col min="14336" max="14336" width="22.28515625" style="80" customWidth="1"/>
    <col min="14337" max="14337" width="17.5703125" style="80" bestFit="1" customWidth="1"/>
    <col min="14338" max="14346" width="15.28515625" style="80" customWidth="1"/>
    <col min="14347" max="14347" width="16" style="80" customWidth="1"/>
    <col min="14348" max="14349" width="0" style="80" hidden="1" customWidth="1"/>
    <col min="14350" max="14590" width="9.140625" style="80"/>
    <col min="14591" max="14591" width="0" style="80" hidden="1" customWidth="1"/>
    <col min="14592" max="14592" width="22.28515625" style="80" customWidth="1"/>
    <col min="14593" max="14593" width="17.5703125" style="80" bestFit="1" customWidth="1"/>
    <col min="14594" max="14602" width="15.28515625" style="80" customWidth="1"/>
    <col min="14603" max="14603" width="16" style="80" customWidth="1"/>
    <col min="14604" max="14605" width="0" style="80" hidden="1" customWidth="1"/>
    <col min="14606" max="14846" width="9.140625" style="80"/>
    <col min="14847" max="14847" width="0" style="80" hidden="1" customWidth="1"/>
    <col min="14848" max="14848" width="22.28515625" style="80" customWidth="1"/>
    <col min="14849" max="14849" width="17.5703125" style="80" bestFit="1" customWidth="1"/>
    <col min="14850" max="14858" width="15.28515625" style="80" customWidth="1"/>
    <col min="14859" max="14859" width="16" style="80" customWidth="1"/>
    <col min="14860" max="14861" width="0" style="80" hidden="1" customWidth="1"/>
    <col min="14862" max="15102" width="9.140625" style="80"/>
    <col min="15103" max="15103" width="0" style="80" hidden="1" customWidth="1"/>
    <col min="15104" max="15104" width="22.28515625" style="80" customWidth="1"/>
    <col min="15105" max="15105" width="17.5703125" style="80" bestFit="1" customWidth="1"/>
    <col min="15106" max="15114" width="15.28515625" style="80" customWidth="1"/>
    <col min="15115" max="15115" width="16" style="80" customWidth="1"/>
    <col min="15116" max="15117" width="0" style="80" hidden="1" customWidth="1"/>
    <col min="15118" max="15358" width="9.140625" style="80"/>
    <col min="15359" max="15359" width="0" style="80" hidden="1" customWidth="1"/>
    <col min="15360" max="15360" width="22.28515625" style="80" customWidth="1"/>
    <col min="15361" max="15361" width="17.5703125" style="80" bestFit="1" customWidth="1"/>
    <col min="15362" max="15370" width="15.28515625" style="80" customWidth="1"/>
    <col min="15371" max="15371" width="16" style="80" customWidth="1"/>
    <col min="15372" max="15373" width="0" style="80" hidden="1" customWidth="1"/>
    <col min="15374" max="15614" width="9.140625" style="80"/>
    <col min="15615" max="15615" width="0" style="80" hidden="1" customWidth="1"/>
    <col min="15616" max="15616" width="22.28515625" style="80" customWidth="1"/>
    <col min="15617" max="15617" width="17.5703125" style="80" bestFit="1" customWidth="1"/>
    <col min="15618" max="15626" width="15.28515625" style="80" customWidth="1"/>
    <col min="15627" max="15627" width="16" style="80" customWidth="1"/>
    <col min="15628" max="15629" width="0" style="80" hidden="1" customWidth="1"/>
    <col min="15630" max="15870" width="9.140625" style="80"/>
    <col min="15871" max="15871" width="0" style="80" hidden="1" customWidth="1"/>
    <col min="15872" max="15872" width="22.28515625" style="80" customWidth="1"/>
    <col min="15873" max="15873" width="17.5703125" style="80" bestFit="1" customWidth="1"/>
    <col min="15874" max="15882" width="15.28515625" style="80" customWidth="1"/>
    <col min="15883" max="15883" width="16" style="80" customWidth="1"/>
    <col min="15884" max="15885" width="0" style="80" hidden="1" customWidth="1"/>
    <col min="15886" max="16126" width="9.140625" style="80"/>
    <col min="16127" max="16127" width="0" style="80" hidden="1" customWidth="1"/>
    <col min="16128" max="16128" width="22.28515625" style="80" customWidth="1"/>
    <col min="16129" max="16129" width="17.5703125" style="80" bestFit="1" customWidth="1"/>
    <col min="16130" max="16138" width="15.28515625" style="80" customWidth="1"/>
    <col min="16139" max="16139" width="16" style="80" customWidth="1"/>
    <col min="16140" max="16141" width="0" style="80" hidden="1" customWidth="1"/>
    <col min="16142" max="16384" width="9.140625" style="80"/>
  </cols>
  <sheetData>
    <row r="1" spans="1:16" ht="15.75" x14ac:dyDescent="0.25">
      <c r="A1" s="73" t="s">
        <v>58</v>
      </c>
      <c r="B1" s="73"/>
      <c r="C1" s="73"/>
      <c r="D1" s="73"/>
      <c r="E1" s="74"/>
      <c r="F1" s="74"/>
      <c r="G1" s="74"/>
      <c r="H1" s="74"/>
      <c r="I1" s="74"/>
      <c r="J1" s="74"/>
      <c r="K1" s="74"/>
      <c r="L1" s="74"/>
    </row>
    <row r="2" spans="1:16" ht="15" customHeight="1" x14ac:dyDescent="0.25">
      <c r="A2" s="75" t="s">
        <v>59</v>
      </c>
      <c r="B2" s="76"/>
      <c r="C2" s="76"/>
      <c r="D2" s="76"/>
      <c r="E2" s="74"/>
      <c r="F2" s="74"/>
      <c r="G2" s="74"/>
      <c r="H2" s="74"/>
      <c r="I2" s="74"/>
      <c r="J2" s="74"/>
      <c r="K2" s="74"/>
      <c r="L2" s="74"/>
    </row>
    <row r="4" spans="1:16" ht="16.5" x14ac:dyDescent="0.35">
      <c r="A4" s="77" t="s">
        <v>9</v>
      </c>
      <c r="B4" s="77" t="str">
        <f>B25</f>
        <v xml:space="preserve">TRTP All Segments </v>
      </c>
      <c r="C4" s="77" t="str">
        <f>C25</f>
        <v>DCR</v>
      </c>
      <c r="D4" s="77" t="str">
        <f>D25</f>
        <v>Red Bluff</v>
      </c>
      <c r="E4" s="77" t="str">
        <f>E25</f>
        <v>Eldorado-Ivanpah</v>
      </c>
      <c r="F4" s="77" t="str">
        <f>F25</f>
        <v>Lugo-Pisgah</v>
      </c>
      <c r="G4" s="77" t="str">
        <f>G25</f>
        <v>Colorado River</v>
      </c>
      <c r="H4" s="77" t="str">
        <f>H25</f>
        <v>West of Devers</v>
      </c>
      <c r="I4" s="77" t="str">
        <f>I25</f>
        <v>Whirlwind</v>
      </c>
      <c r="J4" s="77" t="str">
        <f>J25</f>
        <v>South of Kramer</v>
      </c>
      <c r="K4" s="77" t="str">
        <f>K25</f>
        <v>Rancho Vista</v>
      </c>
      <c r="L4" s="77" t="str">
        <f>L25</f>
        <v>Coolwater-Lugo</v>
      </c>
      <c r="M4" s="77" t="s">
        <v>10</v>
      </c>
    </row>
    <row r="5" spans="1:16" x14ac:dyDescent="0.25">
      <c r="A5" s="223">
        <v>41609</v>
      </c>
      <c r="B5" s="78">
        <f>B26+B44</f>
        <v>815393483.95000005</v>
      </c>
      <c r="C5" s="78">
        <f>C26+C44</f>
        <v>1912227.5699999947</v>
      </c>
      <c r="D5" s="78">
        <f>D26+D44</f>
        <v>10206388.680000002</v>
      </c>
      <c r="E5" s="78">
        <f>E26+E44</f>
        <v>0</v>
      </c>
      <c r="F5" s="78">
        <f>F26+F44</f>
        <v>0</v>
      </c>
      <c r="G5" s="78">
        <f>G26+G44</f>
        <v>0</v>
      </c>
      <c r="H5" s="78">
        <f>H26+H44</f>
        <v>21116952.730378974</v>
      </c>
      <c r="I5" s="78">
        <f>I26+I44</f>
        <v>21945221.93</v>
      </c>
      <c r="J5" s="78">
        <f>J26+J44</f>
        <v>22710040.250000004</v>
      </c>
      <c r="K5" s="78">
        <f>K26+K44</f>
        <v>-5.3505573305301368E-9</v>
      </c>
      <c r="L5" s="78">
        <f>L26+L44</f>
        <v>0</v>
      </c>
      <c r="M5" s="78">
        <f>SUM(B5:L5)</f>
        <v>893284315.11037898</v>
      </c>
      <c r="O5" s="95"/>
      <c r="P5" s="78"/>
    </row>
    <row r="6" spans="1:16" x14ac:dyDescent="0.25">
      <c r="A6" s="223">
        <f>EOMONTH(A5,0)+1</f>
        <v>41640</v>
      </c>
      <c r="B6" s="78">
        <f>B27+B45</f>
        <v>821728942.24999988</v>
      </c>
      <c r="C6" s="78">
        <f>C27+C45</f>
        <v>1918375.8499999989</v>
      </c>
      <c r="D6" s="78">
        <f>D27+D45</f>
        <v>10725277.860000001</v>
      </c>
      <c r="E6" s="78">
        <f>E27+E45</f>
        <v>0</v>
      </c>
      <c r="F6" s="78">
        <f>F27+F45</f>
        <v>0</v>
      </c>
      <c r="G6" s="78">
        <f>G27+G45</f>
        <v>0</v>
      </c>
      <c r="H6" s="78">
        <f>H27+H45</f>
        <v>25996419.57</v>
      </c>
      <c r="I6" s="78">
        <f>I27+I45</f>
        <v>23379081.609999999</v>
      </c>
      <c r="J6" s="78">
        <f>J27+J45</f>
        <v>22936324.77</v>
      </c>
      <c r="K6" s="78">
        <f>K27+K45</f>
        <v>-5.3505573305301368E-9</v>
      </c>
      <c r="L6" s="78">
        <f>L27+L45</f>
        <v>0</v>
      </c>
      <c r="M6" s="78">
        <f t="shared" ref="M6:M17" si="0">SUM(B6:L6)</f>
        <v>906684421.90999997</v>
      </c>
      <c r="O6" s="95"/>
      <c r="P6" s="78"/>
    </row>
    <row r="7" spans="1:16" x14ac:dyDescent="0.25">
      <c r="A7" s="223">
        <f t="shared" ref="A7:A17" si="1">EOMONTH(A6,0)+1</f>
        <v>41671</v>
      </c>
      <c r="B7" s="78">
        <f>B28+B46</f>
        <v>843012845.49000001</v>
      </c>
      <c r="C7" s="78">
        <f>C28+C46</f>
        <v>213196.69999999457</v>
      </c>
      <c r="D7" s="78">
        <f>D28+D46</f>
        <v>10992774.300000003</v>
      </c>
      <c r="E7" s="78">
        <f>E28+E46</f>
        <v>1.1641532182693481E-10</v>
      </c>
      <c r="F7" s="78">
        <f>F28+F46</f>
        <v>0</v>
      </c>
      <c r="G7" s="78">
        <f>G28+G46</f>
        <v>-2.9103830456733704E-11</v>
      </c>
      <c r="H7" s="78">
        <f>H28+H46</f>
        <v>22025117.050000001</v>
      </c>
      <c r="I7" s="78">
        <f>I28+I46</f>
        <v>24253772.449999999</v>
      </c>
      <c r="J7" s="78">
        <f>J28+J46</f>
        <v>23725483.400000006</v>
      </c>
      <c r="K7" s="78">
        <f>K28+K46</f>
        <v>-5.2001354333697236E-9</v>
      </c>
      <c r="L7" s="78">
        <f>L28+L46</f>
        <v>0</v>
      </c>
      <c r="M7" s="78">
        <f t="shared" si="0"/>
        <v>924223189.38999999</v>
      </c>
      <c r="O7" s="95"/>
      <c r="P7" s="78"/>
    </row>
    <row r="8" spans="1:16" x14ac:dyDescent="0.25">
      <c r="A8" s="223">
        <f t="shared" si="1"/>
        <v>41699</v>
      </c>
      <c r="B8" s="78">
        <f>B29+B47</f>
        <v>858559772.41000021</v>
      </c>
      <c r="C8" s="78">
        <f>C29+C47</f>
        <v>221269.09999999561</v>
      </c>
      <c r="D8" s="78">
        <f>D29+D47</f>
        <v>-276701.66999999981</v>
      </c>
      <c r="E8" s="78">
        <f>E29+E47</f>
        <v>1.1641532182693481E-10</v>
      </c>
      <c r="F8" s="78">
        <f>F29+F47</f>
        <v>0</v>
      </c>
      <c r="G8" s="78">
        <f>G29+G47</f>
        <v>-2.9103830456733704E-11</v>
      </c>
      <c r="H8" s="78">
        <f>H29+H47</f>
        <v>22931308.920000002</v>
      </c>
      <c r="I8" s="78">
        <f>I29+I47</f>
        <v>31505540.850000001</v>
      </c>
      <c r="J8" s="78">
        <f>J29+J47</f>
        <v>24269180.540000007</v>
      </c>
      <c r="K8" s="78">
        <f>K29+K47</f>
        <v>-5.2001354333697236E-9</v>
      </c>
      <c r="L8" s="78">
        <f>L29+L47</f>
        <v>0</v>
      </c>
      <c r="M8" s="78">
        <f t="shared" si="0"/>
        <v>937210370.15000021</v>
      </c>
      <c r="O8" s="95"/>
      <c r="P8" s="78"/>
    </row>
    <row r="9" spans="1:16" x14ac:dyDescent="0.25">
      <c r="A9" s="223">
        <f t="shared" si="1"/>
        <v>41730</v>
      </c>
      <c r="B9" s="78">
        <f>B30+B48</f>
        <v>905283998.85000014</v>
      </c>
      <c r="C9" s="78">
        <f>C30+C48</f>
        <v>234771.38000000024</v>
      </c>
      <c r="D9" s="78">
        <f>D30+D48</f>
        <v>-276701.67</v>
      </c>
      <c r="E9" s="78">
        <f>E30+E48</f>
        <v>0</v>
      </c>
      <c r="F9" s="78">
        <f>F30+F48</f>
        <v>0</v>
      </c>
      <c r="G9" s="78">
        <f>G30+G48</f>
        <v>24713.02</v>
      </c>
      <c r="H9" s="78">
        <f>H30+H48</f>
        <v>23735107.68</v>
      </c>
      <c r="I9" s="78">
        <f>I30+I48</f>
        <v>32902868.18</v>
      </c>
      <c r="J9" s="78">
        <f>J30+J48</f>
        <v>25867286.850000001</v>
      </c>
      <c r="K9" s="78">
        <f>K30+K48</f>
        <v>-5.3505573305301368E-9</v>
      </c>
      <c r="L9" s="78">
        <f>L30+L48</f>
        <v>0</v>
      </c>
      <c r="M9" s="78">
        <f t="shared" si="0"/>
        <v>987772044.29000008</v>
      </c>
      <c r="O9" s="95"/>
      <c r="P9" s="78"/>
    </row>
    <row r="10" spans="1:16" x14ac:dyDescent="0.25">
      <c r="A10" s="223">
        <f t="shared" si="1"/>
        <v>41760</v>
      </c>
      <c r="B10" s="78">
        <f>B31+B49</f>
        <v>931812675.55000031</v>
      </c>
      <c r="C10" s="78">
        <f>C31+C49</f>
        <v>236934.63999999576</v>
      </c>
      <c r="D10" s="78">
        <f>D31+D49</f>
        <v>-123992.55999999982</v>
      </c>
      <c r="E10" s="78">
        <f>E31+E49</f>
        <v>1.1641532182693481E-10</v>
      </c>
      <c r="F10" s="78">
        <f>F31+F49</f>
        <v>0</v>
      </c>
      <c r="G10" s="78">
        <f>G31+G49</f>
        <v>40087.739999999969</v>
      </c>
      <c r="H10" s="78">
        <f>H31+H49</f>
        <v>29716618.060000002</v>
      </c>
      <c r="I10" s="78">
        <f>I31+I49</f>
        <v>34149661.280000001</v>
      </c>
      <c r="J10" s="78">
        <f>J31+J49</f>
        <v>26668005.860000007</v>
      </c>
      <c r="K10" s="78">
        <f>K31+K49</f>
        <v>-5.4329660770235932E-9</v>
      </c>
      <c r="L10" s="78">
        <f>L31+L49</f>
        <v>0</v>
      </c>
      <c r="M10" s="78">
        <f t="shared" si="0"/>
        <v>1022499990.5700003</v>
      </c>
      <c r="O10" s="95"/>
      <c r="P10" s="78"/>
    </row>
    <row r="11" spans="1:16" x14ac:dyDescent="0.25">
      <c r="A11" s="223">
        <f t="shared" si="1"/>
        <v>41791</v>
      </c>
      <c r="B11" s="78">
        <f>B32+B50</f>
        <v>979857275.13000035</v>
      </c>
      <c r="C11" s="78">
        <f>C32+C50</f>
        <v>247181.22999999399</v>
      </c>
      <c r="D11" s="78">
        <f>D32+D50</f>
        <v>-124085.45999999973</v>
      </c>
      <c r="E11" s="78">
        <f>E32+E50</f>
        <v>1.1641532182693481E-10</v>
      </c>
      <c r="F11" s="78">
        <f>F32+F50</f>
        <v>0</v>
      </c>
      <c r="G11" s="78">
        <f>G32+G50</f>
        <v>49102.149999999965</v>
      </c>
      <c r="H11" s="78">
        <f>H32+H50</f>
        <v>30383444.510000013</v>
      </c>
      <c r="I11" s="78">
        <f>I32+I50</f>
        <v>36192763.649999999</v>
      </c>
      <c r="J11" s="78">
        <f>J32+J50</f>
        <v>27553150.060000006</v>
      </c>
      <c r="K11" s="78">
        <f>K32+K50</f>
        <v>-5.4329660770235932E-9</v>
      </c>
      <c r="L11" s="78">
        <f>L32+L50</f>
        <v>0</v>
      </c>
      <c r="M11" s="78">
        <f t="shared" si="0"/>
        <v>1074158831.2700002</v>
      </c>
      <c r="O11" s="95"/>
      <c r="P11" s="78"/>
    </row>
    <row r="12" spans="1:16" x14ac:dyDescent="0.25">
      <c r="A12" s="223">
        <f t="shared" si="1"/>
        <v>41821</v>
      </c>
      <c r="B12" s="78">
        <f>B33+B51</f>
        <v>1025693082.1700001</v>
      </c>
      <c r="C12" s="78">
        <f>C33+C51</f>
        <v>267727.22999999655</v>
      </c>
      <c r="D12" s="78">
        <f>D33+D51</f>
        <v>-124085.45999999973</v>
      </c>
      <c r="E12" s="78">
        <f>E33+E51</f>
        <v>1.1641532182693481E-10</v>
      </c>
      <c r="F12" s="78">
        <f>F33+F51</f>
        <v>0</v>
      </c>
      <c r="G12" s="78">
        <f>G33+G51</f>
        <v>66563.339999999967</v>
      </c>
      <c r="H12" s="78">
        <f>H33+H51</f>
        <v>31073201.720000014</v>
      </c>
      <c r="I12" s="78">
        <f>I33+I51</f>
        <v>36581569.43</v>
      </c>
      <c r="J12" s="78">
        <f>J33+J51</f>
        <v>28348996.580000006</v>
      </c>
      <c r="K12" s="78">
        <f>K33+K51</f>
        <v>-5.4329660770235932E-9</v>
      </c>
      <c r="L12" s="78">
        <f>L33+L51</f>
        <v>0</v>
      </c>
      <c r="M12" s="78">
        <f t="shared" si="0"/>
        <v>1121907055.01</v>
      </c>
      <c r="O12" s="95"/>
      <c r="P12" s="78"/>
    </row>
    <row r="13" spans="1:16" x14ac:dyDescent="0.25">
      <c r="A13" s="223">
        <f t="shared" si="1"/>
        <v>41852</v>
      </c>
      <c r="B13" s="78">
        <f>B34+B52</f>
        <v>1058172765.5500002</v>
      </c>
      <c r="C13" s="78">
        <f>C34+C52</f>
        <v>275063.37999999517</v>
      </c>
      <c r="D13" s="78">
        <f>D34+D52</f>
        <v>-3.5527136788005009E-14</v>
      </c>
      <c r="E13" s="78">
        <f>E34+E52</f>
        <v>1.1641532182693481E-10</v>
      </c>
      <c r="F13" s="78">
        <f>F34+F52</f>
        <v>0</v>
      </c>
      <c r="G13" s="78">
        <f>G34+G52</f>
        <v>126182.85999999999</v>
      </c>
      <c r="H13" s="78">
        <f>H34+H52</f>
        <v>32151695.830000013</v>
      </c>
      <c r="I13" s="78">
        <f>I34+I52</f>
        <v>38691565.920000002</v>
      </c>
      <c r="J13" s="78">
        <f>J34+J52</f>
        <v>29002396.580000006</v>
      </c>
      <c r="K13" s="78">
        <f>K34+K52</f>
        <v>-5.4329660770235932E-9</v>
      </c>
      <c r="L13" s="78">
        <f>L34+L52</f>
        <v>0</v>
      </c>
      <c r="M13" s="78">
        <f t="shared" si="0"/>
        <v>1158419670.1200001</v>
      </c>
      <c r="O13" s="95"/>
      <c r="P13" s="78"/>
    </row>
    <row r="14" spans="1:16" x14ac:dyDescent="0.25">
      <c r="A14" s="223">
        <f t="shared" si="1"/>
        <v>41883</v>
      </c>
      <c r="B14" s="78">
        <f>B35+B53</f>
        <v>1063866324.8200001</v>
      </c>
      <c r="C14" s="78">
        <f>C35+C53</f>
        <v>60801.609999994136</v>
      </c>
      <c r="D14" s="78">
        <f>D35+D53</f>
        <v>165510.53</v>
      </c>
      <c r="E14" s="78">
        <f>E35+E53</f>
        <v>1.1641532182693481E-10</v>
      </c>
      <c r="F14" s="78">
        <f>F35+F53</f>
        <v>0</v>
      </c>
      <c r="G14" s="78">
        <f>G35+G53</f>
        <v>229682.69999999998</v>
      </c>
      <c r="H14" s="78">
        <f>H35+H53</f>
        <v>32740473.240000017</v>
      </c>
      <c r="I14" s="78">
        <f>I35+I53</f>
        <v>39529242.920000009</v>
      </c>
      <c r="J14" s="78">
        <f>J35+J53</f>
        <v>2112749.2800000007</v>
      </c>
      <c r="K14" s="78">
        <f>K35+K53</f>
        <v>-5.4329660770235932E-9</v>
      </c>
      <c r="L14" s="78">
        <f>L35+L53</f>
        <v>27832082.580000006</v>
      </c>
      <c r="M14" s="78">
        <f t="shared" si="0"/>
        <v>1166536867.6800001</v>
      </c>
      <c r="O14" s="95"/>
      <c r="P14" s="78"/>
    </row>
    <row r="15" spans="1:16" x14ac:dyDescent="0.25">
      <c r="A15" s="223">
        <f t="shared" si="1"/>
        <v>41913</v>
      </c>
      <c r="B15" s="78">
        <f>B36+B54</f>
        <v>1149206845.1600003</v>
      </c>
      <c r="C15" s="78">
        <f>C36+C54</f>
        <v>66814.729999995616</v>
      </c>
      <c r="D15" s="78">
        <f>D36+D54</f>
        <v>837279.42</v>
      </c>
      <c r="E15" s="78">
        <f>E36+E54</f>
        <v>1.1641532182693481E-10</v>
      </c>
      <c r="F15" s="78">
        <f>F36+F54</f>
        <v>0</v>
      </c>
      <c r="G15" s="78">
        <f>G36+G54</f>
        <v>381998.6</v>
      </c>
      <c r="H15" s="78">
        <f>H36+H54</f>
        <v>33599327.31000001</v>
      </c>
      <c r="I15" s="78">
        <f>I36+I54</f>
        <v>40248657.790000007</v>
      </c>
      <c r="J15" s="78">
        <f>J36+J54</f>
        <v>2228749.2800000007</v>
      </c>
      <c r="K15" s="78">
        <f>K36+K54</f>
        <v>-5.4329660770235932E-9</v>
      </c>
      <c r="L15" s="78">
        <f>L36+L54</f>
        <v>28743046.230000004</v>
      </c>
      <c r="M15" s="78">
        <f t="shared" si="0"/>
        <v>1255312718.5200002</v>
      </c>
      <c r="O15" s="95"/>
      <c r="P15" s="78"/>
    </row>
    <row r="16" spans="1:16" x14ac:dyDescent="0.25">
      <c r="A16" s="223">
        <f t="shared" si="1"/>
        <v>41944</v>
      </c>
      <c r="B16" s="78">
        <f>B37+B55</f>
        <v>854582842.46000016</v>
      </c>
      <c r="C16" s="78">
        <f>C37+C55</f>
        <v>67409.839999995922</v>
      </c>
      <c r="D16" s="78">
        <f>D37+D55</f>
        <v>1415918.42</v>
      </c>
      <c r="E16" s="78">
        <f>E37+E55</f>
        <v>1.1641532182693481E-10</v>
      </c>
      <c r="F16" s="78">
        <f>F37+F55</f>
        <v>0</v>
      </c>
      <c r="G16" s="78">
        <f>G37+G55</f>
        <v>399664.26</v>
      </c>
      <c r="H16" s="78">
        <f>H37+H55</f>
        <v>34542508.720000006</v>
      </c>
      <c r="I16" s="78">
        <f>I37+I55</f>
        <v>40337902.640000001</v>
      </c>
      <c r="J16" s="78">
        <f>J37+J55</f>
        <v>2228749.2800000007</v>
      </c>
      <c r="K16" s="78">
        <f>K37+K55</f>
        <v>-5.4329660770235932E-9</v>
      </c>
      <c r="L16" s="78">
        <f>L37+L55</f>
        <v>30028774.960000008</v>
      </c>
      <c r="M16" s="78">
        <f t="shared" si="0"/>
        <v>963603770.58000016</v>
      </c>
      <c r="O16" s="95"/>
      <c r="P16" s="78"/>
    </row>
    <row r="17" spans="1:16" ht="16.5" x14ac:dyDescent="0.35">
      <c r="A17" s="223">
        <f t="shared" si="1"/>
        <v>41974</v>
      </c>
      <c r="B17" s="252">
        <f>B38+B56</f>
        <v>680873754.19000018</v>
      </c>
      <c r="C17" s="252">
        <f>C38+C56</f>
        <v>89732.969999994501</v>
      </c>
      <c r="D17" s="252">
        <f>D38+D56</f>
        <v>3445382.67</v>
      </c>
      <c r="E17" s="252">
        <f>E38+E56</f>
        <v>1.1641532182693481E-10</v>
      </c>
      <c r="F17" s="252">
        <f>F38+F56</f>
        <v>0</v>
      </c>
      <c r="G17" s="252">
        <f>G38+G56</f>
        <v>587963.36999999988</v>
      </c>
      <c r="H17" s="252">
        <f>H38+H56</f>
        <v>36074030.560000017</v>
      </c>
      <c r="I17" s="252">
        <f>I38+I56</f>
        <v>23158.43</v>
      </c>
      <c r="J17" s="252">
        <f>J38+J56</f>
        <v>2847715.0100000007</v>
      </c>
      <c r="K17" s="252">
        <f>K38+K56</f>
        <v>-5.4329660770235932E-9</v>
      </c>
      <c r="L17" s="252">
        <f>L38+L56</f>
        <v>32406732.610000007</v>
      </c>
      <c r="M17" s="78">
        <f t="shared" si="0"/>
        <v>756348469.81000018</v>
      </c>
      <c r="O17" s="95"/>
      <c r="P17" s="78"/>
    </row>
    <row r="18" spans="1:16" x14ac:dyDescent="0.25">
      <c r="A18" s="79" t="s">
        <v>67</v>
      </c>
      <c r="B18" s="253">
        <f>AVERAGE(B5:B17)</f>
        <v>922157277.53692317</v>
      </c>
      <c r="C18" s="253">
        <f t="shared" ref="C18:J18" si="2">AVERAGE(C5:C17)</f>
        <v>447038.94076922658</v>
      </c>
      <c r="D18" s="253">
        <f>AVERAGE(D5:D17)</f>
        <v>2835612.6969230776</v>
      </c>
      <c r="E18" s="253">
        <f t="shared" si="2"/>
        <v>8.9550247559180631E-11</v>
      </c>
      <c r="F18" s="253">
        <f t="shared" si="2"/>
        <v>0</v>
      </c>
      <c r="G18" s="253">
        <f t="shared" si="2"/>
        <v>146612.15692307689</v>
      </c>
      <c r="H18" s="253">
        <f t="shared" si="2"/>
        <v>28929708.14618301</v>
      </c>
      <c r="I18" s="253">
        <f t="shared" si="2"/>
        <v>30749308.23692308</v>
      </c>
      <c r="J18" s="253">
        <f t="shared" si="2"/>
        <v>18499909.826153852</v>
      </c>
      <c r="K18" s="253">
        <f t="shared" ref="K18:L18" si="3">AVERAGE(K5:K17)</f>
        <v>-5.3781285749629699E-9</v>
      </c>
      <c r="L18" s="253">
        <f t="shared" si="3"/>
        <v>9154664.3369230796</v>
      </c>
      <c r="M18" s="253">
        <f>AVERAGE(M5:M17)</f>
        <v>1012920131.8777217</v>
      </c>
    </row>
    <row r="19" spans="1:16" x14ac:dyDescent="0.25">
      <c r="B19" s="78"/>
      <c r="C19" s="78"/>
      <c r="D19" s="78"/>
      <c r="E19" s="78"/>
      <c r="F19" s="78"/>
      <c r="G19" s="78"/>
      <c r="H19" s="78"/>
      <c r="I19" s="78"/>
      <c r="J19" s="78"/>
      <c r="K19" s="78"/>
      <c r="L19" s="78"/>
    </row>
    <row r="20" spans="1:16" x14ac:dyDescent="0.25">
      <c r="B20" s="78"/>
      <c r="C20" s="78"/>
      <c r="D20" s="78"/>
      <c r="E20" s="78"/>
      <c r="F20" s="78"/>
      <c r="G20" s="78"/>
      <c r="H20" s="78"/>
      <c r="I20" s="78"/>
      <c r="J20" s="78"/>
      <c r="K20" s="78"/>
      <c r="L20" s="78"/>
      <c r="M20" s="78"/>
    </row>
    <row r="21" spans="1:16" hidden="1" x14ac:dyDescent="0.25">
      <c r="A21" s="224" t="s">
        <v>293</v>
      </c>
      <c r="B21" s="78">
        <f>SUMIFS('Inc CWIP &amp; Plant'!$L:$L,'Inc CWIP &amp; Plant'!$B:$B,TRIM(B4))*1000-B17</f>
        <v>-1166447.6100001335</v>
      </c>
      <c r="C21" s="78">
        <f>SUMIFS('Inc CWIP &amp; Plant'!$L:$L,'Inc CWIP &amp; Plant'!$B:$B,C4)*1000-C17</f>
        <v>7.1449903771281242E-9</v>
      </c>
      <c r="D21" s="78">
        <f>SUMIFS('Inc CWIP &amp; Plant'!$L:$L,'Inc CWIP &amp; Plant'!$B:$B,D4)*1000-D17</f>
        <v>0</v>
      </c>
      <c r="E21" s="296">
        <f>SUMIFS('Inc CWIP &amp; Plant'!$L:$L,'Inc CWIP &amp; Plant'!$B:$B,E4)*1000-E17</f>
        <v>-1.1641532182693481E-10</v>
      </c>
      <c r="F21" s="78">
        <f>SUMIFS('Inc CWIP &amp; Plant'!$L:$L,'Inc CWIP &amp; Plant'!$B:$B,F4)*1000-F17</f>
        <v>0</v>
      </c>
      <c r="G21" s="78">
        <f>SUMIFS('Inc CWIP &amp; Plant'!$L:$L,'Inc CWIP &amp; Plant'!$B:$B,G4)*1000-G17</f>
        <v>0</v>
      </c>
      <c r="H21" s="78">
        <f>SUMIFS('Inc CWIP &amp; Plant'!$L:$L,'Inc CWIP &amp; Plant'!$B:$B,H4)*1000-H17</f>
        <v>0</v>
      </c>
      <c r="I21" s="78">
        <f>SUMIFS('Inc CWIP &amp; Plant'!$L:$L,'Inc CWIP &amp; Plant'!$B:$B,I4)*1000-I17</f>
        <v>0</v>
      </c>
      <c r="J21" s="78">
        <f>SUMIFS('Inc CWIP &amp; Plant'!$L:$L,'Inc CWIP &amp; Plant'!$B:$B,J4)*1000-J17</f>
        <v>32406732.609999988</v>
      </c>
      <c r="K21" s="78">
        <f>SUMIFS('Inc CWIP &amp; Plant'!$L:$L,'Inc CWIP &amp; Plant'!$B:$B,K4)*1000-K17</f>
        <v>5.4329660770235932E-9</v>
      </c>
      <c r="L21" s="78">
        <f>SUMIFS('Inc CWIP &amp; Plant'!$L:$L,'Inc CWIP &amp; Plant'!$B:$B,L4)*1000-L17</f>
        <v>-32406732.610000007</v>
      </c>
      <c r="M21" s="105"/>
    </row>
    <row r="22" spans="1:16" hidden="1" x14ac:dyDescent="0.25">
      <c r="J22" s="265"/>
      <c r="L22" s="78"/>
    </row>
    <row r="23" spans="1:16" hidden="1" x14ac:dyDescent="0.25">
      <c r="J23" s="78"/>
    </row>
    <row r="24" spans="1:16" hidden="1" x14ac:dyDescent="0.25">
      <c r="A24" s="92" t="s">
        <v>290</v>
      </c>
    </row>
    <row r="25" spans="1:16" hidden="1" x14ac:dyDescent="0.25">
      <c r="A25" s="80" t="s">
        <v>9</v>
      </c>
      <c r="B25" s="80" t="s">
        <v>60</v>
      </c>
      <c r="C25" s="80" t="s">
        <v>61</v>
      </c>
      <c r="D25" s="80" t="s">
        <v>62</v>
      </c>
      <c r="E25" s="80" t="s">
        <v>63</v>
      </c>
      <c r="F25" s="80" t="s">
        <v>42</v>
      </c>
      <c r="G25" s="80" t="s">
        <v>64</v>
      </c>
      <c r="H25" s="80" t="s">
        <v>43</v>
      </c>
      <c r="I25" s="80" t="s">
        <v>65</v>
      </c>
      <c r="J25" s="80" t="s">
        <v>66</v>
      </c>
      <c r="K25" s="80" t="s">
        <v>53</v>
      </c>
      <c r="L25" s="80" t="s">
        <v>294</v>
      </c>
      <c r="M25" s="80" t="s">
        <v>10</v>
      </c>
    </row>
    <row r="26" spans="1:16" hidden="1" x14ac:dyDescent="0.25">
      <c r="A26" s="223">
        <f>A5</f>
        <v>41609</v>
      </c>
      <c r="B26" s="91">
        <v>815393483.95000005</v>
      </c>
      <c r="C26" s="91">
        <v>1912227.5699999947</v>
      </c>
      <c r="D26" s="91">
        <v>10206388.680000002</v>
      </c>
      <c r="E26" s="91">
        <v>0</v>
      </c>
      <c r="F26" s="91">
        <v>0</v>
      </c>
      <c r="G26" s="91">
        <v>0</v>
      </c>
      <c r="H26" s="91">
        <v>21116952.730378974</v>
      </c>
      <c r="I26" s="91">
        <v>21945221.93</v>
      </c>
      <c r="J26" s="91">
        <v>22710040.250000004</v>
      </c>
      <c r="K26" s="91">
        <v>-5.3505573305301368E-9</v>
      </c>
      <c r="L26" s="91">
        <v>0</v>
      </c>
      <c r="M26" s="91">
        <f>SUM(B26:L26)</f>
        <v>893284315.11037898</v>
      </c>
    </row>
    <row r="27" spans="1:16" hidden="1" x14ac:dyDescent="0.25">
      <c r="A27" s="223">
        <f>EOMONTH(A26,0)+1</f>
        <v>41640</v>
      </c>
      <c r="B27" s="91">
        <v>821728942.24999988</v>
      </c>
      <c r="C27" s="91">
        <v>1918375.8499999989</v>
      </c>
      <c r="D27" s="91">
        <v>10725277.860000001</v>
      </c>
      <c r="E27" s="91">
        <v>0</v>
      </c>
      <c r="F27" s="91">
        <v>0</v>
      </c>
      <c r="G27" s="91">
        <v>0</v>
      </c>
      <c r="H27" s="91">
        <v>25996419.57</v>
      </c>
      <c r="I27" s="91">
        <v>23379081.609999999</v>
      </c>
      <c r="J27" s="91">
        <v>22936324.77</v>
      </c>
      <c r="K27" s="91">
        <v>-5.3505573305301368E-9</v>
      </c>
      <c r="L27" s="91">
        <v>0</v>
      </c>
      <c r="M27" s="91">
        <f t="shared" ref="M27:M38" si="4">SUM(B27:L27)</f>
        <v>906684421.90999997</v>
      </c>
    </row>
    <row r="28" spans="1:16" hidden="1" x14ac:dyDescent="0.25">
      <c r="A28" s="223">
        <f t="shared" ref="A28:A38" si="5">EOMONTH(A27,0)+1</f>
        <v>41671</v>
      </c>
      <c r="B28" s="91">
        <v>843012845.49000001</v>
      </c>
      <c r="C28" s="91">
        <v>213196.69999999457</v>
      </c>
      <c r="D28" s="91">
        <v>10992774.300000003</v>
      </c>
      <c r="E28" s="91">
        <v>1.1641532182693481E-10</v>
      </c>
      <c r="F28" s="91">
        <v>0</v>
      </c>
      <c r="G28" s="91">
        <v>-2.9103830456733704E-11</v>
      </c>
      <c r="H28" s="91">
        <v>22025117.050000001</v>
      </c>
      <c r="I28" s="91">
        <v>24253772.449999999</v>
      </c>
      <c r="J28" s="91">
        <v>23725483.400000006</v>
      </c>
      <c r="K28" s="91">
        <v>-5.2001354333697236E-9</v>
      </c>
      <c r="L28" s="91">
        <v>0</v>
      </c>
      <c r="M28" s="91">
        <f t="shared" si="4"/>
        <v>924223189.38999999</v>
      </c>
    </row>
    <row r="29" spans="1:16" hidden="1" x14ac:dyDescent="0.25">
      <c r="A29" s="223">
        <f t="shared" si="5"/>
        <v>41699</v>
      </c>
      <c r="B29" s="91">
        <v>858559772.41000021</v>
      </c>
      <c r="C29" s="91">
        <v>221269.09999999561</v>
      </c>
      <c r="D29" s="91">
        <v>-276701.66999999981</v>
      </c>
      <c r="E29" s="91">
        <v>1.1641532182693481E-10</v>
      </c>
      <c r="F29" s="91">
        <v>0</v>
      </c>
      <c r="G29" s="91">
        <v>-2.9103830456733704E-11</v>
      </c>
      <c r="H29" s="91">
        <v>22931308.920000002</v>
      </c>
      <c r="I29" s="91">
        <v>31505540.850000001</v>
      </c>
      <c r="J29" s="91">
        <v>24269180.540000007</v>
      </c>
      <c r="K29" s="91">
        <v>-5.2001354333697236E-9</v>
      </c>
      <c r="L29" s="91">
        <v>0</v>
      </c>
      <c r="M29" s="91">
        <f t="shared" si="4"/>
        <v>937210370.15000021</v>
      </c>
    </row>
    <row r="30" spans="1:16" hidden="1" x14ac:dyDescent="0.25">
      <c r="A30" s="223">
        <f t="shared" si="5"/>
        <v>41730</v>
      </c>
      <c r="B30" s="91">
        <v>905283998.85000014</v>
      </c>
      <c r="C30" s="91">
        <v>234771.38000000024</v>
      </c>
      <c r="D30" s="91">
        <v>-276701.67</v>
      </c>
      <c r="E30" s="91">
        <v>0</v>
      </c>
      <c r="F30" s="91">
        <v>0</v>
      </c>
      <c r="G30" s="91">
        <v>24713.02</v>
      </c>
      <c r="H30" s="91">
        <v>23735107.68</v>
      </c>
      <c r="I30" s="91">
        <v>32902868.18</v>
      </c>
      <c r="J30" s="91">
        <v>25867286.850000001</v>
      </c>
      <c r="K30" s="91">
        <v>-5.3505573305301368E-9</v>
      </c>
      <c r="L30" s="91">
        <v>0</v>
      </c>
      <c r="M30" s="91">
        <f t="shared" si="4"/>
        <v>987772044.29000008</v>
      </c>
    </row>
    <row r="31" spans="1:16" hidden="1" x14ac:dyDescent="0.25">
      <c r="A31" s="223">
        <f t="shared" si="5"/>
        <v>41760</v>
      </c>
      <c r="B31" s="91">
        <v>931812675.55000031</v>
      </c>
      <c r="C31" s="91">
        <v>236934.63999999576</v>
      </c>
      <c r="D31" s="91">
        <v>-123992.55999999982</v>
      </c>
      <c r="E31" s="91">
        <v>1.1641532182693481E-10</v>
      </c>
      <c r="F31" s="91">
        <v>0</v>
      </c>
      <c r="G31" s="91">
        <v>40087.739999999969</v>
      </c>
      <c r="H31" s="91">
        <v>29716618.060000002</v>
      </c>
      <c r="I31" s="91">
        <v>34149661.280000001</v>
      </c>
      <c r="J31" s="91">
        <v>26668005.860000007</v>
      </c>
      <c r="K31" s="91">
        <v>-5.4329660770235932E-9</v>
      </c>
      <c r="L31" s="91">
        <v>0</v>
      </c>
      <c r="M31" s="91">
        <f t="shared" si="4"/>
        <v>1022499990.5700003</v>
      </c>
    </row>
    <row r="32" spans="1:16" hidden="1" x14ac:dyDescent="0.25">
      <c r="A32" s="223">
        <f t="shared" si="5"/>
        <v>41791</v>
      </c>
      <c r="B32" s="91">
        <v>979857275.13000035</v>
      </c>
      <c r="C32" s="91">
        <v>247181.22999999399</v>
      </c>
      <c r="D32" s="91">
        <v>-124085.45999999973</v>
      </c>
      <c r="E32" s="91">
        <v>1.1641532182693481E-10</v>
      </c>
      <c r="F32" s="91">
        <v>0</v>
      </c>
      <c r="G32" s="91">
        <v>49102.149999999965</v>
      </c>
      <c r="H32" s="91">
        <v>30383444.510000013</v>
      </c>
      <c r="I32" s="91">
        <v>36192763.649999999</v>
      </c>
      <c r="J32" s="91">
        <v>27553150.060000006</v>
      </c>
      <c r="K32" s="91">
        <v>-5.4329660770235932E-9</v>
      </c>
      <c r="L32" s="91">
        <v>0</v>
      </c>
      <c r="M32" s="91">
        <f t="shared" si="4"/>
        <v>1074158831.2700002</v>
      </c>
    </row>
    <row r="33" spans="1:13" hidden="1" x14ac:dyDescent="0.25">
      <c r="A33" s="223">
        <f t="shared" si="5"/>
        <v>41821</v>
      </c>
      <c r="B33" s="91">
        <v>1025693082.1700001</v>
      </c>
      <c r="C33" s="91">
        <v>267727.22999999655</v>
      </c>
      <c r="D33" s="91">
        <v>-124085.45999999973</v>
      </c>
      <c r="E33" s="91">
        <v>1.1641532182693481E-10</v>
      </c>
      <c r="F33" s="91">
        <v>0</v>
      </c>
      <c r="G33" s="91">
        <v>66563.339999999967</v>
      </c>
      <c r="H33" s="91">
        <v>31073201.720000014</v>
      </c>
      <c r="I33" s="91">
        <v>36581569.43</v>
      </c>
      <c r="J33" s="91">
        <v>28348996.580000006</v>
      </c>
      <c r="K33" s="91">
        <v>-5.4329660770235932E-9</v>
      </c>
      <c r="L33" s="91">
        <v>0</v>
      </c>
      <c r="M33" s="91">
        <f t="shared" si="4"/>
        <v>1121907055.01</v>
      </c>
    </row>
    <row r="34" spans="1:13" hidden="1" x14ac:dyDescent="0.25">
      <c r="A34" s="223">
        <f t="shared" si="5"/>
        <v>41852</v>
      </c>
      <c r="B34" s="91">
        <v>1058172765.5500002</v>
      </c>
      <c r="C34" s="91">
        <v>275063.37999999517</v>
      </c>
      <c r="D34" s="91">
        <v>-3.5527136788005009E-14</v>
      </c>
      <c r="E34" s="91">
        <v>1.1641532182693481E-10</v>
      </c>
      <c r="F34" s="91">
        <v>0</v>
      </c>
      <c r="G34" s="91">
        <v>126182.85999999999</v>
      </c>
      <c r="H34" s="91">
        <v>32151695.830000013</v>
      </c>
      <c r="I34" s="91">
        <v>38691565.920000002</v>
      </c>
      <c r="J34" s="91">
        <v>29002396.580000006</v>
      </c>
      <c r="K34" s="91">
        <v>-5.4329660770235932E-9</v>
      </c>
      <c r="L34" s="91">
        <v>0</v>
      </c>
      <c r="M34" s="91">
        <f t="shared" si="4"/>
        <v>1158419670.1200001</v>
      </c>
    </row>
    <row r="35" spans="1:13" hidden="1" x14ac:dyDescent="0.25">
      <c r="A35" s="223">
        <f t="shared" si="5"/>
        <v>41883</v>
      </c>
      <c r="B35" s="91">
        <v>1063866324.8200001</v>
      </c>
      <c r="C35" s="91">
        <v>60801.609999994136</v>
      </c>
      <c r="D35" s="91">
        <v>165510.53</v>
      </c>
      <c r="E35" s="91">
        <v>1.1641532182693481E-10</v>
      </c>
      <c r="F35" s="91">
        <v>0</v>
      </c>
      <c r="G35" s="91">
        <v>229682.69999999998</v>
      </c>
      <c r="H35" s="91">
        <v>32740473.240000017</v>
      </c>
      <c r="I35" s="91">
        <v>39529242.920000009</v>
      </c>
      <c r="J35" s="91">
        <v>2112749.2800000007</v>
      </c>
      <c r="K35" s="91">
        <v>-5.4329660770235932E-9</v>
      </c>
      <c r="L35" s="91">
        <v>27832082.580000006</v>
      </c>
      <c r="M35" s="91">
        <f t="shared" si="4"/>
        <v>1166536867.6800001</v>
      </c>
    </row>
    <row r="36" spans="1:13" hidden="1" x14ac:dyDescent="0.25">
      <c r="A36" s="223">
        <f t="shared" si="5"/>
        <v>41913</v>
      </c>
      <c r="B36" s="91">
        <v>1149206845.1600003</v>
      </c>
      <c r="C36" s="91">
        <v>66814.729999995616</v>
      </c>
      <c r="D36" s="91">
        <v>837279.42</v>
      </c>
      <c r="E36" s="91">
        <v>1.1641532182693481E-10</v>
      </c>
      <c r="F36" s="91">
        <v>0</v>
      </c>
      <c r="G36" s="91">
        <v>381998.6</v>
      </c>
      <c r="H36" s="91">
        <v>33599327.31000001</v>
      </c>
      <c r="I36" s="91">
        <v>40248657.790000007</v>
      </c>
      <c r="J36" s="91">
        <v>2228749.2800000007</v>
      </c>
      <c r="K36" s="91">
        <v>-5.4329660770235932E-9</v>
      </c>
      <c r="L36" s="91">
        <v>28743046.230000004</v>
      </c>
      <c r="M36" s="91">
        <f t="shared" si="4"/>
        <v>1255312718.5200002</v>
      </c>
    </row>
    <row r="37" spans="1:13" hidden="1" x14ac:dyDescent="0.25">
      <c r="A37" s="223">
        <f t="shared" si="5"/>
        <v>41944</v>
      </c>
      <c r="B37" s="91">
        <v>854582842.46000016</v>
      </c>
      <c r="C37" s="91">
        <v>67409.839999995922</v>
      </c>
      <c r="D37" s="91">
        <v>1415918.42</v>
      </c>
      <c r="E37" s="91">
        <v>1.1641532182693481E-10</v>
      </c>
      <c r="F37" s="91">
        <v>0</v>
      </c>
      <c r="G37" s="91">
        <v>399664.26</v>
      </c>
      <c r="H37" s="91">
        <v>34542508.720000006</v>
      </c>
      <c r="I37" s="91">
        <v>40337902.640000001</v>
      </c>
      <c r="J37" s="91">
        <v>2228749.2800000007</v>
      </c>
      <c r="K37" s="91">
        <v>-5.4329660770235932E-9</v>
      </c>
      <c r="L37" s="91">
        <v>30028774.960000008</v>
      </c>
      <c r="M37" s="91">
        <f t="shared" si="4"/>
        <v>963603770.58000016</v>
      </c>
    </row>
    <row r="38" spans="1:13" hidden="1" x14ac:dyDescent="0.25">
      <c r="A38" s="223">
        <f t="shared" si="5"/>
        <v>41974</v>
      </c>
      <c r="B38" s="91">
        <v>680873754.19000018</v>
      </c>
      <c r="C38" s="91">
        <v>89732.969999994501</v>
      </c>
      <c r="D38" s="91">
        <v>3445382.67</v>
      </c>
      <c r="E38" s="91">
        <v>1.1641532182693481E-10</v>
      </c>
      <c r="F38" s="91">
        <v>0</v>
      </c>
      <c r="G38" s="91">
        <v>587963.36999999988</v>
      </c>
      <c r="H38" s="91">
        <v>36074030.560000017</v>
      </c>
      <c r="I38" s="91">
        <v>23158.43</v>
      </c>
      <c r="J38" s="91">
        <v>2847715.0100000007</v>
      </c>
      <c r="K38" s="91">
        <v>-5.4329660770235932E-9</v>
      </c>
      <c r="L38" s="91">
        <v>32406732.610000007</v>
      </c>
      <c r="M38" s="91">
        <f t="shared" si="4"/>
        <v>756348469.81000018</v>
      </c>
    </row>
    <row r="39" spans="1:13" hidden="1" x14ac:dyDescent="0.25"/>
    <row r="40" spans="1:13" hidden="1" x14ac:dyDescent="0.25"/>
    <row r="41" spans="1:13" hidden="1" x14ac:dyDescent="0.25">
      <c r="C41" s="94"/>
    </row>
    <row r="42" spans="1:13" hidden="1" x14ac:dyDescent="0.25">
      <c r="A42" s="92" t="s">
        <v>291</v>
      </c>
    </row>
    <row r="43" spans="1:13" hidden="1" x14ac:dyDescent="0.25">
      <c r="A43" s="80" t="s">
        <v>9</v>
      </c>
      <c r="B43" s="93" t="s">
        <v>60</v>
      </c>
      <c r="C43" s="93" t="s">
        <v>61</v>
      </c>
      <c r="D43" s="93" t="s">
        <v>62</v>
      </c>
      <c r="E43" s="93" t="s">
        <v>63</v>
      </c>
      <c r="F43" s="93" t="s">
        <v>42</v>
      </c>
      <c r="G43" s="93" t="s">
        <v>64</v>
      </c>
      <c r="H43" s="93" t="s">
        <v>43</v>
      </c>
      <c r="I43" s="93" t="s">
        <v>65</v>
      </c>
      <c r="J43" s="93" t="s">
        <v>66</v>
      </c>
      <c r="K43" s="93" t="s">
        <v>53</v>
      </c>
      <c r="L43" s="93"/>
      <c r="M43" s="93" t="s">
        <v>10</v>
      </c>
    </row>
    <row r="44" spans="1:13" hidden="1" x14ac:dyDescent="0.25">
      <c r="A44" s="223">
        <f>A26</f>
        <v>41609</v>
      </c>
      <c r="B44" s="91"/>
      <c r="C44" s="91"/>
      <c r="D44" s="91"/>
      <c r="E44" s="91"/>
      <c r="F44" s="91"/>
      <c r="G44" s="91"/>
      <c r="H44" s="91"/>
      <c r="I44" s="91"/>
      <c r="J44" s="91"/>
      <c r="K44" s="91"/>
      <c r="L44" s="91"/>
      <c r="M44" s="91"/>
    </row>
    <row r="45" spans="1:13" hidden="1" x14ac:dyDescent="0.25">
      <c r="A45" s="223">
        <f>EOMONTH(A44,0)+1</f>
        <v>41640</v>
      </c>
      <c r="B45" s="91"/>
      <c r="C45" s="91"/>
      <c r="D45" s="91"/>
      <c r="E45" s="91"/>
      <c r="F45" s="91"/>
      <c r="G45" s="91"/>
      <c r="H45" s="91"/>
      <c r="I45" s="91"/>
      <c r="J45" s="91"/>
      <c r="K45" s="91"/>
      <c r="L45" s="91"/>
      <c r="M45" s="91"/>
    </row>
    <row r="46" spans="1:13" hidden="1" x14ac:dyDescent="0.25">
      <c r="A46" s="223">
        <f t="shared" ref="A46:A56" si="6">EOMONTH(A45,0)+1</f>
        <v>41671</v>
      </c>
      <c r="B46" s="91"/>
      <c r="C46" s="91"/>
      <c r="D46" s="91"/>
      <c r="E46" s="91"/>
      <c r="F46" s="91"/>
      <c r="G46" s="91"/>
      <c r="H46" s="91"/>
      <c r="I46" s="91"/>
      <c r="J46" s="91"/>
      <c r="K46" s="91"/>
      <c r="L46" s="91"/>
      <c r="M46" s="91"/>
    </row>
    <row r="47" spans="1:13" hidden="1" x14ac:dyDescent="0.25">
      <c r="A47" s="223">
        <f t="shared" si="6"/>
        <v>41699</v>
      </c>
      <c r="B47" s="91"/>
      <c r="C47" s="91"/>
      <c r="D47" s="91"/>
      <c r="E47" s="91"/>
      <c r="F47" s="91"/>
      <c r="G47" s="91"/>
      <c r="H47" s="91"/>
      <c r="I47" s="91"/>
      <c r="J47" s="91"/>
      <c r="K47" s="91"/>
      <c r="L47" s="91"/>
      <c r="M47" s="91"/>
    </row>
    <row r="48" spans="1:13" hidden="1" x14ac:dyDescent="0.25">
      <c r="A48" s="223">
        <f t="shared" si="6"/>
        <v>41730</v>
      </c>
      <c r="B48" s="91"/>
      <c r="C48" s="91"/>
      <c r="D48" s="91"/>
      <c r="E48" s="91"/>
      <c r="F48" s="91"/>
      <c r="G48" s="91"/>
      <c r="H48" s="91"/>
      <c r="I48" s="91"/>
      <c r="J48" s="91"/>
      <c r="K48" s="91"/>
      <c r="L48" s="91"/>
      <c r="M48" s="91"/>
    </row>
    <row r="49" spans="1:13" hidden="1" x14ac:dyDescent="0.25">
      <c r="A49" s="223">
        <f t="shared" si="6"/>
        <v>41760</v>
      </c>
      <c r="B49" s="91"/>
      <c r="C49" s="91"/>
      <c r="D49" s="91"/>
      <c r="E49" s="91"/>
      <c r="F49" s="91"/>
      <c r="G49" s="91"/>
      <c r="H49" s="91"/>
      <c r="I49" s="91"/>
      <c r="J49" s="91"/>
      <c r="K49" s="91"/>
      <c r="L49" s="91"/>
      <c r="M49" s="91"/>
    </row>
    <row r="50" spans="1:13" hidden="1" x14ac:dyDescent="0.25">
      <c r="A50" s="223">
        <f t="shared" si="6"/>
        <v>41791</v>
      </c>
      <c r="B50" s="91"/>
      <c r="C50" s="91"/>
      <c r="D50" s="91"/>
      <c r="E50" s="91"/>
      <c r="F50" s="91"/>
      <c r="G50" s="91"/>
      <c r="H50" s="91"/>
      <c r="I50" s="91"/>
      <c r="J50" s="91"/>
      <c r="K50" s="91"/>
      <c r="L50" s="91"/>
      <c r="M50" s="91"/>
    </row>
    <row r="51" spans="1:13" hidden="1" x14ac:dyDescent="0.25">
      <c r="A51" s="223">
        <f t="shared" si="6"/>
        <v>41821</v>
      </c>
      <c r="B51" s="91"/>
      <c r="C51" s="91"/>
      <c r="D51" s="91"/>
      <c r="E51" s="91"/>
      <c r="F51" s="91"/>
      <c r="G51" s="91"/>
      <c r="H51" s="91"/>
      <c r="I51" s="91"/>
      <c r="J51" s="91"/>
      <c r="K51" s="91"/>
      <c r="L51" s="91"/>
      <c r="M51" s="91"/>
    </row>
    <row r="52" spans="1:13" hidden="1" x14ac:dyDescent="0.25">
      <c r="A52" s="223">
        <f t="shared" si="6"/>
        <v>41852</v>
      </c>
      <c r="B52" s="91"/>
      <c r="C52" s="91"/>
      <c r="D52" s="91"/>
      <c r="E52" s="91"/>
      <c r="F52" s="91"/>
      <c r="G52" s="91"/>
      <c r="H52" s="91"/>
      <c r="I52" s="91"/>
      <c r="J52" s="91"/>
      <c r="K52" s="91"/>
      <c r="L52" s="91"/>
      <c r="M52" s="91"/>
    </row>
    <row r="53" spans="1:13" hidden="1" x14ac:dyDescent="0.25">
      <c r="A53" s="223">
        <f t="shared" si="6"/>
        <v>41883</v>
      </c>
      <c r="B53" s="91"/>
      <c r="C53" s="91"/>
      <c r="D53" s="91"/>
      <c r="E53" s="91"/>
      <c r="F53" s="91"/>
      <c r="G53" s="91"/>
      <c r="H53" s="91"/>
      <c r="I53" s="91"/>
      <c r="J53" s="91"/>
      <c r="K53" s="91"/>
      <c r="L53" s="91"/>
      <c r="M53" s="91"/>
    </row>
    <row r="54" spans="1:13" hidden="1" x14ac:dyDescent="0.25">
      <c r="A54" s="223">
        <f t="shared" si="6"/>
        <v>41913</v>
      </c>
      <c r="B54" s="91"/>
      <c r="C54" s="91"/>
      <c r="D54" s="91"/>
      <c r="E54" s="91"/>
      <c r="F54" s="91"/>
      <c r="G54" s="91"/>
      <c r="H54" s="91"/>
      <c r="I54" s="91"/>
      <c r="J54" s="91"/>
      <c r="K54" s="91"/>
      <c r="L54" s="91"/>
      <c r="M54" s="91"/>
    </row>
    <row r="55" spans="1:13" hidden="1" x14ac:dyDescent="0.25">
      <c r="A55" s="223">
        <f t="shared" si="6"/>
        <v>41944</v>
      </c>
      <c r="B55" s="91"/>
      <c r="C55" s="91"/>
      <c r="D55" s="91"/>
      <c r="E55" s="91"/>
      <c r="F55" s="91"/>
      <c r="G55" s="91"/>
      <c r="H55" s="91"/>
      <c r="I55" s="91"/>
      <c r="J55" s="91"/>
      <c r="K55" s="91"/>
      <c r="L55" s="91"/>
      <c r="M55" s="91"/>
    </row>
    <row r="56" spans="1:13" hidden="1" x14ac:dyDescent="0.25">
      <c r="A56" s="223">
        <f t="shared" si="6"/>
        <v>41974</v>
      </c>
      <c r="B56" s="91"/>
      <c r="D56" s="91"/>
      <c r="E56" s="91"/>
      <c r="F56" s="91"/>
      <c r="G56" s="91"/>
      <c r="H56" s="91"/>
      <c r="I56" s="91"/>
      <c r="J56" s="91"/>
      <c r="K56" s="91"/>
      <c r="L56" s="91"/>
      <c r="M56" s="91"/>
    </row>
    <row r="60" spans="1:13" x14ac:dyDescent="0.25">
      <c r="B60" s="93"/>
      <c r="C60" s="93"/>
      <c r="D60" s="93"/>
      <c r="E60" s="93"/>
      <c r="F60" s="93"/>
      <c r="G60" s="93"/>
      <c r="H60" s="93"/>
      <c r="I60" s="93"/>
      <c r="J60" s="93"/>
      <c r="K60" s="93"/>
      <c r="L60" s="93"/>
      <c r="M60" s="93"/>
    </row>
    <row r="61" spans="1:13" x14ac:dyDescent="0.25">
      <c r="B61" s="94"/>
      <c r="C61" s="94"/>
      <c r="D61" s="94"/>
      <c r="E61" s="94"/>
      <c r="F61" s="94"/>
      <c r="G61" s="94"/>
      <c r="H61" s="94"/>
      <c r="I61" s="94"/>
      <c r="J61" s="94"/>
      <c r="K61" s="94"/>
      <c r="L61" s="94"/>
      <c r="M61" s="94"/>
    </row>
    <row r="62" spans="1:13" x14ac:dyDescent="0.25">
      <c r="B62" s="94"/>
      <c r="C62" s="94"/>
      <c r="D62" s="94"/>
      <c r="E62" s="94"/>
      <c r="F62" s="94"/>
      <c r="G62" s="94"/>
      <c r="H62" s="94"/>
      <c r="I62" s="94"/>
      <c r="J62" s="94"/>
      <c r="K62" s="94"/>
      <c r="L62" s="94"/>
      <c r="M62" s="94"/>
    </row>
    <row r="63" spans="1:13" x14ac:dyDescent="0.25">
      <c r="B63" s="94"/>
      <c r="C63" s="94"/>
      <c r="D63" s="94"/>
      <c r="E63" s="94"/>
      <c r="F63" s="94"/>
      <c r="G63" s="94"/>
      <c r="H63" s="94"/>
      <c r="I63" s="94"/>
      <c r="J63" s="94"/>
      <c r="K63" s="94"/>
      <c r="L63" s="94"/>
      <c r="M63" s="94"/>
    </row>
    <row r="64" spans="1:13" x14ac:dyDescent="0.25">
      <c r="B64" s="94"/>
      <c r="C64" s="94"/>
      <c r="D64" s="94"/>
      <c r="E64" s="94"/>
      <c r="F64" s="94"/>
      <c r="G64" s="94"/>
      <c r="H64" s="94"/>
      <c r="I64" s="94"/>
      <c r="J64" s="94"/>
      <c r="K64" s="94"/>
      <c r="L64" s="94"/>
      <c r="M64" s="94"/>
    </row>
    <row r="65" spans="2:13" x14ac:dyDescent="0.25">
      <c r="B65" s="94"/>
      <c r="C65" s="94"/>
      <c r="D65" s="94"/>
      <c r="E65" s="94"/>
      <c r="F65" s="94"/>
      <c r="G65" s="94"/>
      <c r="H65" s="94"/>
      <c r="I65" s="94"/>
      <c r="J65" s="94"/>
      <c r="K65" s="94"/>
      <c r="L65" s="94"/>
      <c r="M65" s="94"/>
    </row>
    <row r="66" spans="2:13" x14ac:dyDescent="0.25">
      <c r="B66" s="94"/>
      <c r="C66" s="94"/>
      <c r="D66" s="94"/>
      <c r="E66" s="94"/>
      <c r="F66" s="94"/>
      <c r="G66" s="94"/>
      <c r="H66" s="94"/>
      <c r="I66" s="94"/>
      <c r="J66" s="94"/>
      <c r="K66" s="94"/>
      <c r="L66" s="94"/>
      <c r="M66" s="94"/>
    </row>
    <row r="67" spans="2:13" x14ac:dyDescent="0.25">
      <c r="B67" s="94"/>
      <c r="C67" s="94"/>
      <c r="D67" s="94"/>
      <c r="E67" s="94"/>
      <c r="F67" s="94"/>
      <c r="G67" s="94"/>
      <c r="H67" s="94"/>
      <c r="I67" s="94"/>
      <c r="J67" s="94"/>
      <c r="K67" s="94"/>
      <c r="L67" s="94"/>
      <c r="M67" s="94"/>
    </row>
    <row r="68" spans="2:13" x14ac:dyDescent="0.25">
      <c r="B68" s="94"/>
      <c r="C68" s="94"/>
      <c r="D68" s="94"/>
      <c r="E68" s="94"/>
      <c r="F68" s="94"/>
      <c r="G68" s="94"/>
      <c r="H68" s="94"/>
      <c r="I68" s="94"/>
      <c r="J68" s="94"/>
      <c r="K68" s="94"/>
      <c r="L68" s="94"/>
      <c r="M68" s="94"/>
    </row>
    <row r="69" spans="2:13" x14ac:dyDescent="0.25">
      <c r="B69" s="94"/>
      <c r="C69" s="94"/>
      <c r="D69" s="94"/>
      <c r="E69" s="94"/>
      <c r="F69" s="94"/>
      <c r="G69" s="94"/>
      <c r="H69" s="94"/>
      <c r="I69" s="94"/>
      <c r="J69" s="94"/>
      <c r="K69" s="94"/>
      <c r="L69" s="94"/>
      <c r="M69" s="94"/>
    </row>
    <row r="70" spans="2:13" x14ac:dyDescent="0.25">
      <c r="B70" s="94"/>
      <c r="C70" s="94"/>
      <c r="D70" s="94"/>
      <c r="E70" s="94"/>
      <c r="F70" s="94"/>
      <c r="G70" s="94"/>
      <c r="H70" s="94"/>
      <c r="I70" s="94"/>
      <c r="J70" s="94"/>
      <c r="K70" s="94"/>
      <c r="L70" s="94"/>
      <c r="M70" s="94"/>
    </row>
    <row r="71" spans="2:13" x14ac:dyDescent="0.25">
      <c r="B71" s="94"/>
      <c r="C71" s="94"/>
      <c r="D71" s="94"/>
      <c r="E71" s="94"/>
      <c r="F71" s="94"/>
      <c r="G71" s="94"/>
      <c r="H71" s="94"/>
      <c r="I71" s="94"/>
      <c r="J71" s="94"/>
      <c r="K71" s="94"/>
      <c r="L71" s="94"/>
      <c r="M71" s="94"/>
    </row>
    <row r="72" spans="2:13" x14ac:dyDescent="0.25">
      <c r="B72" s="94"/>
      <c r="C72" s="94"/>
      <c r="D72" s="94"/>
      <c r="E72" s="94"/>
      <c r="F72" s="94"/>
      <c r="G72" s="94"/>
      <c r="H72" s="94"/>
      <c r="I72" s="94"/>
      <c r="J72" s="94"/>
      <c r="K72" s="94"/>
      <c r="L72" s="94"/>
      <c r="M72" s="94"/>
    </row>
    <row r="73" spans="2:13" x14ac:dyDescent="0.25">
      <c r="B73" s="94"/>
      <c r="C73" s="94"/>
      <c r="D73" s="94"/>
      <c r="E73" s="94"/>
      <c r="F73" s="94"/>
      <c r="G73" s="94"/>
      <c r="H73" s="94"/>
      <c r="I73" s="94"/>
      <c r="J73" s="94"/>
      <c r="K73" s="94"/>
      <c r="L73" s="94"/>
      <c r="M73" s="94"/>
    </row>
    <row r="75" spans="2:13" s="91" customFormat="1" ht="12.75" x14ac:dyDescent="0.2"/>
    <row r="76" spans="2:13" s="91" customFormat="1" ht="12.75" x14ac:dyDescent="0.2"/>
    <row r="77" spans="2:13" s="91" customFormat="1" ht="12.75" x14ac:dyDescent="0.2"/>
  </sheetData>
  <pageMargins left="0.25" right="0.25" top="0.75" bottom="0.75" header="0.3" footer="0.3"/>
  <pageSetup scale="53" orientation="landscape" r:id="rId1"/>
  <headerFooter>
    <oddHeader>&amp;RTO10 Draft Annual Update
Attachment 4
WP-Schedule 10 and 16
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Net Plant</vt:lpstr>
      <vt:lpstr>Load Summary</vt:lpstr>
      <vt:lpstr>Non-Inc Plant</vt:lpstr>
      <vt:lpstr>Inc CWIP &amp; Plant</vt:lpstr>
      <vt:lpstr>Inc CWIP &amp; Plant Summary</vt:lpstr>
      <vt:lpstr>Incentive CWIP</vt:lpstr>
      <vt:lpstr>'Inc CWIP &amp; Plant'!Print_Area</vt:lpstr>
      <vt:lpstr>'Inc CWIP &amp; Plant'!Print_Titles</vt:lpstr>
      <vt:lpstr>'Non-Inc Plant'!Print_Titles</vt:lpstr>
    </vt:vector>
  </TitlesOfParts>
  <Company>Southern California Edison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Gunn, David</dc:creator>
  <cp:lastModifiedBy>Kim, Jee Young</cp:lastModifiedBy>
  <cp:lastPrinted>2015-06-11T22:32:23Z</cp:lastPrinted>
  <dcterms:created xsi:type="dcterms:W3CDTF">2013-06-06T04:26:31Z</dcterms:created>
  <dcterms:modified xsi:type="dcterms:W3CDTF">2015-06-12T16:12:25Z</dcterms:modified>
</cp:coreProperties>
</file>