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9 FERC Rate Case TO13\"/>
    </mc:Choice>
  </mc:AlternateContent>
  <bookViews>
    <workbookView xWindow="0" yWindow="0" windowWidth="25200" windowHeight="12435"/>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6-PlantInService" sheetId="4" r:id="rId10"/>
    <sheet name="7-PlantStudy" sheetId="56" r:id="rId11"/>
    <sheet name="8-AccDep" sheetId="21" r:id="rId12"/>
    <sheet name="9-ADIT" sheetId="15" r:id="rId13"/>
    <sheet name="10-CWIP" sheetId="49" r:id="rId14"/>
    <sheet name="11-PHFU" sheetId="54" r:id="rId15"/>
    <sheet name="12-AbandonedPlant" sheetId="45" r:id="rId16"/>
    <sheet name="13-WorkCap" sheetId="22" r:id="rId17"/>
    <sheet name="14-IncentivePlant" sheetId="11" r:id="rId18"/>
    <sheet name="15-IncentiveAdder" sheetId="12" r:id="rId19"/>
    <sheet name="16-PlantAdditions" sheetId="48" r:id="rId20"/>
    <sheet name="17-Depreciation" sheetId="64" r:id="rId21"/>
    <sheet name="18-DepRates" sheetId="63" r:id="rId22"/>
    <sheet name="19-OandM" sheetId="46" r:id="rId23"/>
    <sheet name="20-AandG" sheetId="26" r:id="rId24"/>
    <sheet name="21-RevenueCredits" sheetId="61" r:id="rId25"/>
    <sheet name="22-NUCs" sheetId="66" r:id="rId26"/>
    <sheet name="23-RegAssets" sheetId="55" r:id="rId27"/>
    <sheet name="24-CWIPTRR" sheetId="71" r:id="rId28"/>
    <sheet name="25-WholesaleDifference" sheetId="44" r:id="rId29"/>
    <sheet name="26-TaxRates" sheetId="17" r:id="rId30"/>
    <sheet name="27-Allocators" sheetId="2" r:id="rId31"/>
    <sheet name="28-FFU" sheetId="30" r:id="rId32"/>
    <sheet name="29-WholesaleTRRs" sheetId="31" r:id="rId33"/>
    <sheet name="30-WholesaleRates" sheetId="32" r:id="rId34"/>
    <sheet name="31-HVLV" sheetId="57" r:id="rId35"/>
    <sheet name="32-GrossLoad" sheetId="42" r:id="rId36"/>
    <sheet name="33-RetailRates" sheetId="53" r:id="rId37"/>
    <sheet name="34-UnfundedReserves" sheetId="79" r:id="rId38"/>
    <sheet name="35-PBOPs" sheetId="80" r:id="rId39"/>
  </sheets>
  <definedNames>
    <definedName name="_xlnm._FilterDatabase" localSheetId="24" hidden="1">'21-RevenueCredits'!$A$1:$O$258</definedName>
    <definedName name="_xlnm.Print_Area" localSheetId="13">'10-CWIP'!$A$1:$K$444</definedName>
    <definedName name="_xlnm.Print_Area" localSheetId="14">'11-PHFU'!$A$1:$F$61</definedName>
    <definedName name="_xlnm.Print_Area" localSheetId="15">'12-AbandonedPlant'!$A$1:$J$69</definedName>
    <definedName name="_xlnm.Print_Area" localSheetId="16">'13-WorkCap'!$A$1:$G$69</definedName>
    <definedName name="_xlnm.Print_Area" localSheetId="17">'14-IncentivePlant'!$A$1:$J$398</definedName>
    <definedName name="_xlnm.Print_Area" localSheetId="18">'15-IncentiveAdder'!$A$1:$J$112</definedName>
    <definedName name="_xlnm.Print_Area" localSheetId="19">'16-PlantAdditions'!$A$1:$P$137</definedName>
    <definedName name="_xlnm.Print_Area" localSheetId="20">'17-Depreciation'!$A$1:$M$107</definedName>
    <definedName name="_xlnm.Print_Area" localSheetId="21">'18-DepRates'!$A$1:$G$66</definedName>
    <definedName name="_xlnm.Print_Area" localSheetId="22">'19-OandM'!$A$1:$L$217</definedName>
    <definedName name="_xlnm.Print_Area" localSheetId="3">'1-BaseTRR'!$A$1:$K$167</definedName>
    <definedName name="_xlnm.Print_Area" localSheetId="23">'20-AandG'!$A$1:$J$112</definedName>
    <definedName name="_xlnm.Print_Area" localSheetId="24">'21-RevenueCredits'!$A$1:$O$262</definedName>
    <definedName name="_xlnm.Print_Area" localSheetId="25">'22-NUCs'!$A$1:$F$30</definedName>
    <definedName name="_xlnm.Print_Area" localSheetId="26">'23-RegAssets'!$A$1:$I$37</definedName>
    <definedName name="_xlnm.Print_Area" localSheetId="27">'24-CWIPTRR'!$A$1:$J$195</definedName>
    <definedName name="_xlnm.Print_Area" localSheetId="28">'25-WholesaleDifference'!$A$1:$J$101</definedName>
    <definedName name="_xlnm.Print_Area" localSheetId="29">'26-TaxRates'!$A$1:$F$79</definedName>
    <definedName name="_xlnm.Print_Area" localSheetId="30">'27-Allocators'!$A$1:$K$126</definedName>
    <definedName name="_xlnm.Print_Area" localSheetId="31">'28-FFU'!$A$1:$J$46</definedName>
    <definedName name="_xlnm.Print_Area" localSheetId="32">'29-WholesaleTRRs'!$A$1:$I$41</definedName>
    <definedName name="_xlnm.Print_Area" localSheetId="4">'2-IFPTRR'!$A$1:$G$91</definedName>
    <definedName name="_xlnm.Print_Area" localSheetId="33">'30-WholesaleRates'!$A$1:$J$47</definedName>
    <definedName name="_xlnm.Print_Area" localSheetId="34">'31-HVLV'!$A$1:$L$51</definedName>
    <definedName name="_xlnm.Print_Area" localSheetId="35">'32-GrossLoad'!$A$1:$I$19</definedName>
    <definedName name="_xlnm.Print_Area" localSheetId="37">'34-UnfundedReserves'!$A$1:$K$39</definedName>
    <definedName name="_xlnm.Print_Area" localSheetId="38">'35-PBOPs'!$A$1:$M$114</definedName>
    <definedName name="_xlnm.Print_Area" localSheetId="5">'3-TrueUpAdjust'!$A$1:$L$179</definedName>
    <definedName name="_xlnm.Print_Area" localSheetId="6">'4-TUTRR'!$A$1:$J$109</definedName>
    <definedName name="_xlnm.Print_Area" localSheetId="7">'5-ROR-1'!$A$1:$L$57</definedName>
    <definedName name="_xlnm.Print_Area" localSheetId="8">'5-ROR-2'!$A$1:$P$81</definedName>
    <definedName name="_xlnm.Print_Area" localSheetId="9">'6-PlantInService'!$A$1:$M$181</definedName>
    <definedName name="_xlnm.Print_Area" localSheetId="10">'7-PlantStudy'!$A$1:$G$54</definedName>
    <definedName name="_xlnm.Print_Area" localSheetId="11">'8-AccDep'!$A$1:$N$179</definedName>
    <definedName name="_xlnm.Print_Area" localSheetId="12">'9-ADIT'!$A$1:$J$165</definedName>
    <definedName name="_xlnm.Print_Area" localSheetId="1">Contents!$A$1:$D$39</definedName>
    <definedName name="_xlnm.Print_Area" localSheetId="0">Heading!$A$1:$K$28</definedName>
    <definedName name="_xlnm.Print_Area" localSheetId="2">Overview!$A$1:$I$24</definedName>
    <definedName name="_xlnm.Print_Titles" localSheetId="3">'1-BaseTRR'!$1:$6</definedName>
    <definedName name="_xlnm.Print_Titles" localSheetId="24">'21-RevenueCredits'!$1:$3</definedName>
  </definedNames>
  <calcPr calcId="152511"/>
</workbook>
</file>

<file path=xl/calcChain.xml><?xml version="1.0" encoding="utf-8"?>
<calcChain xmlns="http://schemas.openxmlformats.org/spreadsheetml/2006/main">
  <c r="E129" i="61" l="1"/>
  <c r="N200" i="61" l="1"/>
  <c r="J200" i="61"/>
  <c r="M200" i="61" s="1"/>
  <c r="I200" i="61"/>
  <c r="G200" i="61"/>
  <c r="N199" i="61"/>
  <c r="J199" i="61"/>
  <c r="M199" i="61" s="1"/>
  <c r="G199" i="61"/>
  <c r="I199" i="61" s="1"/>
  <c r="G137" i="61" l="1"/>
  <c r="H137" i="61" s="1"/>
  <c r="N138" i="61"/>
  <c r="J138" i="61"/>
  <c r="M138" i="61" s="1"/>
  <c r="G138" i="61"/>
  <c r="I138" i="61" s="1"/>
  <c r="H56" i="61"/>
  <c r="G65" i="61"/>
  <c r="G70" i="61"/>
  <c r="H55" i="61"/>
  <c r="G55" i="61" s="1"/>
  <c r="N70" i="61"/>
  <c r="J70" i="61"/>
  <c r="M70" i="61" s="1"/>
  <c r="I70" i="61"/>
  <c r="E64" i="61"/>
  <c r="E34" i="15" l="1"/>
  <c r="E32" i="15"/>
  <c r="E106" i="15"/>
  <c r="E105" i="15"/>
  <c r="E43" i="15"/>
  <c r="E39" i="15"/>
  <c r="E38" i="15"/>
  <c r="E35" i="15"/>
  <c r="E36" i="15"/>
  <c r="E37" i="15"/>
  <c r="E33" i="15"/>
  <c r="E31" i="15"/>
  <c r="E14" i="15" l="1"/>
  <c r="E127" i="15" l="1"/>
  <c r="E126" i="15"/>
  <c r="A128" i="15"/>
  <c r="A127" i="15"/>
  <c r="E112" i="15"/>
  <c r="E111" i="15"/>
  <c r="E110" i="15"/>
  <c r="E109" i="15"/>
  <c r="E108" i="15"/>
  <c r="E107" i="15"/>
  <c r="H106" i="15"/>
  <c r="G105" i="15"/>
  <c r="G104" i="15"/>
  <c r="E87" i="15"/>
  <c r="E86" i="15"/>
  <c r="E85" i="15"/>
  <c r="E84" i="15"/>
  <c r="E83" i="15"/>
  <c r="F82" i="15"/>
  <c r="A66" i="15"/>
  <c r="E65" i="15"/>
  <c r="E64" i="15"/>
  <c r="E63" i="15"/>
  <c r="E62" i="15"/>
  <c r="A62" i="15"/>
  <c r="A63" i="15" s="1"/>
  <c r="A64" i="15" s="1"/>
  <c r="A65" i="15" s="1"/>
  <c r="E61" i="15"/>
  <c r="G47" i="15"/>
  <c r="E46" i="15"/>
  <c r="E45" i="15"/>
  <c r="E44" i="15"/>
  <c r="E42" i="15"/>
  <c r="E41" i="15"/>
  <c r="E40" i="15"/>
  <c r="G39" i="15"/>
  <c r="G38" i="15"/>
  <c r="G33" i="15"/>
  <c r="G31" i="15"/>
  <c r="H77" i="72" l="1"/>
  <c r="G76" i="72"/>
  <c r="H76" i="72" s="1"/>
  <c r="H75" i="72"/>
  <c r="H74" i="72"/>
  <c r="H73" i="72"/>
  <c r="H71" i="72"/>
  <c r="H70" i="72"/>
  <c r="H69" i="72"/>
  <c r="F39" i="56" l="1"/>
  <c r="H35" i="11" l="1"/>
  <c r="H34" i="11"/>
  <c r="D71" i="17" l="1"/>
  <c r="D19" i="71"/>
  <c r="D18" i="71"/>
  <c r="A391" i="11"/>
  <c r="A387" i="11"/>
  <c r="A388" i="11" s="1"/>
  <c r="A386" i="11"/>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A310" i="11"/>
  <c r="A311" i="11" s="1"/>
  <c r="A312" i="11" s="1"/>
  <c r="A313" i="11" s="1"/>
  <c r="A314" i="11" s="1"/>
  <c r="A315" i="11" s="1"/>
  <c r="A316" i="11" s="1"/>
  <c r="A317" i="11" s="1"/>
  <c r="A318" i="11" s="1"/>
  <c r="A319" i="11" s="1"/>
  <c r="A320" i="11" s="1"/>
  <c r="A321" i="11" s="1"/>
  <c r="A322" i="11" s="1"/>
  <c r="E35" i="11"/>
  <c r="A36" i="11"/>
  <c r="A35" i="11"/>
  <c r="A410"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A411" i="49"/>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409" i="49"/>
  <c r="J409" i="49"/>
  <c r="I409" i="49"/>
  <c r="H409" i="49"/>
  <c r="G409" i="49"/>
  <c r="F409" i="49"/>
  <c r="E409" i="49"/>
  <c r="D409" i="49"/>
  <c r="K408" i="49"/>
  <c r="J408" i="49"/>
  <c r="I408" i="49"/>
  <c r="H408" i="49"/>
  <c r="G408" i="49"/>
  <c r="F408" i="49"/>
  <c r="E408" i="49"/>
  <c r="D408" i="49"/>
  <c r="G407" i="49"/>
  <c r="H46" i="49"/>
  <c r="F35" i="11" s="1"/>
  <c r="C42" i="56"/>
  <c r="C40" i="56"/>
  <c r="E23" i="4"/>
  <c r="F23" i="4"/>
  <c r="G23" i="4"/>
  <c r="H23" i="4"/>
  <c r="I23" i="4"/>
  <c r="J23" i="4"/>
  <c r="K23" i="4"/>
  <c r="L23" i="4"/>
  <c r="J411" i="49" l="1"/>
  <c r="K411" i="49" s="1"/>
  <c r="N164" i="61"/>
  <c r="N163" i="61"/>
  <c r="E73" i="61"/>
  <c r="H69" i="61"/>
  <c r="G69" i="61" s="1"/>
  <c r="H68" i="61"/>
  <c r="G68" i="61" s="1"/>
  <c r="H135" i="61"/>
  <c r="N135" i="61" s="1"/>
  <c r="J412" i="49" l="1"/>
  <c r="J413" i="49" s="1"/>
  <c r="N69" i="61"/>
  <c r="N68" i="61"/>
  <c r="K412" i="49" l="1"/>
  <c r="K413" i="49"/>
  <c r="J414" i="49"/>
  <c r="N165" i="61"/>
  <c r="J163" i="61"/>
  <c r="M163" i="61" s="1"/>
  <c r="J164" i="61"/>
  <c r="M164" i="61" s="1"/>
  <c r="J165" i="61"/>
  <c r="M165" i="61" s="1"/>
  <c r="G163" i="61"/>
  <c r="I163" i="61" s="1"/>
  <c r="G164" i="61"/>
  <c r="I164" i="61" s="1"/>
  <c r="G165" i="61"/>
  <c r="I165" i="61" s="1"/>
  <c r="J415" i="49" l="1"/>
  <c r="K414" i="49"/>
  <c r="N132" i="61"/>
  <c r="N133" i="61"/>
  <c r="N134" i="61"/>
  <c r="N136" i="61"/>
  <c r="N137" i="61"/>
  <c r="J132" i="61"/>
  <c r="M132" i="61" s="1"/>
  <c r="J133" i="61"/>
  <c r="M133" i="61" s="1"/>
  <c r="J134" i="61"/>
  <c r="M134" i="61" s="1"/>
  <c r="J135" i="61"/>
  <c r="M135" i="61" s="1"/>
  <c r="J136" i="61"/>
  <c r="M136" i="61" s="1"/>
  <c r="J137" i="61"/>
  <c r="M137" i="61" s="1"/>
  <c r="H85" i="61"/>
  <c r="G134" i="61"/>
  <c r="I134" i="61" s="1"/>
  <c r="G136" i="61"/>
  <c r="I136" i="61" s="1"/>
  <c r="G133" i="61"/>
  <c r="I133" i="61" s="1"/>
  <c r="G132" i="61"/>
  <c r="I132" i="61" s="1"/>
  <c r="K415" i="49" l="1"/>
  <c r="J416" i="49"/>
  <c r="I137" i="61"/>
  <c r="J417" i="49" l="1"/>
  <c r="K416" i="49"/>
  <c r="I63" i="72"/>
  <c r="C30" i="72"/>
  <c r="K417" i="49" l="1"/>
  <c r="J418" i="49"/>
  <c r="J69" i="61"/>
  <c r="M69" i="61" s="1"/>
  <c r="J68" i="61"/>
  <c r="M68" i="61" s="1"/>
  <c r="J419" i="49" l="1"/>
  <c r="K418" i="49"/>
  <c r="K419" i="49" l="1"/>
  <c r="J420" i="49"/>
  <c r="N197" i="61"/>
  <c r="N198" i="61"/>
  <c r="J197" i="61"/>
  <c r="M197" i="61" s="1"/>
  <c r="J198" i="61"/>
  <c r="M198" i="61" s="1"/>
  <c r="G197" i="61"/>
  <c r="I197" i="61" s="1"/>
  <c r="G198" i="61"/>
  <c r="I198" i="61" s="1"/>
  <c r="J421" i="49" l="1"/>
  <c r="K420" i="49"/>
  <c r="H128" i="53"/>
  <c r="E128" i="53"/>
  <c r="D128" i="53"/>
  <c r="C128" i="53"/>
  <c r="J126" i="53"/>
  <c r="I126" i="53"/>
  <c r="F126" i="53"/>
  <c r="B126" i="53"/>
  <c r="J125" i="53"/>
  <c r="I125" i="53"/>
  <c r="K125" i="53" s="1"/>
  <c r="F125" i="53"/>
  <c r="B125" i="53"/>
  <c r="J124" i="53"/>
  <c r="I124" i="53"/>
  <c r="F124" i="53"/>
  <c r="B124" i="53"/>
  <c r="J123" i="53"/>
  <c r="I123" i="53"/>
  <c r="K123" i="53" s="1"/>
  <c r="F123" i="53"/>
  <c r="B123" i="53"/>
  <c r="J122" i="53"/>
  <c r="I122" i="53"/>
  <c r="F122" i="53"/>
  <c r="B122" i="53"/>
  <c r="J121" i="53"/>
  <c r="I121" i="53"/>
  <c r="K121" i="53" s="1"/>
  <c r="F121" i="53"/>
  <c r="B121" i="53"/>
  <c r="J120" i="53"/>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F115" i="53"/>
  <c r="B115" i="53"/>
  <c r="J114" i="53"/>
  <c r="I114" i="53"/>
  <c r="K114" i="53" s="1"/>
  <c r="F114" i="53"/>
  <c r="B114" i="53"/>
  <c r="J113" i="53"/>
  <c r="I113" i="53"/>
  <c r="F113" i="53"/>
  <c r="F128" i="53" s="1"/>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421" i="49" l="1"/>
  <c r="J422" i="49"/>
  <c r="L114" i="53"/>
  <c r="L118" i="53"/>
  <c r="K113" i="53"/>
  <c r="L113" i="53" s="1"/>
  <c r="K116" i="53"/>
  <c r="L116" i="53" s="1"/>
  <c r="I128" i="53"/>
  <c r="K120" i="53"/>
  <c r="L120" i="53" s="1"/>
  <c r="K122" i="53"/>
  <c r="L122" i="53" s="1"/>
  <c r="L125" i="53"/>
  <c r="L117" i="53"/>
  <c r="J128" i="53"/>
  <c r="J28" i="53"/>
  <c r="K115" i="53"/>
  <c r="L119" i="53"/>
  <c r="L121" i="53"/>
  <c r="K124" i="53"/>
  <c r="L124" i="53" s="1"/>
  <c r="K126" i="53"/>
  <c r="L126" i="53" s="1"/>
  <c r="L123" i="53"/>
  <c r="E53" i="63"/>
  <c r="E52" i="63"/>
  <c r="E51" i="63"/>
  <c r="E50" i="63"/>
  <c r="E45" i="63"/>
  <c r="E42" i="63"/>
  <c r="E41" i="63"/>
  <c r="E40" i="63"/>
  <c r="E39" i="63"/>
  <c r="E38" i="63"/>
  <c r="E37" i="63"/>
  <c r="E36" i="63"/>
  <c r="E35" i="63"/>
  <c r="E34" i="63"/>
  <c r="E33" i="63"/>
  <c r="E32" i="63"/>
  <c r="E31" i="63"/>
  <c r="E30" i="63"/>
  <c r="E29" i="6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J423" i="49" l="1"/>
  <c r="K422" i="49"/>
  <c r="K128" i="53"/>
  <c r="L115" i="53"/>
  <c r="L128" i="53" s="1"/>
  <c r="M120" i="53" s="1"/>
  <c r="C20" i="53" s="1"/>
  <c r="A38" i="79"/>
  <c r="A39" i="79"/>
  <c r="B140" i="65"/>
  <c r="K423" i="49" l="1"/>
  <c r="J424" i="49"/>
  <c r="M115" i="53"/>
  <c r="C15" i="53" s="1"/>
  <c r="M116" i="53"/>
  <c r="C16" i="53" s="1"/>
  <c r="M113" i="53"/>
  <c r="C12" i="53" s="1"/>
  <c r="M119" i="53"/>
  <c r="C19" i="53" s="1"/>
  <c r="M121" i="53"/>
  <c r="C21" i="53" s="1"/>
  <c r="M117" i="53"/>
  <c r="C17" i="53" s="1"/>
  <c r="M122" i="53"/>
  <c r="C22" i="53" s="1"/>
  <c r="M114" i="53"/>
  <c r="C13" i="53" s="1"/>
  <c r="M126" i="53"/>
  <c r="C26" i="53" s="1"/>
  <c r="M118" i="53"/>
  <c r="C18" i="53" s="1"/>
  <c r="M125" i="53"/>
  <c r="C25" i="53" s="1"/>
  <c r="M123" i="53"/>
  <c r="C23" i="53" s="1"/>
  <c r="M124" i="53"/>
  <c r="C24" i="53" s="1"/>
  <c r="D131" i="15"/>
  <c r="E131" i="15"/>
  <c r="H131" i="15"/>
  <c r="F122" i="15"/>
  <c r="D122" i="15"/>
  <c r="J425" i="49" l="1"/>
  <c r="K424" i="49"/>
  <c r="M128" i="53"/>
  <c r="C28" i="53"/>
  <c r="G35" i="80"/>
  <c r="K425" i="49" l="1"/>
  <c r="J426" i="49"/>
  <c r="H50" i="8"/>
  <c r="G87" i="80"/>
  <c r="H15" i="80" s="1"/>
  <c r="G74" i="80"/>
  <c r="G73" i="80"/>
  <c r="G75" i="80" s="1"/>
  <c r="H13" i="80" s="1"/>
  <c r="J63" i="80"/>
  <c r="K63" i="80" s="1"/>
  <c r="J62" i="80"/>
  <c r="K62" i="80" s="1"/>
  <c r="I38" i="80"/>
  <c r="I37" i="80"/>
  <c r="I36" i="80"/>
  <c r="G36" i="80"/>
  <c r="G30" i="80"/>
  <c r="G29" i="80"/>
  <c r="G28" i="80"/>
  <c r="I28" i="80" s="1"/>
  <c r="G27" i="80"/>
  <c r="G26" i="80"/>
  <c r="J427" i="49" l="1"/>
  <c r="K426" i="49"/>
  <c r="I29" i="80"/>
  <c r="I30" i="80"/>
  <c r="K65" i="80"/>
  <c r="H12" i="80" s="1"/>
  <c r="K427" i="49" l="1"/>
  <c r="J428" i="49"/>
  <c r="H26" i="80"/>
  <c r="I26" i="80" s="1"/>
  <c r="H14" i="80"/>
  <c r="D18" i="80" s="1"/>
  <c r="H27" i="80"/>
  <c r="I27" i="80" s="1"/>
  <c r="E31" i="61"/>
  <c r="L31" i="61"/>
  <c r="H31" i="61"/>
  <c r="J429" i="49" l="1"/>
  <c r="K428" i="49"/>
  <c r="G28" i="61"/>
  <c r="I28" i="61" s="1"/>
  <c r="J28" i="61"/>
  <c r="M28" i="61" s="1"/>
  <c r="N28" i="61"/>
  <c r="G27" i="61"/>
  <c r="I27" i="61" s="1"/>
  <c r="J27" i="61"/>
  <c r="M27" i="61" s="1"/>
  <c r="N27" i="61"/>
  <c r="G26" i="61"/>
  <c r="I26" i="61" s="1"/>
  <c r="J26" i="61"/>
  <c r="M26" i="61" s="1"/>
  <c r="N26" i="61"/>
  <c r="K429" i="49" l="1"/>
  <c r="J430" i="49"/>
  <c r="F57" i="15"/>
  <c r="D69" i="15"/>
  <c r="H69" i="15"/>
  <c r="G69" i="15"/>
  <c r="F69" i="15"/>
  <c r="E69" i="15"/>
  <c r="D57" i="15"/>
  <c r="J431" i="49" l="1"/>
  <c r="K430" i="49"/>
  <c r="E29" i="55"/>
  <c r="D29" i="55"/>
  <c r="C29" i="55"/>
  <c r="E32" i="57"/>
  <c r="K431" i="49" l="1"/>
  <c r="J432" i="49"/>
  <c r="H42" i="8"/>
  <c r="H33" i="8"/>
  <c r="J433" i="49" l="1"/>
  <c r="K432" i="49"/>
  <c r="G21" i="45"/>
  <c r="K433" i="49" l="1"/>
  <c r="J434" i="49"/>
  <c r="K434" i="49" s="1"/>
  <c r="K435" i="49" s="1"/>
  <c r="F25" i="65"/>
  <c r="F26" i="65"/>
  <c r="F27" i="65"/>
  <c r="F28" i="65"/>
  <c r="F29" i="65"/>
  <c r="F30" i="65"/>
  <c r="F31" i="65"/>
  <c r="F32" i="65"/>
  <c r="F33" i="65"/>
  <c r="F34" i="65"/>
  <c r="F35" i="65"/>
  <c r="F24" i="65"/>
  <c r="E218" i="49" l="1"/>
  <c r="E56" i="65" l="1"/>
  <c r="D78" i="49"/>
  <c r="H76" i="49"/>
  <c r="H77" i="49"/>
  <c r="H78" i="49"/>
  <c r="G76" i="49"/>
  <c r="G77" i="49"/>
  <c r="G78" i="49"/>
  <c r="D77" i="49"/>
  <c r="D75" i="49"/>
  <c r="D76" i="49"/>
  <c r="E57" i="65" l="1"/>
  <c r="E58" i="65"/>
  <c r="E59" i="65"/>
  <c r="E60" i="65"/>
  <c r="E61" i="65"/>
  <c r="E62" i="65"/>
  <c r="E63" i="65"/>
  <c r="E64" i="65"/>
  <c r="E65" i="65"/>
  <c r="E66" i="65"/>
  <c r="E67" i="65"/>
  <c r="O34" i="48" l="1"/>
  <c r="O35" i="48"/>
  <c r="O36" i="48"/>
  <c r="H45" i="65"/>
  <c r="H46" i="65"/>
  <c r="H47" i="65"/>
  <c r="N130" i="61" l="1"/>
  <c r="N131" i="61"/>
  <c r="J130" i="61"/>
  <c r="M130" i="61" s="1"/>
  <c r="J131" i="61"/>
  <c r="M131" i="61" s="1"/>
  <c r="G130" i="61"/>
  <c r="I130" i="61" s="1"/>
  <c r="G131" i="61"/>
  <c r="I131" i="61" s="1"/>
  <c r="N65" i="61"/>
  <c r="N66" i="61"/>
  <c r="N67" i="61"/>
  <c r="J67" i="61"/>
  <c r="M67" i="61" s="1"/>
  <c r="J66" i="61"/>
  <c r="M66" i="61" s="1"/>
  <c r="J65" i="61"/>
  <c r="M65" i="61" s="1"/>
  <c r="I65" i="61"/>
  <c r="G66" i="61"/>
  <c r="I66" i="61" s="1"/>
  <c r="G67" i="61"/>
  <c r="I67" i="61" s="1"/>
  <c r="J21" i="61"/>
  <c r="M21" i="61" s="1"/>
  <c r="J22" i="61"/>
  <c r="M22" i="61" s="1"/>
  <c r="J23" i="61"/>
  <c r="M23" i="61" s="1"/>
  <c r="J24" i="61"/>
  <c r="M24" i="61" s="1"/>
  <c r="J25" i="61"/>
  <c r="M25" i="61" s="1"/>
  <c r="G21" i="61"/>
  <c r="I21" i="61" s="1"/>
  <c r="G22" i="61"/>
  <c r="I22" i="61" s="1"/>
  <c r="G23" i="61"/>
  <c r="I23" i="61" s="1"/>
  <c r="G24" i="61"/>
  <c r="I24" i="61" s="1"/>
  <c r="G25" i="61"/>
  <c r="I25" i="61" s="1"/>
  <c r="N21" i="61"/>
  <c r="N22" i="61"/>
  <c r="N23" i="61"/>
  <c r="N24" i="61"/>
  <c r="N25" i="6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32" i="61" l="1"/>
  <c r="F73" i="64"/>
  <c r="E73" i="64"/>
  <c r="D73" i="64"/>
  <c r="F68" i="64"/>
  <c r="F67" i="64"/>
  <c r="E68" i="64"/>
  <c r="E67" i="64"/>
  <c r="D68" i="64"/>
  <c r="D67" i="64"/>
  <c r="L27" i="28" l="1"/>
  <c r="D24" i="64" l="1"/>
  <c r="L12" i="64"/>
  <c r="L49" i="64" s="1"/>
  <c r="M91" i="21" s="1"/>
  <c r="K12" i="64"/>
  <c r="K49" i="64" s="1"/>
  <c r="L91" i="21" s="1"/>
  <c r="J12" i="64"/>
  <c r="J49" i="64" s="1"/>
  <c r="K91" i="21" s="1"/>
  <c r="I12" i="64"/>
  <c r="I49" i="64" s="1"/>
  <c r="J91" i="21" s="1"/>
  <c r="H12" i="64"/>
  <c r="H49" i="64" s="1"/>
  <c r="I91" i="21" s="1"/>
  <c r="G12" i="64"/>
  <c r="G49" i="64" s="1"/>
  <c r="H91" i="21" s="1"/>
  <c r="F12" i="64"/>
  <c r="F49" i="64" s="1"/>
  <c r="G91" i="21" s="1"/>
  <c r="E12" i="64"/>
  <c r="E49" i="64" s="1"/>
  <c r="F91" i="21" s="1"/>
  <c r="D12" i="64"/>
  <c r="D49" i="64" s="1"/>
  <c r="E91" i="21" s="1"/>
  <c r="C24" i="64"/>
  <c r="C12" i="64"/>
  <c r="C49" i="64" s="1"/>
  <c r="D91" i="21" s="1"/>
  <c r="B98" i="64"/>
  <c r="H85" i="64"/>
  <c r="F69" i="64"/>
  <c r="D69" i="64"/>
  <c r="A44" i="64"/>
  <c r="A45" i="64" s="1"/>
  <c r="A46" i="64" s="1"/>
  <c r="A47" i="64" s="1"/>
  <c r="A48" i="64" s="1"/>
  <c r="A49" i="64" s="1"/>
  <c r="A13" i="64"/>
  <c r="A14" i="64" s="1"/>
  <c r="A15" i="64" s="1"/>
  <c r="A16" i="64" s="1"/>
  <c r="A17" i="64" s="1"/>
  <c r="A18" i="64" s="1"/>
  <c r="A19" i="64" s="1"/>
  <c r="A20" i="64" s="1"/>
  <c r="A21" i="64" s="1"/>
  <c r="A22" i="64" s="1"/>
  <c r="A23" i="64" s="1"/>
  <c r="A24" i="64" s="1"/>
  <c r="A25" i="64" s="1"/>
  <c r="A26" i="64" s="1"/>
  <c r="A29" i="64" s="1"/>
  <c r="A50" i="64" l="1"/>
  <c r="A51" i="64" s="1"/>
  <c r="A52" i="64" s="1"/>
  <c r="A53" i="64" s="1"/>
  <c r="A54" i="64" s="1"/>
  <c r="A55" i="64" s="1"/>
  <c r="A56" i="64" s="1"/>
  <c r="A57" i="64" s="1"/>
  <c r="A58" i="64" s="1"/>
  <c r="A59" i="64" s="1"/>
  <c r="A60" i="64" s="1"/>
  <c r="A61" i="64" s="1"/>
  <c r="A62" i="64" s="1"/>
  <c r="B172" i="21"/>
  <c r="E69" i="64"/>
  <c r="E78" i="64" s="1"/>
  <c r="D78" i="64"/>
  <c r="F78" i="64"/>
  <c r="M49" i="64"/>
  <c r="A63" i="64"/>
  <c r="A64" i="64" s="1"/>
  <c r="A65" i="64" s="1"/>
  <c r="A66" i="64" s="1"/>
  <c r="A67" i="64" s="1"/>
  <c r="A68" i="64" s="1"/>
  <c r="A69" i="64" s="1"/>
  <c r="G92" i="64"/>
  <c r="G78" i="64" l="1"/>
  <c r="F93" i="64" s="1"/>
  <c r="B99" i="64"/>
  <c r="A70" i="64"/>
  <c r="A71" i="64" s="1"/>
  <c r="A72" i="64" s="1"/>
  <c r="A73" i="64" s="1"/>
  <c r="B100" i="64" l="1"/>
  <c r="A74" i="64"/>
  <c r="A75" i="64" s="1"/>
  <c r="A76" i="64" s="1"/>
  <c r="A77" i="64" s="1"/>
  <c r="A78" i="64" s="1"/>
  <c r="B107" i="64" l="1"/>
  <c r="G93" i="64"/>
  <c r="A79" i="64"/>
  <c r="A80" i="64" s="1"/>
  <c r="A81" i="64" s="1"/>
  <c r="A82" i="64" s="1"/>
  <c r="A83" i="64" s="1"/>
  <c r="A84" i="64" l="1"/>
  <c r="A85" i="64" s="1"/>
  <c r="A86" i="64" l="1"/>
  <c r="A87" i="64" s="1"/>
  <c r="I85" i="64"/>
  <c r="I87" i="64" l="1"/>
  <c r="G94" i="64"/>
  <c r="A88" i="64"/>
  <c r="A89" i="64" s="1"/>
  <c r="A90" i="64" s="1"/>
  <c r="A91" i="64" s="1"/>
  <c r="A92" i="64" s="1"/>
  <c r="A93" i="64" l="1"/>
  <c r="A94" i="64" s="1"/>
  <c r="A95" i="64" s="1"/>
  <c r="I127" i="1" s="1"/>
  <c r="G95" i="64" l="1"/>
  <c r="O19" i="48" l="1"/>
  <c r="J86" i="8"/>
  <c r="C117" i="48" l="1"/>
  <c r="H72" i="44" l="1"/>
  <c r="H26" i="8" l="1"/>
  <c r="I31" i="1"/>
  <c r="I37" i="79" l="1"/>
  <c r="G37" i="79"/>
  <c r="A33" i="79"/>
  <c r="A34" i="79" s="1"/>
  <c r="A35" i="79" s="1"/>
  <c r="A36" i="79" s="1"/>
  <c r="A37" i="79" s="1"/>
  <c r="E19" i="71" l="1"/>
  <c r="E18" i="71"/>
  <c r="D17" i="71"/>
  <c r="D16" i="71"/>
  <c r="D15" i="71"/>
  <c r="D14" i="71"/>
  <c r="D13" i="71"/>
  <c r="D12" i="71"/>
  <c r="D11" i="71"/>
  <c r="D10" i="71"/>
  <c r="D9" i="71"/>
  <c r="D20" i="71" s="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E153"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8" i="11" l="1"/>
  <c r="E75" i="49"/>
  <c r="C120" i="48"/>
  <c r="C119" i="48"/>
  <c r="C131" i="48"/>
  <c r="P52" i="48"/>
  <c r="G76" i="48"/>
  <c r="H76" i="48" s="1"/>
  <c r="H13"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M76"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M45"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J313"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F87" i="49"/>
  <c r="E87" i="49"/>
  <c r="D87" i="49"/>
  <c r="K86" i="49"/>
  <c r="J86" i="49"/>
  <c r="I86" i="49"/>
  <c r="H86" i="49"/>
  <c r="G86" i="49"/>
  <c r="F86" i="49"/>
  <c r="E86" i="49"/>
  <c r="D86" i="49"/>
  <c r="G85" i="49"/>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D25" i="49"/>
  <c r="D24" i="49"/>
  <c r="D23" i="49"/>
  <c r="D22" i="49"/>
  <c r="D21" i="49"/>
  <c r="D20" i="49"/>
  <c r="D19" i="49"/>
  <c r="D18" i="49"/>
  <c r="D17" i="49"/>
  <c r="D16" i="49"/>
  <c r="D15" i="49"/>
  <c r="D14" i="49"/>
  <c r="A14" i="49"/>
  <c r="A15" i="49" s="1"/>
  <c r="A16" i="49" s="1"/>
  <c r="A17" i="49" s="1"/>
  <c r="A18" i="49" s="1"/>
  <c r="A19" i="49" s="1"/>
  <c r="A20" i="49" s="1"/>
  <c r="A21" i="49" s="1"/>
  <c r="A22" i="49" s="1"/>
  <c r="A23" i="49" s="1"/>
  <c r="A24" i="49" s="1"/>
  <c r="A25" i="49" s="1"/>
  <c r="D13" i="49"/>
  <c r="A45" i="48" l="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M13" i="48"/>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J90" i="49"/>
  <c r="K90" i="49" s="1"/>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E20" i="71" l="1"/>
  <c r="F38" i="11"/>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J55" i="49"/>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J283" i="49" l="1"/>
  <c r="K283" i="49" s="1"/>
  <c r="J381" i="49"/>
  <c r="K381" i="49" s="1"/>
  <c r="J252" i="49"/>
  <c r="K252" i="49" s="1"/>
  <c r="J316" i="49"/>
  <c r="K316" i="49" s="1"/>
  <c r="J124" i="49"/>
  <c r="K124" i="49" s="1"/>
  <c r="K123" i="49"/>
  <c r="P37" i="48"/>
  <c r="D41" i="57" s="1"/>
  <c r="J219" i="49"/>
  <c r="A107" i="48"/>
  <c r="A111" i="48" s="1"/>
  <c r="G72" i="48"/>
  <c r="I87" i="48"/>
  <c r="I24" i="48" s="1"/>
  <c r="J188" i="49"/>
  <c r="K188" i="49" s="1"/>
  <c r="G19" i="7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284" i="49"/>
  <c r="K284" i="49" s="1"/>
  <c r="J382" i="49"/>
  <c r="K382" i="49" s="1"/>
  <c r="J92" i="49"/>
  <c r="K92" i="49" s="1"/>
  <c r="J155" i="49"/>
  <c r="K155" i="49" s="1"/>
  <c r="J253" i="49" l="1"/>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383" i="49"/>
  <c r="K383" i="49" s="1"/>
  <c r="J285" i="49"/>
  <c r="K285" i="49" s="1"/>
  <c r="J93" i="49"/>
  <c r="K93" i="49" s="1"/>
  <c r="J318" i="49" l="1"/>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384" i="49"/>
  <c r="K384" i="49" s="1"/>
  <c r="J94" i="49"/>
  <c r="K94" i="49" s="1"/>
  <c r="J319" i="49"/>
  <c r="K319" i="49" s="1"/>
  <c r="J191" i="49" l="1"/>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J320" i="49"/>
  <c r="K320" i="49" s="1"/>
  <c r="K59" i="49"/>
  <c r="J158" i="49"/>
  <c r="K158" i="49" s="1"/>
  <c r="J256" i="49"/>
  <c r="K256" i="49" s="1"/>
  <c r="J385" i="49"/>
  <c r="K385" i="49" s="1"/>
  <c r="J192" i="49" l="1"/>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386" i="49"/>
  <c r="K386" i="49" s="1"/>
  <c r="J321" i="49"/>
  <c r="K321" i="49" s="1"/>
  <c r="J288" i="49"/>
  <c r="K288" i="49" s="1"/>
  <c r="J257" i="49"/>
  <c r="K257" i="49" s="1"/>
  <c r="J96" i="49"/>
  <c r="K96" i="49" s="1"/>
  <c r="K60" i="49"/>
  <c r="J159" i="49"/>
  <c r="K159" i="49" s="1"/>
  <c r="J193" i="49" l="1"/>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387" i="49"/>
  <c r="K387" i="49" s="1"/>
  <c r="J322" i="49"/>
  <c r="K322" i="49" s="1"/>
  <c r="J225" i="49"/>
  <c r="K225" i="49" s="1"/>
  <c r="J194" i="49" l="1"/>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323" i="49"/>
  <c r="K323" i="49" s="1"/>
  <c r="J62" i="49"/>
  <c r="J388" i="49"/>
  <c r="K388" i="49" s="1"/>
  <c r="J98" i="49"/>
  <c r="K98" i="49" s="1"/>
  <c r="J195" i="49" l="1"/>
  <c r="K195"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324" i="49"/>
  <c r="K324" i="49" s="1"/>
  <c r="J99" i="49"/>
  <c r="K99" i="49" s="1"/>
  <c r="J389" i="49"/>
  <c r="K389" i="49" s="1"/>
  <c r="J162" i="49"/>
  <c r="J291" i="49"/>
  <c r="K291" i="49" s="1"/>
  <c r="J260" i="49"/>
  <c r="K260" i="49" s="1"/>
  <c r="J227" i="49"/>
  <c r="K227" i="49" s="1"/>
  <c r="J132" i="49" l="1"/>
  <c r="K132" i="49" s="1"/>
  <c r="J196" i="49"/>
  <c r="K196"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390" i="49"/>
  <c r="K390" i="49" s="1"/>
  <c r="J325" i="49"/>
  <c r="K325" i="49" s="1"/>
  <c r="J228" i="49"/>
  <c r="K228" i="49" s="1"/>
  <c r="J292" i="49"/>
  <c r="K292" i="49" s="1"/>
  <c r="J261" i="49"/>
  <c r="K261" i="49" s="1"/>
  <c r="J100" i="49"/>
  <c r="K100" i="49" s="1"/>
  <c r="J163" i="49"/>
  <c r="K163" i="49" s="1"/>
  <c r="J133" i="49" l="1"/>
  <c r="K133" i="49" s="1"/>
  <c r="J197" i="49"/>
  <c r="K197" i="49" s="1"/>
  <c r="J356" i="49"/>
  <c r="K356" i="49" s="1"/>
  <c r="A366" i="49"/>
  <c r="A367" i="49" s="1"/>
  <c r="A368" i="49" s="1"/>
  <c r="A369" i="49" s="1"/>
  <c r="G17" i="71" s="1"/>
  <c r="G16" i="71"/>
  <c r="K86" i="48"/>
  <c r="K22" i="48"/>
  <c r="K57" i="48"/>
  <c r="J101" i="49"/>
  <c r="K101" i="49" s="1"/>
  <c r="J326" i="49"/>
  <c r="K326" i="49" s="1"/>
  <c r="J262" i="49"/>
  <c r="K262" i="49" s="1"/>
  <c r="J391" i="49"/>
  <c r="K391" i="49" s="1"/>
  <c r="K65" i="49"/>
  <c r="J164" i="49"/>
  <c r="J293" i="49"/>
  <c r="K293" i="49" s="1"/>
  <c r="J65" i="49"/>
  <c r="J229" i="49"/>
  <c r="K229" i="49" s="1"/>
  <c r="J134" i="49" l="1"/>
  <c r="K134" i="49" s="1"/>
  <c r="J198" i="49"/>
  <c r="K198" i="49" s="1"/>
  <c r="J357" i="49"/>
  <c r="K357" i="49" s="1"/>
  <c r="J66" i="49"/>
  <c r="K164" i="49"/>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294" i="49"/>
  <c r="K294" i="49" s="1"/>
  <c r="J263" i="49"/>
  <c r="K263" i="49" s="1"/>
  <c r="J102" i="49"/>
  <c r="K102" i="49" s="1"/>
  <c r="J230" i="49"/>
  <c r="K230" i="49" s="1"/>
  <c r="J165" i="49"/>
  <c r="K165" i="49" s="1"/>
  <c r="J392" i="49"/>
  <c r="K392" i="49" s="1"/>
  <c r="J327" i="49"/>
  <c r="K327" i="49" s="1"/>
  <c r="J135" i="49" l="1"/>
  <c r="K135" i="49" s="1"/>
  <c r="J199" i="49"/>
  <c r="K199" i="49" s="1"/>
  <c r="J358" i="49"/>
  <c r="K358" i="49" s="1"/>
  <c r="K66" i="49"/>
  <c r="A399" i="49"/>
  <c r="A400" i="49" s="1"/>
  <c r="A401" i="49" s="1"/>
  <c r="A402" i="49" s="1"/>
  <c r="G18" i="71" s="1"/>
  <c r="K88" i="48"/>
  <c r="K24" i="48"/>
  <c r="K59" i="48"/>
  <c r="J393" i="49"/>
  <c r="K393" i="49" s="1"/>
  <c r="J103" i="49"/>
  <c r="K103" i="49" s="1"/>
  <c r="J166" i="49"/>
  <c r="K166" i="49" s="1"/>
  <c r="K67" i="49"/>
  <c r="J295" i="49"/>
  <c r="K295" i="49" s="1"/>
  <c r="J200" i="49"/>
  <c r="K200" i="49" s="1"/>
  <c r="J67" i="49"/>
  <c r="J231" i="49"/>
  <c r="K231" i="49" s="1"/>
  <c r="J328" i="49"/>
  <c r="K328" i="49" s="1"/>
  <c r="J264" i="49"/>
  <c r="K264" i="49" s="1"/>
  <c r="J136" i="49" l="1"/>
  <c r="K136" i="49" s="1"/>
  <c r="J359" i="49"/>
  <c r="K359" i="49" s="1"/>
  <c r="K89" i="48"/>
  <c r="K25" i="48"/>
  <c r="K60" i="48"/>
  <c r="J167" i="49"/>
  <c r="J329" i="49"/>
  <c r="K329" i="49" s="1"/>
  <c r="J104" i="49"/>
  <c r="K104" i="49" s="1"/>
  <c r="J265" i="49"/>
  <c r="K265" i="49" s="1"/>
  <c r="J232" i="49"/>
  <c r="K232" i="49" s="1"/>
  <c r="J68" i="49"/>
  <c r="J201" i="49"/>
  <c r="K201" i="49" s="1"/>
  <c r="J296" i="49"/>
  <c r="K296" i="49" s="1"/>
  <c r="J394" i="49"/>
  <c r="K394" i="49" s="1"/>
  <c r="J137" i="49" l="1"/>
  <c r="K137" i="49" s="1"/>
  <c r="J360" i="49"/>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68" i="49"/>
  <c r="K168" i="49" s="1"/>
  <c r="J138" i="49" l="1"/>
  <c r="K138" i="49" s="1"/>
  <c r="J361" i="49"/>
  <c r="K361" i="49" s="1"/>
  <c r="K62" i="48"/>
  <c r="K91" i="48"/>
  <c r="K27" i="48"/>
  <c r="J267" i="49"/>
  <c r="K267" i="49" s="1"/>
  <c r="J169" i="49"/>
  <c r="K70" i="49"/>
  <c r="J234" i="49"/>
  <c r="K234" i="49" s="1"/>
  <c r="J70" i="49"/>
  <c r="J331" i="49"/>
  <c r="K331" i="49" s="1"/>
  <c r="J298" i="49"/>
  <c r="K298" i="49" s="1"/>
  <c r="J396" i="49"/>
  <c r="K396" i="49" s="1"/>
  <c r="J203" i="49"/>
  <c r="K203" i="49" s="1"/>
  <c r="J106" i="49"/>
  <c r="K106" i="49" s="1"/>
  <c r="J139" i="49" l="1"/>
  <c r="K139" i="49" s="1"/>
  <c r="J362" i="49"/>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236" i="49"/>
  <c r="K236" i="49" s="1"/>
  <c r="J300" i="49"/>
  <c r="K300" i="49" s="1"/>
  <c r="J333" i="49"/>
  <c r="K333" i="49" s="1"/>
  <c r="J398" i="49"/>
  <c r="K398" i="49" s="1"/>
  <c r="J364" i="49" l="1"/>
  <c r="K364" i="49" s="1"/>
  <c r="J399" i="49"/>
  <c r="K399" i="49" s="1"/>
  <c r="K94" i="48"/>
  <c r="K30" i="48"/>
  <c r="K65" i="48"/>
  <c r="J172" i="49"/>
  <c r="K172" i="49" s="1"/>
  <c r="K73" i="49"/>
  <c r="J270" i="49"/>
  <c r="K270" i="49" s="1"/>
  <c r="J334" i="49"/>
  <c r="K334" i="49" s="1"/>
  <c r="J301" i="49"/>
  <c r="K301" i="49" s="1"/>
  <c r="J142" i="49"/>
  <c r="K142" i="49" s="1"/>
  <c r="J109" i="49"/>
  <c r="J237" i="49"/>
  <c r="K237" i="49" s="1"/>
  <c r="J206" i="49"/>
  <c r="K206" i="49" s="1"/>
  <c r="J73" i="49"/>
  <c r="J365" i="49" l="1"/>
  <c r="K365" i="49" s="1"/>
  <c r="J74" i="49"/>
  <c r="J110" i="49"/>
  <c r="K110" i="49" s="1"/>
  <c r="K109" i="49"/>
  <c r="K66" i="48"/>
  <c r="J400" i="49"/>
  <c r="K400" i="49" s="1"/>
  <c r="J335" i="49"/>
  <c r="K335" i="49" s="1"/>
  <c r="J302" i="49"/>
  <c r="K302" i="49" s="1"/>
  <c r="J271" i="49"/>
  <c r="K271" i="49" s="1"/>
  <c r="J238" i="49"/>
  <c r="K238" i="49" s="1"/>
  <c r="J207" i="49"/>
  <c r="K207" i="49" s="1"/>
  <c r="J143" i="49"/>
  <c r="K143" i="49" s="1"/>
  <c r="K95" i="48"/>
  <c r="K31" i="48"/>
  <c r="K74" i="49"/>
  <c r="J173" i="49"/>
  <c r="K173" i="49" s="1"/>
  <c r="J366" i="49" l="1"/>
  <c r="K366" i="49" s="1"/>
  <c r="J111" i="49"/>
  <c r="K111" i="49" s="1"/>
  <c r="K67" i="48"/>
  <c r="J401" i="49"/>
  <c r="J336" i="49"/>
  <c r="K336" i="49" s="1"/>
  <c r="J303" i="49"/>
  <c r="K303" i="49" s="1"/>
  <c r="J272" i="49"/>
  <c r="K272" i="49" s="1"/>
  <c r="J239" i="49"/>
  <c r="K239" i="49" s="1"/>
  <c r="J208" i="49"/>
  <c r="K208" i="49" s="1"/>
  <c r="K75" i="49"/>
  <c r="J174" i="49"/>
  <c r="J144" i="49"/>
  <c r="K144" i="49" s="1"/>
  <c r="K96" i="48"/>
  <c r="K97" i="48" s="1"/>
  <c r="K98" i="48" s="1"/>
  <c r="K99" i="48" s="1"/>
  <c r="K32" i="48"/>
  <c r="J75" i="49"/>
  <c r="J112" i="49" l="1"/>
  <c r="K112" i="49" s="1"/>
  <c r="K113" i="49" s="1"/>
  <c r="G26" i="11" s="1"/>
  <c r="J367" i="49"/>
  <c r="K367" i="49" s="1"/>
  <c r="K401" i="49"/>
  <c r="K402" i="49" s="1"/>
  <c r="G35" i="11" s="1"/>
  <c r="J76" i="49"/>
  <c r="K174" i="49"/>
  <c r="K76" i="49" s="1"/>
  <c r="K35" i="48"/>
  <c r="K34" i="48"/>
  <c r="K68" i="48"/>
  <c r="K36" i="48" s="1"/>
  <c r="J337" i="49"/>
  <c r="K337" i="49" s="1"/>
  <c r="J304" i="49"/>
  <c r="K304" i="49" s="1"/>
  <c r="J273" i="49"/>
  <c r="K273" i="49" s="1"/>
  <c r="J240" i="49"/>
  <c r="K240" i="49" s="1"/>
  <c r="J209" i="49"/>
  <c r="K209" i="49" s="1"/>
  <c r="J175" i="49"/>
  <c r="J145" i="49"/>
  <c r="K145" i="49" s="1"/>
  <c r="K33" i="48"/>
  <c r="F18" i="71" l="1"/>
  <c r="F19" i="71"/>
  <c r="J368" i="49"/>
  <c r="K368" i="49" s="1"/>
  <c r="K369" i="49" s="1"/>
  <c r="J77" i="49"/>
  <c r="K175" i="49"/>
  <c r="K77" i="49" s="1"/>
  <c r="F9" i="71"/>
  <c r="K37" i="48"/>
  <c r="C41" i="57" s="1"/>
  <c r="K241" i="49"/>
  <c r="K305"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59" i="15"/>
  <c r="G160" i="15" s="1"/>
  <c r="G151" i="15"/>
  <c r="G152" i="15" s="1"/>
  <c r="I133" i="15"/>
  <c r="A133" i="15"/>
  <c r="I131" i="15"/>
  <c r="G131" i="15"/>
  <c r="F131" i="15"/>
  <c r="I122" i="15"/>
  <c r="A105" i="15"/>
  <c r="A106" i="15" s="1"/>
  <c r="A107" i="15" s="1"/>
  <c r="A108" i="15" s="1"/>
  <c r="A109" i="15" s="1"/>
  <c r="A110" i="15" s="1"/>
  <c r="A111" i="15" s="1"/>
  <c r="A112" i="15" s="1"/>
  <c r="A113" i="15" s="1"/>
  <c r="E96" i="15"/>
  <c r="A92" i="15"/>
  <c r="A93" i="15" s="1"/>
  <c r="I91" i="15"/>
  <c r="H91" i="15"/>
  <c r="D91" i="15"/>
  <c r="A83" i="15"/>
  <c r="A84" i="15" s="1"/>
  <c r="A85" i="15" s="1"/>
  <c r="A86" i="15" s="1"/>
  <c r="A87" i="15" s="1"/>
  <c r="A88" i="15" s="1"/>
  <c r="I71" i="15"/>
  <c r="A71" i="15"/>
  <c r="E76" i="15" s="1"/>
  <c r="I69" i="15"/>
  <c r="A31" i="15"/>
  <c r="A11" i="15"/>
  <c r="A12" i="15" s="1"/>
  <c r="A13" i="15" s="1"/>
  <c r="H43" i="15" l="1"/>
  <c r="H35" i="15"/>
  <c r="H37" i="15"/>
  <c r="H36" i="15"/>
  <c r="H32" i="15"/>
  <c r="H34" i="15"/>
  <c r="A14" i="15"/>
  <c r="A15" i="15" s="1"/>
  <c r="A16" i="15" s="1"/>
  <c r="A17" i="15" s="1"/>
  <c r="A18" i="15" s="1"/>
  <c r="A19" i="15" s="1"/>
  <c r="A20" i="15" s="1"/>
  <c r="A21" i="15" s="1"/>
  <c r="A22" i="15" s="1"/>
  <c r="A23" i="15" s="1"/>
  <c r="A24" i="15" s="1"/>
  <c r="G38" i="11"/>
  <c r="H122" i="15"/>
  <c r="H133" i="15" s="1"/>
  <c r="E19" i="15"/>
  <c r="K79" i="49"/>
  <c r="C42" i="57" s="1"/>
  <c r="F11" i="71"/>
  <c r="F20" i="71" s="1"/>
  <c r="F91" i="15"/>
  <c r="F93" i="15" s="1"/>
  <c r="I93" i="15"/>
  <c r="E91" i="15"/>
  <c r="A134" i="15"/>
  <c r="A135" i="15" s="1"/>
  <c r="E12" i="15" s="1"/>
  <c r="D71" i="15"/>
  <c r="G91" i="15"/>
  <c r="F71" i="15"/>
  <c r="F73" i="15" s="1"/>
  <c r="A32" i="15"/>
  <c r="A33" i="15" s="1"/>
  <c r="A34" i="15" s="1"/>
  <c r="A35" i="15" s="1"/>
  <c r="A36" i="15" s="1"/>
  <c r="A37" i="15" s="1"/>
  <c r="A38" i="15" s="1"/>
  <c r="A39" i="15" s="1"/>
  <c r="A40" i="15" s="1"/>
  <c r="A41" i="15" s="1"/>
  <c r="A42" i="15" s="1"/>
  <c r="A43" i="15" s="1"/>
  <c r="A44" i="15" s="1"/>
  <c r="A45" i="15" s="1"/>
  <c r="A46" i="15" s="1"/>
  <c r="A47" i="15" s="1"/>
  <c r="A48" i="15" s="1"/>
  <c r="I57" i="15"/>
  <c r="A96" i="15"/>
  <c r="E11" i="15"/>
  <c r="A72" i="15"/>
  <c r="A73" i="15" s="1"/>
  <c r="E138" i="15"/>
  <c r="G122" i="15" l="1"/>
  <c r="G133" i="15" s="1"/>
  <c r="E122" i="15"/>
  <c r="E133" i="15" s="1"/>
  <c r="H57" i="15"/>
  <c r="H71" i="15" s="1"/>
  <c r="E57" i="15"/>
  <c r="E71" i="15" s="1"/>
  <c r="D82" i="7"/>
  <c r="A138" i="15"/>
  <c r="I135" i="15"/>
  <c r="A76" i="15"/>
  <c r="E10" i="15"/>
  <c r="D133" i="15"/>
  <c r="I73" i="15"/>
  <c r="F133" i="15"/>
  <c r="F135" i="15" s="1"/>
  <c r="G57" i="15" l="1"/>
  <c r="G71" i="15" s="1"/>
  <c r="E24" i="15"/>
  <c r="E42" i="30" l="1"/>
  <c r="E22" i="30" s="1"/>
  <c r="E41" i="30"/>
  <c r="D22" i="30" s="1"/>
  <c r="F103" i="8" l="1"/>
  <c r="F98" i="8"/>
  <c r="E84" i="8"/>
  <c r="E87" i="8" s="1"/>
  <c r="G79" i="46"/>
  <c r="G78" i="46"/>
  <c r="J10" i="28" l="1"/>
  <c r="C12" i="72"/>
  <c r="L10" i="28" s="1"/>
  <c r="F23" i="22" l="1"/>
  <c r="A10" i="22"/>
  <c r="A11" i="22" s="1"/>
  <c r="A12" i="22" s="1"/>
  <c r="A13" i="22" s="1"/>
  <c r="A14" i="22" s="1"/>
  <c r="A15" i="22" s="1"/>
  <c r="A16" i="22" s="1"/>
  <c r="A17" i="22" s="1"/>
  <c r="A18" i="22" s="1"/>
  <c r="A19" i="22" s="1"/>
  <c r="A20" i="22" s="1"/>
  <c r="A21" i="22" l="1"/>
  <c r="G23" i="22" s="1"/>
  <c r="K108" i="1" l="1"/>
  <c r="H213" i="61" l="1"/>
  <c r="H216" i="61" s="1"/>
  <c r="M213" i="61" l="1"/>
  <c r="F213" i="61"/>
  <c r="N213" i="61" s="1"/>
  <c r="G213" i="61" l="1"/>
  <c r="I213" i="61" s="1"/>
  <c r="D125" i="2" l="1"/>
  <c r="D126" i="2" s="1"/>
  <c r="F163" i="46" s="1"/>
  <c r="D119" i="2"/>
  <c r="D120" i="2" s="1"/>
  <c r="F162" i="46" s="1"/>
  <c r="D113" i="2"/>
  <c r="D114" i="2" s="1"/>
  <c r="F161" i="46" s="1"/>
  <c r="D107" i="2"/>
  <c r="D108" i="2" s="1"/>
  <c r="F145" i="46" s="1"/>
  <c r="D101" i="2"/>
  <c r="D102" i="2" s="1"/>
  <c r="F141" i="46" s="1"/>
  <c r="D95" i="2"/>
  <c r="D96" i="2" s="1"/>
  <c r="F136" i="46" s="1"/>
  <c r="D89" i="2"/>
  <c r="D90" i="2" s="1"/>
  <c r="F134" i="46" s="1"/>
  <c r="D83" i="2"/>
  <c r="D84" i="2" s="1"/>
  <c r="F133" i="46" s="1"/>
  <c r="D77" i="2"/>
  <c r="D78" i="2" s="1"/>
  <c r="F132" i="46" s="1"/>
  <c r="D71" i="2"/>
  <c r="D72" i="2" s="1"/>
  <c r="F122" i="46" s="1"/>
  <c r="D65" i="2"/>
  <c r="D66" i="2" s="1"/>
  <c r="F121" i="46" s="1"/>
  <c r="D59" i="2"/>
  <c r="D60" i="2" s="1"/>
  <c r="D53" i="2"/>
  <c r="D54" i="2" s="1"/>
  <c r="D47" i="2"/>
  <c r="D48" i="2" s="1"/>
  <c r="F106" i="46" s="1"/>
  <c r="D41" i="2"/>
  <c r="D42" i="2" s="1"/>
  <c r="F105" i="46" s="1"/>
  <c r="D35" i="2"/>
  <c r="D36" i="2" s="1"/>
  <c r="F143" i="46" l="1"/>
  <c r="F109" i="46"/>
  <c r="F100" i="46"/>
  <c r="F101" i="46"/>
  <c r="F99" i="46"/>
  <c r="F108" i="46"/>
  <c r="F140" i="46"/>
  <c r="F139" i="46"/>
  <c r="F138" i="46"/>
  <c r="C29" i="46"/>
  <c r="L29" i="46"/>
  <c r="E115" i="46" s="1"/>
  <c r="K29" i="46"/>
  <c r="G29" i="46"/>
  <c r="J29" i="46" l="1"/>
  <c r="C115" i="46" s="1"/>
  <c r="D115" i="46"/>
  <c r="L40" i="28"/>
  <c r="L39" i="28" l="1"/>
  <c r="E45" i="21"/>
  <c r="E44" i="21"/>
  <c r="E12" i="2" l="1"/>
  <c r="E11" i="2"/>
  <c r="E41" i="71"/>
  <c r="H27" i="8"/>
  <c r="H25" i="8"/>
  <c r="H23" i="8"/>
  <c r="H9" i="8"/>
  <c r="H8" i="8"/>
  <c r="G41" i="32"/>
  <c r="G35" i="32"/>
  <c r="G29" i="32"/>
  <c r="G21" i="32"/>
  <c r="G15" i="32"/>
  <c r="B99" i="44"/>
  <c r="B194" i="71"/>
  <c r="F141" i="71"/>
  <c r="F140" i="71"/>
  <c r="D87" i="46"/>
  <c r="G90" i="12"/>
  <c r="J49" i="28"/>
  <c r="J47" i="28"/>
  <c r="J46" i="28"/>
  <c r="J32" i="28"/>
  <c r="J8" i="28"/>
  <c r="G69" i="8"/>
  <c r="G71" i="8"/>
  <c r="E51" i="7"/>
  <c r="E39" i="7"/>
  <c r="I134" i="1"/>
  <c r="I133" i="1"/>
  <c r="I130" i="1"/>
  <c r="I128" i="1"/>
  <c r="I126" i="1"/>
  <c r="I100" i="1"/>
  <c r="I32" i="1"/>
  <c r="I30" i="1"/>
  <c r="I26" i="1"/>
  <c r="I22" i="1"/>
  <c r="I12" i="1"/>
  <c r="I11" i="1"/>
  <c r="D7" i="17" l="1"/>
  <c r="F229" i="61" l="1"/>
  <c r="F230" i="61"/>
  <c r="F227" i="61"/>
  <c r="F233" i="61"/>
  <c r="J45" i="8" l="1"/>
  <c r="E71" i="8" l="1"/>
  <c r="C108" i="26" l="1"/>
  <c r="E19" i="55"/>
  <c r="E17" i="55"/>
  <c r="E18" i="55"/>
  <c r="I21" i="45"/>
  <c r="L24" i="64" l="1"/>
  <c r="C128" i="48" s="1"/>
  <c r="E128" i="48" s="1"/>
  <c r="K24" i="64"/>
  <c r="C127" i="48" s="1"/>
  <c r="E127" i="48" s="1"/>
  <c r="J24" i="64"/>
  <c r="C126" i="48" s="1"/>
  <c r="E126" i="48" s="1"/>
  <c r="I24" i="64"/>
  <c r="C125" i="48" s="1"/>
  <c r="E125" i="48" s="1"/>
  <c r="H24" i="64"/>
  <c r="C124" i="48" s="1"/>
  <c r="E124" i="48" s="1"/>
  <c r="G24" i="64"/>
  <c r="C123" i="48" s="1"/>
  <c r="E123" i="48" s="1"/>
  <c r="F24" i="64"/>
  <c r="C122" i="48" s="1"/>
  <c r="E122" i="48" s="1"/>
  <c r="E24" i="64"/>
  <c r="C121" i="48" s="1"/>
  <c r="E121" i="48" l="1"/>
  <c r="E130" i="48" s="1"/>
  <c r="E131" i="48"/>
  <c r="F70" i="26"/>
  <c r="H57" i="26"/>
  <c r="F64" i="26"/>
  <c r="E133" i="48" l="1"/>
  <c r="L92" i="48" s="1"/>
  <c r="G63" i="22"/>
  <c r="G69" i="22"/>
  <c r="G46" i="22"/>
  <c r="G34" i="22"/>
  <c r="C57" i="22"/>
  <c r="L96" i="48" l="1"/>
  <c r="L46" i="48"/>
  <c r="M46" i="48" s="1"/>
  <c r="L97" i="48"/>
  <c r="L98" i="48"/>
  <c r="L99" i="48"/>
  <c r="L85" i="48"/>
  <c r="L81" i="48"/>
  <c r="L89" i="48"/>
  <c r="L95" i="48"/>
  <c r="L62" i="48"/>
  <c r="L87" i="48"/>
  <c r="L55" i="48"/>
  <c r="L79" i="48"/>
  <c r="L65" i="48"/>
  <c r="L61" i="48"/>
  <c r="L29" i="48" s="1"/>
  <c r="L58" i="48"/>
  <c r="L53" i="48"/>
  <c r="L78" i="48"/>
  <c r="L93" i="48"/>
  <c r="L60" i="48"/>
  <c r="L86" i="48"/>
  <c r="L52" i="48"/>
  <c r="L48" i="48"/>
  <c r="L66" i="48"/>
  <c r="L67" i="48"/>
  <c r="L68" i="48"/>
  <c r="L54" i="48"/>
  <c r="L50" i="48"/>
  <c r="L49" i="48"/>
  <c r="L64" i="48"/>
  <c r="L91" i="48"/>
  <c r="L59" i="48"/>
  <c r="L56" i="48"/>
  <c r="L83" i="48"/>
  <c r="L20" i="48" s="1"/>
  <c r="L51" i="48"/>
  <c r="L47" i="48"/>
  <c r="L94" i="48"/>
  <c r="L63" i="48"/>
  <c r="L90" i="48"/>
  <c r="L88" i="48"/>
  <c r="L57" i="48"/>
  <c r="L84" i="48"/>
  <c r="L82" i="48"/>
  <c r="L80" i="48"/>
  <c r="L77" i="48"/>
  <c r="M77" i="48" s="1"/>
  <c r="N77" i="48" s="1"/>
  <c r="F69" i="22"/>
  <c r="F46" i="22" s="1"/>
  <c r="F63" i="22"/>
  <c r="F34" i="22" s="1"/>
  <c r="L26" i="48" l="1"/>
  <c r="L33" i="48"/>
  <c r="L18" i="48"/>
  <c r="L34" i="48"/>
  <c r="L36" i="48"/>
  <c r="L21" i="48"/>
  <c r="L35" i="48"/>
  <c r="L16" i="48"/>
  <c r="L22" i="48"/>
  <c r="L30" i="48"/>
  <c r="L23" i="48"/>
  <c r="L15" i="48"/>
  <c r="M78" i="48"/>
  <c r="N78" i="48" s="1"/>
  <c r="L24" i="48"/>
  <c r="L14" i="48"/>
  <c r="L28" i="48"/>
  <c r="L19" i="48"/>
  <c r="L32" i="48"/>
  <c r="L17" i="48"/>
  <c r="L27" i="48"/>
  <c r="L31" i="48"/>
  <c r="L25" i="48"/>
  <c r="F49" i="22"/>
  <c r="M14" i="48"/>
  <c r="N46" i="48"/>
  <c r="N14" i="48" s="1"/>
  <c r="M47" i="48"/>
  <c r="N210" i="61"/>
  <c r="J210" i="61"/>
  <c r="M210" i="61" s="1"/>
  <c r="G210" i="61"/>
  <c r="I210" i="61" s="1"/>
  <c r="E216" i="61"/>
  <c r="E217" i="61" s="1"/>
  <c r="M79" i="48" l="1"/>
  <c r="N79" i="48" s="1"/>
  <c r="M15" i="48"/>
  <c r="N47" i="48"/>
  <c r="N15" i="48" s="1"/>
  <c r="M48" i="48"/>
  <c r="K44" i="1"/>
  <c r="K52" i="1" s="1"/>
  <c r="B112" i="12"/>
  <c r="E129" i="21"/>
  <c r="M80" i="48" l="1"/>
  <c r="M81" i="48" s="1"/>
  <c r="M16" i="48"/>
  <c r="N48" i="48"/>
  <c r="N16" i="48" s="1"/>
  <c r="M49" i="48"/>
  <c r="K133" i="1"/>
  <c r="N80" i="48" l="1"/>
  <c r="N81" i="48"/>
  <c r="M82" i="48"/>
  <c r="M50" i="48"/>
  <c r="M17" i="48"/>
  <c r="N49" i="48"/>
  <c r="C8" i="72"/>
  <c r="L8" i="28" s="1"/>
  <c r="A34" i="72"/>
  <c r="J50" i="28" s="1"/>
  <c r="A26" i="72"/>
  <c r="J33" i="28" s="1"/>
  <c r="C32" i="72"/>
  <c r="L49" i="28" s="1"/>
  <c r="A22" i="72"/>
  <c r="A10" i="72"/>
  <c r="C34" i="72"/>
  <c r="L50" i="28" s="1"/>
  <c r="L46" i="28"/>
  <c r="C28" i="72"/>
  <c r="L34" i="28" s="1"/>
  <c r="L48" i="28" s="1"/>
  <c r="C26" i="72"/>
  <c r="L33" i="28" s="1"/>
  <c r="C24" i="72"/>
  <c r="C14" i="72"/>
  <c r="L11" i="28" s="1"/>
  <c r="C10" i="72"/>
  <c r="L9" i="28" s="1"/>
  <c r="N17" i="48" l="1"/>
  <c r="N50" i="48"/>
  <c r="N18" i="48" s="1"/>
  <c r="M51" i="48"/>
  <c r="M18" i="48"/>
  <c r="N82" i="48"/>
  <c r="M83" i="48"/>
  <c r="L16" i="28"/>
  <c r="A14" i="72"/>
  <c r="J9" i="28"/>
  <c r="L32" i="28"/>
  <c r="L47" i="28"/>
  <c r="A28" i="72"/>
  <c r="J34" i="28" s="1"/>
  <c r="N83" i="48" l="1"/>
  <c r="M84" i="48"/>
  <c r="M52" i="48"/>
  <c r="N51" i="48"/>
  <c r="N19" i="48" s="1"/>
  <c r="M19" i="48"/>
  <c r="A16" i="72"/>
  <c r="J11" i="28"/>
  <c r="M53" i="48" l="1"/>
  <c r="M20" i="48"/>
  <c r="N52" i="48"/>
  <c r="N20" i="48" s="1"/>
  <c r="N84" i="48"/>
  <c r="M85" i="48"/>
  <c r="A18" i="72"/>
  <c r="M54" i="48" l="1"/>
  <c r="M21" i="48"/>
  <c r="N53" i="48"/>
  <c r="N21" i="48" s="1"/>
  <c r="N85" i="48"/>
  <c r="M86" i="48"/>
  <c r="L41" i="28"/>
  <c r="A9" i="28"/>
  <c r="M55" i="48" l="1"/>
  <c r="N54" i="48"/>
  <c r="N22" i="48" s="1"/>
  <c r="M22" i="48"/>
  <c r="N86" i="48"/>
  <c r="M87" i="48"/>
  <c r="A11" i="28"/>
  <c r="A12" i="28" s="1"/>
  <c r="A13" i="28" s="1"/>
  <c r="L51" i="28"/>
  <c r="L35" i="28"/>
  <c r="L43" i="28" s="1"/>
  <c r="M23" i="48" l="1"/>
  <c r="M56" i="48"/>
  <c r="N55" i="48"/>
  <c r="N23" i="48" s="1"/>
  <c r="N87" i="48"/>
  <c r="M88" i="48"/>
  <c r="J16" i="28"/>
  <c r="A14" i="28"/>
  <c r="E41" i="57"/>
  <c r="N88" i="48" l="1"/>
  <c r="M89" i="48"/>
  <c r="M24" i="48"/>
  <c r="N56" i="48"/>
  <c r="N24" i="48" s="1"/>
  <c r="M57" i="48"/>
  <c r="M25" i="48" l="1"/>
  <c r="M58" i="48"/>
  <c r="N57" i="48"/>
  <c r="N25" i="48" s="1"/>
  <c r="N89" i="48"/>
  <c r="M90" i="48"/>
  <c r="E27" i="12"/>
  <c r="E26" i="12"/>
  <c r="E25" i="12"/>
  <c r="N90" i="48" l="1"/>
  <c r="M91" i="48"/>
  <c r="N58" i="48"/>
  <c r="N26" i="48" s="1"/>
  <c r="M26" i="48"/>
  <c r="M59" i="48"/>
  <c r="A15" i="28"/>
  <c r="M60" i="48" l="1"/>
  <c r="N59" i="48"/>
  <c r="N27" i="48" s="1"/>
  <c r="M27" i="48"/>
  <c r="N91" i="48"/>
  <c r="M92" i="48"/>
  <c r="A16" i="28"/>
  <c r="I63" i="1" s="1"/>
  <c r="N60" i="48" l="1"/>
  <c r="N28" i="48" s="1"/>
  <c r="M61" i="48"/>
  <c r="M28" i="48"/>
  <c r="N92" i="48"/>
  <c r="M93" i="48"/>
  <c r="A19" i="28"/>
  <c r="J27" i="28" s="1"/>
  <c r="N93" i="48" l="1"/>
  <c r="M94" i="48"/>
  <c r="M62" i="48"/>
  <c r="M29" i="48"/>
  <c r="N61" i="48"/>
  <c r="N29" i="48" s="1"/>
  <c r="A20" i="28"/>
  <c r="A21" i="28" s="1"/>
  <c r="A22" i="28" s="1"/>
  <c r="A23" i="28" s="1"/>
  <c r="A25" i="28" s="1"/>
  <c r="A26" i="28" s="1"/>
  <c r="A27" i="28" s="1"/>
  <c r="I64" i="1" s="1"/>
  <c r="M63" i="48" l="1"/>
  <c r="M30" i="48"/>
  <c r="N62" i="48"/>
  <c r="N30" i="48" s="1"/>
  <c r="N94" i="48"/>
  <c r="M95" i="48"/>
  <c r="A29" i="28"/>
  <c r="I65" i="1" s="1"/>
  <c r="J29" i="28"/>
  <c r="A32" i="28"/>
  <c r="A33" i="28" s="1"/>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F108" i="11"/>
  <c r="E98" i="11" l="1"/>
  <c r="G98" i="11" s="1"/>
  <c r="E106" i="11"/>
  <c r="G106" i="11" s="1"/>
  <c r="E102" i="11"/>
  <c r="G102" i="11" s="1"/>
  <c r="E100" i="11"/>
  <c r="G100" i="11" s="1"/>
  <c r="E104" i="11"/>
  <c r="G104" i="11" s="1"/>
  <c r="E96" i="11"/>
  <c r="G96" i="11" s="1"/>
  <c r="E95" i="11"/>
  <c r="G95" i="11" s="1"/>
  <c r="E97" i="11"/>
  <c r="G97" i="11" s="1"/>
  <c r="E99" i="11"/>
  <c r="G99" i="11" s="1"/>
  <c r="E101" i="11"/>
  <c r="G101" i="11" s="1"/>
  <c r="E103" i="11"/>
  <c r="G103" i="11" s="1"/>
  <c r="E105" i="11"/>
  <c r="G105" i="11" s="1"/>
  <c r="E107" i="11"/>
  <c r="G107" i="11" s="1"/>
  <c r="N95" i="48"/>
  <c r="M96" i="48"/>
  <c r="M64" i="48"/>
  <c r="M31" i="48"/>
  <c r="N63" i="48"/>
  <c r="N31" i="48" s="1"/>
  <c r="I47" i="28"/>
  <c r="A34" i="28"/>
  <c r="B57" i="28" s="1"/>
  <c r="N96" i="48" l="1"/>
  <c r="M97" i="48"/>
  <c r="G108" i="11"/>
  <c r="E108" i="11"/>
  <c r="M32" i="48"/>
  <c r="N64" i="48"/>
  <c r="N32" i="48" s="1"/>
  <c r="M65" i="48"/>
  <c r="M66" i="48" s="1"/>
  <c r="I48" i="28"/>
  <c r="A35" i="28"/>
  <c r="I68" i="1" s="1"/>
  <c r="J35" i="28"/>
  <c r="M34" i="48" l="1"/>
  <c r="N97" i="48"/>
  <c r="M98" i="48"/>
  <c r="N66" i="48"/>
  <c r="M67" i="48"/>
  <c r="N65" i="48"/>
  <c r="N33" i="48" s="1"/>
  <c r="M33" i="48"/>
  <c r="A38" i="28"/>
  <c r="A39" i="28" s="1"/>
  <c r="A40" i="28" s="1"/>
  <c r="A41" i="28" s="1"/>
  <c r="I69" i="1" s="1"/>
  <c r="B170" i="21"/>
  <c r="D156" i="21"/>
  <c r="M129" i="21"/>
  <c r="L129" i="21"/>
  <c r="K129" i="21"/>
  <c r="J129" i="21"/>
  <c r="I129" i="21"/>
  <c r="H129" i="21"/>
  <c r="G129" i="21"/>
  <c r="F129" i="21"/>
  <c r="D129" i="21"/>
  <c r="M83" i="21"/>
  <c r="L83" i="21"/>
  <c r="K83" i="21"/>
  <c r="J83" i="21"/>
  <c r="I83" i="21"/>
  <c r="H83" i="21"/>
  <c r="G83" i="21"/>
  <c r="F83" i="21"/>
  <c r="E83" i="21"/>
  <c r="D83" i="21"/>
  <c r="N82" i="21"/>
  <c r="N81" i="21"/>
  <c r="N80" i="21"/>
  <c r="N79" i="21"/>
  <c r="N78" i="21"/>
  <c r="N77" i="21"/>
  <c r="N76" i="21"/>
  <c r="N75" i="21"/>
  <c r="N74" i="21"/>
  <c r="N73" i="21"/>
  <c r="N72" i="21"/>
  <c r="N71" i="21"/>
  <c r="F58" i="21"/>
  <c r="E46" i="21"/>
  <c r="F51" i="21" s="1"/>
  <c r="F35" i="21"/>
  <c r="E35" i="21"/>
  <c r="D35" i="21"/>
  <c r="A35" i="21"/>
  <c r="H19" i="8" s="1"/>
  <c r="G34" i="21"/>
  <c r="G33" i="21"/>
  <c r="D25" i="21"/>
  <c r="N24" i="21"/>
  <c r="A13" i="21"/>
  <c r="A14" i="21" s="1"/>
  <c r="A15" i="21" s="1"/>
  <c r="A16" i="21" s="1"/>
  <c r="A17" i="21" s="1"/>
  <c r="A18" i="21" s="1"/>
  <c r="A19" i="21" s="1"/>
  <c r="A20" i="21" s="1"/>
  <c r="A21" i="21" s="1"/>
  <c r="A22" i="21" s="1"/>
  <c r="A23" i="21" s="1"/>
  <c r="A24" i="21" s="1"/>
  <c r="N12" i="21"/>
  <c r="M11" i="4"/>
  <c r="A12" i="4"/>
  <c r="A13" i="4" s="1"/>
  <c r="A14" i="4" s="1"/>
  <c r="A15" i="4" s="1"/>
  <c r="A16" i="4" s="1"/>
  <c r="A17" i="4" s="1"/>
  <c r="A18" i="4" s="1"/>
  <c r="A19" i="4" s="1"/>
  <c r="A20" i="4" s="1"/>
  <c r="A21" i="4" s="1"/>
  <c r="A22" i="4" s="1"/>
  <c r="A23" i="4" s="1"/>
  <c r="E36" i="7" s="1"/>
  <c r="M23" i="4"/>
  <c r="M24" i="64" s="1"/>
  <c r="F34" i="4"/>
  <c r="F35" i="4"/>
  <c r="D37" i="7" s="1"/>
  <c r="C36" i="4"/>
  <c r="D36" i="4"/>
  <c r="E36" i="4"/>
  <c r="H52" i="4"/>
  <c r="H53" i="4"/>
  <c r="F61" i="4" s="1"/>
  <c r="M74" i="4"/>
  <c r="M75" i="4"/>
  <c r="M76" i="4"/>
  <c r="M77" i="4"/>
  <c r="M78" i="4"/>
  <c r="M79" i="4"/>
  <c r="M80" i="4"/>
  <c r="M81" i="4"/>
  <c r="M82" i="4"/>
  <c r="M83" i="4"/>
  <c r="M84" i="4"/>
  <c r="M85" i="4"/>
  <c r="C86" i="4"/>
  <c r="D86" i="4"/>
  <c r="E86" i="4"/>
  <c r="F86" i="4"/>
  <c r="G86" i="4"/>
  <c r="H86" i="4"/>
  <c r="I86" i="4"/>
  <c r="J86" i="4"/>
  <c r="K86" i="4"/>
  <c r="L86" i="4"/>
  <c r="M94" i="4"/>
  <c r="M95" i="4"/>
  <c r="M96" i="4"/>
  <c r="M97" i="4"/>
  <c r="M98" i="4"/>
  <c r="M99" i="4"/>
  <c r="M100" i="4"/>
  <c r="M101" i="4"/>
  <c r="M102" i="4"/>
  <c r="M103" i="4"/>
  <c r="M104" i="4"/>
  <c r="M105" i="4"/>
  <c r="C106" i="4"/>
  <c r="C135" i="4" s="1"/>
  <c r="D106" i="4"/>
  <c r="D135" i="4" s="1"/>
  <c r="E106" i="4"/>
  <c r="E135" i="4" s="1"/>
  <c r="F106" i="4"/>
  <c r="F135" i="4" s="1"/>
  <c r="G106" i="4"/>
  <c r="G135" i="4" s="1"/>
  <c r="H106" i="4"/>
  <c r="H135" i="4" s="1"/>
  <c r="I106" i="4"/>
  <c r="I135" i="4" s="1"/>
  <c r="J106" i="4"/>
  <c r="J135" i="4" s="1"/>
  <c r="K106" i="4"/>
  <c r="K135" i="4" s="1"/>
  <c r="L106" i="4"/>
  <c r="L135" i="4" s="1"/>
  <c r="C114" i="4"/>
  <c r="D114" i="4"/>
  <c r="E114" i="4"/>
  <c r="F114" i="4"/>
  <c r="G114" i="4"/>
  <c r="H114" i="4"/>
  <c r="I114" i="4"/>
  <c r="J114" i="4"/>
  <c r="K114" i="4"/>
  <c r="L114" i="4"/>
  <c r="C115" i="4"/>
  <c r="D115" i="4"/>
  <c r="E115" i="4"/>
  <c r="F115" i="4"/>
  <c r="G115" i="4"/>
  <c r="H115" i="4"/>
  <c r="I115" i="4"/>
  <c r="J115" i="4"/>
  <c r="K115" i="4"/>
  <c r="L115" i="4"/>
  <c r="C116" i="4"/>
  <c r="D116" i="4"/>
  <c r="E116" i="4"/>
  <c r="F116" i="4"/>
  <c r="G116" i="4"/>
  <c r="H116" i="4"/>
  <c r="I116" i="4"/>
  <c r="J116" i="4"/>
  <c r="K116" i="4"/>
  <c r="L116" i="4"/>
  <c r="C117" i="4"/>
  <c r="D117" i="4"/>
  <c r="E117" i="4"/>
  <c r="F117" i="4"/>
  <c r="G117" i="4"/>
  <c r="H117" i="4"/>
  <c r="I117" i="4"/>
  <c r="J117" i="4"/>
  <c r="K117" i="4"/>
  <c r="L117" i="4"/>
  <c r="C118" i="4"/>
  <c r="D118" i="4"/>
  <c r="E118" i="4"/>
  <c r="F118" i="4"/>
  <c r="G118" i="4"/>
  <c r="H118" i="4"/>
  <c r="I118" i="4"/>
  <c r="J118" i="4"/>
  <c r="K118" i="4"/>
  <c r="L118" i="4"/>
  <c r="C119" i="4"/>
  <c r="D119" i="4"/>
  <c r="E119" i="4"/>
  <c r="F119" i="4"/>
  <c r="G119" i="4"/>
  <c r="H119" i="4"/>
  <c r="I119" i="4"/>
  <c r="J119" i="4"/>
  <c r="K119" i="4"/>
  <c r="L119" i="4"/>
  <c r="C120" i="4"/>
  <c r="D120" i="4"/>
  <c r="E120" i="4"/>
  <c r="F120" i="4"/>
  <c r="G120" i="4"/>
  <c r="H120" i="4"/>
  <c r="I120" i="4"/>
  <c r="J120" i="4"/>
  <c r="K120" i="4"/>
  <c r="L120" i="4"/>
  <c r="C121" i="4"/>
  <c r="D121" i="4"/>
  <c r="E121" i="4"/>
  <c r="F121" i="4"/>
  <c r="G121" i="4"/>
  <c r="H121" i="4"/>
  <c r="I121" i="4"/>
  <c r="J121" i="4"/>
  <c r="K121" i="4"/>
  <c r="L121" i="4"/>
  <c r="C122" i="4"/>
  <c r="D122" i="4"/>
  <c r="E122" i="4"/>
  <c r="F122" i="4"/>
  <c r="G122" i="4"/>
  <c r="H122" i="4"/>
  <c r="I122" i="4"/>
  <c r="J122" i="4"/>
  <c r="K122" i="4"/>
  <c r="L122" i="4"/>
  <c r="C123" i="4"/>
  <c r="D123" i="4"/>
  <c r="E123" i="4"/>
  <c r="F123" i="4"/>
  <c r="G123" i="4"/>
  <c r="H123" i="4"/>
  <c r="I123" i="4"/>
  <c r="J123" i="4"/>
  <c r="K123" i="4"/>
  <c r="L123" i="4"/>
  <c r="C124" i="4"/>
  <c r="D124" i="4"/>
  <c r="E124" i="4"/>
  <c r="F124" i="4"/>
  <c r="G124" i="4"/>
  <c r="H124" i="4"/>
  <c r="I124" i="4"/>
  <c r="J124" i="4"/>
  <c r="K124" i="4"/>
  <c r="L124" i="4"/>
  <c r="C125" i="4"/>
  <c r="D125" i="4"/>
  <c r="E125" i="4"/>
  <c r="F125" i="4"/>
  <c r="G125" i="4"/>
  <c r="H125" i="4"/>
  <c r="I125" i="4"/>
  <c r="J125" i="4"/>
  <c r="K125" i="4"/>
  <c r="L125" i="4"/>
  <c r="C131" i="4"/>
  <c r="D131" i="4"/>
  <c r="E131" i="4"/>
  <c r="F131" i="4"/>
  <c r="G131" i="4"/>
  <c r="H131" i="4"/>
  <c r="I131" i="4"/>
  <c r="J131" i="4"/>
  <c r="K131" i="4"/>
  <c r="L131" i="4"/>
  <c r="G24" i="2"/>
  <c r="G22" i="2"/>
  <c r="E126" i="4" l="1"/>
  <c r="J126" i="4"/>
  <c r="M35" i="48"/>
  <c r="N34" i="48"/>
  <c r="N98" i="48"/>
  <c r="M99" i="48"/>
  <c r="N99" i="48" s="1"/>
  <c r="M68" i="48"/>
  <c r="N67" i="48"/>
  <c r="I126" i="4"/>
  <c r="F126" i="4"/>
  <c r="L126" i="4"/>
  <c r="H126" i="4"/>
  <c r="K126" i="4"/>
  <c r="G126" i="4"/>
  <c r="C126" i="4"/>
  <c r="D126" i="4"/>
  <c r="F36" i="4"/>
  <c r="D43" i="4"/>
  <c r="K9" i="1" s="1"/>
  <c r="M131" i="4"/>
  <c r="M12" i="64"/>
  <c r="D139" i="4"/>
  <c r="B176" i="4"/>
  <c r="L139" i="4"/>
  <c r="L154" i="4" s="1"/>
  <c r="E38" i="7"/>
  <c r="I21" i="1"/>
  <c r="H139" i="4"/>
  <c r="M106" i="4"/>
  <c r="M135" i="4" s="1"/>
  <c r="F139" i="4"/>
  <c r="J139" i="4"/>
  <c r="K139" i="4"/>
  <c r="I139" i="4"/>
  <c r="G139" i="4"/>
  <c r="E139" i="4"/>
  <c r="C139" i="4"/>
  <c r="F56" i="4"/>
  <c r="G35" i="21"/>
  <c r="J19" i="8" s="1"/>
  <c r="M86" i="4"/>
  <c r="A44" i="21"/>
  <c r="A45" i="21" s="1"/>
  <c r="H46" i="21" s="1"/>
  <c r="A25" i="21"/>
  <c r="B174" i="21"/>
  <c r="K22" i="1"/>
  <c r="D39" i="7"/>
  <c r="N83" i="21"/>
  <c r="J41" i="28"/>
  <c r="J43" i="28"/>
  <c r="A43" i="28"/>
  <c r="I70" i="1" s="1"/>
  <c r="M125" i="4"/>
  <c r="M124" i="4"/>
  <c r="M123" i="4"/>
  <c r="M122" i="4"/>
  <c r="M121" i="4"/>
  <c r="M120" i="4"/>
  <c r="M119" i="4"/>
  <c r="M118" i="4"/>
  <c r="M117" i="4"/>
  <c r="M116" i="4"/>
  <c r="M115" i="4"/>
  <c r="M114" i="4"/>
  <c r="A24" i="4"/>
  <c r="N129" i="21"/>
  <c r="I147" i="4" l="1"/>
  <c r="I149" i="4"/>
  <c r="M139" i="4"/>
  <c r="E149" i="4"/>
  <c r="E146" i="4"/>
  <c r="E12" i="4" s="1"/>
  <c r="C147" i="4"/>
  <c r="D150" i="4"/>
  <c r="I155" i="4"/>
  <c r="G149" i="4"/>
  <c r="F149" i="4"/>
  <c r="H155" i="4"/>
  <c r="C149" i="4"/>
  <c r="J149" i="4"/>
  <c r="N68" i="48"/>
  <c r="N36" i="48" s="1"/>
  <c r="M36" i="48"/>
  <c r="N35" i="48"/>
  <c r="H151" i="4"/>
  <c r="C148" i="4"/>
  <c r="H153" i="4"/>
  <c r="H148" i="4"/>
  <c r="C155" i="4"/>
  <c r="D146" i="4"/>
  <c r="H150" i="4"/>
  <c r="H147" i="4"/>
  <c r="H157" i="4"/>
  <c r="H146" i="4"/>
  <c r="K149" i="4"/>
  <c r="D148" i="4"/>
  <c r="G148" i="4"/>
  <c r="I150" i="4"/>
  <c r="L150" i="4"/>
  <c r="E156" i="4"/>
  <c r="G155" i="4"/>
  <c r="K152" i="4"/>
  <c r="G154" i="4"/>
  <c r="E150" i="4"/>
  <c r="E153" i="4"/>
  <c r="J148" i="4"/>
  <c r="J150" i="4"/>
  <c r="E148" i="4"/>
  <c r="E151" i="4"/>
  <c r="I154" i="4"/>
  <c r="I151" i="4"/>
  <c r="D155" i="4"/>
  <c r="F147" i="4"/>
  <c r="D149" i="4"/>
  <c r="F148" i="4"/>
  <c r="F150" i="4"/>
  <c r="E154" i="4"/>
  <c r="E155" i="4"/>
  <c r="I146" i="4"/>
  <c r="L155" i="4"/>
  <c r="L152" i="4"/>
  <c r="D151" i="4"/>
  <c r="D156" i="4"/>
  <c r="L148" i="4"/>
  <c r="C154" i="4"/>
  <c r="C146" i="4"/>
  <c r="C153" i="4"/>
  <c r="G152" i="4"/>
  <c r="G151" i="4"/>
  <c r="K156" i="4"/>
  <c r="D147" i="4"/>
  <c r="L153" i="4"/>
  <c r="D157" i="4"/>
  <c r="L149" i="4"/>
  <c r="D154" i="4"/>
  <c r="C152" i="4"/>
  <c r="C156" i="4"/>
  <c r="C151" i="4"/>
  <c r="K151" i="4"/>
  <c r="L151" i="4"/>
  <c r="L156" i="4"/>
  <c r="L146" i="4"/>
  <c r="L12" i="4" s="1"/>
  <c r="C150" i="4"/>
  <c r="C157" i="4"/>
  <c r="E152" i="4"/>
  <c r="E157" i="4"/>
  <c r="E147" i="4"/>
  <c r="G156" i="4"/>
  <c r="L147" i="4"/>
  <c r="D153" i="4"/>
  <c r="L157" i="4"/>
  <c r="D152" i="4"/>
  <c r="I156" i="4"/>
  <c r="I152" i="4"/>
  <c r="I148" i="4"/>
  <c r="I157" i="4"/>
  <c r="I153" i="4"/>
  <c r="F155" i="4"/>
  <c r="J155" i="4"/>
  <c r="G147" i="4"/>
  <c r="K148" i="4"/>
  <c r="K155" i="4"/>
  <c r="F151" i="4"/>
  <c r="F152" i="4"/>
  <c r="H152" i="4"/>
  <c r="G150" i="4"/>
  <c r="G146" i="4"/>
  <c r="G12" i="4" s="1"/>
  <c r="G157" i="4"/>
  <c r="G153" i="4"/>
  <c r="K154" i="4"/>
  <c r="K150" i="4"/>
  <c r="K146" i="4"/>
  <c r="K157" i="4"/>
  <c r="K153" i="4"/>
  <c r="K147" i="4"/>
  <c r="F153" i="4"/>
  <c r="F157" i="4"/>
  <c r="F156" i="4"/>
  <c r="F146" i="4"/>
  <c r="F12" i="4" s="1"/>
  <c r="J152" i="4"/>
  <c r="H156" i="4"/>
  <c r="J147" i="4"/>
  <c r="J156" i="4"/>
  <c r="J146" i="4"/>
  <c r="F154" i="4"/>
  <c r="J153" i="4"/>
  <c r="J157" i="4"/>
  <c r="J151" i="4"/>
  <c r="J154" i="4"/>
  <c r="H149" i="4"/>
  <c r="H154" i="4"/>
  <c r="A33" i="21"/>
  <c r="H35" i="21" s="1"/>
  <c r="H18" i="8"/>
  <c r="M126" i="4"/>
  <c r="A46" i="28"/>
  <c r="A47" i="28" s="1"/>
  <c r="A48" i="28" s="1"/>
  <c r="A49" i="28" s="1"/>
  <c r="B169" i="21"/>
  <c r="A34" i="4"/>
  <c r="G58" i="21"/>
  <c r="A46" i="21"/>
  <c r="F100" i="12"/>
  <c r="B108" i="12"/>
  <c r="F13" i="4" l="1"/>
  <c r="F14" i="4" s="1"/>
  <c r="F15" i="4" s="1"/>
  <c r="F16" i="4" s="1"/>
  <c r="F17" i="4" s="1"/>
  <c r="F18" i="4" s="1"/>
  <c r="F19" i="4" s="1"/>
  <c r="F20" i="4" s="1"/>
  <c r="F21" i="4" s="1"/>
  <c r="F22" i="4" s="1"/>
  <c r="C12" i="4"/>
  <c r="C13" i="64" s="1"/>
  <c r="C50" i="64" s="1"/>
  <c r="D92" i="21" s="1"/>
  <c r="H12" i="4"/>
  <c r="H13" i="4" s="1"/>
  <c r="H14" i="4" s="1"/>
  <c r="H15" i="4" s="1"/>
  <c r="H16" i="4" s="1"/>
  <c r="H17" i="4" s="1"/>
  <c r="H18" i="4" s="1"/>
  <c r="H19" i="4" s="1"/>
  <c r="H20" i="4" s="1"/>
  <c r="H21" i="4" s="1"/>
  <c r="H22" i="4" s="1"/>
  <c r="E13" i="4"/>
  <c r="E14" i="4" s="1"/>
  <c r="E15" i="4" s="1"/>
  <c r="E16" i="4" s="1"/>
  <c r="E17" i="4" s="1"/>
  <c r="E18" i="4" s="1"/>
  <c r="E19" i="4" s="1"/>
  <c r="E20" i="4" s="1"/>
  <c r="E21" i="4" s="1"/>
  <c r="E22" i="4" s="1"/>
  <c r="I12" i="4"/>
  <c r="I13" i="64" s="1"/>
  <c r="I50" i="64" s="1"/>
  <c r="J92" i="21" s="1"/>
  <c r="D12" i="4"/>
  <c r="D13" i="4" s="1"/>
  <c r="D14" i="4" s="1"/>
  <c r="D15" i="4" s="1"/>
  <c r="D16" i="4" s="1"/>
  <c r="D17" i="4" s="1"/>
  <c r="D18" i="4" s="1"/>
  <c r="D19" i="4" s="1"/>
  <c r="D20" i="4" s="1"/>
  <c r="D21" i="4" s="1"/>
  <c r="D22" i="4" s="1"/>
  <c r="L13" i="4"/>
  <c r="J12" i="4"/>
  <c r="J13" i="4" s="1"/>
  <c r="J14" i="4" s="1"/>
  <c r="J15" i="4" s="1"/>
  <c r="J16" i="4" s="1"/>
  <c r="J17" i="4" s="1"/>
  <c r="J18" i="4" s="1"/>
  <c r="J19" i="4" s="1"/>
  <c r="J20" i="4" s="1"/>
  <c r="J21" i="4" s="1"/>
  <c r="J22" i="4" s="1"/>
  <c r="K12" i="4"/>
  <c r="K13" i="4" s="1"/>
  <c r="K14" i="4" s="1"/>
  <c r="K15" i="4" s="1"/>
  <c r="K16" i="4" s="1"/>
  <c r="K17" i="4" s="1"/>
  <c r="K18" i="4" s="1"/>
  <c r="K19" i="4" s="1"/>
  <c r="K20" i="4" s="1"/>
  <c r="K21" i="4" s="1"/>
  <c r="K22" i="4" s="1"/>
  <c r="G13" i="4"/>
  <c r="G14" i="4" s="1"/>
  <c r="G15" i="4" s="1"/>
  <c r="G16" i="4" s="1"/>
  <c r="G17" i="4" s="1"/>
  <c r="G18" i="4" s="1"/>
  <c r="G19" i="4" s="1"/>
  <c r="G20" i="4" s="1"/>
  <c r="G21" i="4" s="1"/>
  <c r="G22" i="4" s="1"/>
  <c r="L14" i="4"/>
  <c r="L15" i="4" s="1"/>
  <c r="L16" i="4" s="1"/>
  <c r="L17" i="4" s="1"/>
  <c r="L18" i="4" s="1"/>
  <c r="L19" i="4" s="1"/>
  <c r="L20" i="4" s="1"/>
  <c r="L21" i="4" s="1"/>
  <c r="L22" i="4" s="1"/>
  <c r="N37" i="48"/>
  <c r="D78" i="7" s="1"/>
  <c r="M153" i="4"/>
  <c r="M148" i="4"/>
  <c r="H158" i="4"/>
  <c r="M155" i="4"/>
  <c r="K158" i="4"/>
  <c r="I158" i="4"/>
  <c r="G13" i="64"/>
  <c r="G50" i="64" s="1"/>
  <c r="H92" i="21" s="1"/>
  <c r="E158" i="4"/>
  <c r="M149" i="4"/>
  <c r="F158" i="4"/>
  <c r="H15" i="64"/>
  <c r="H52" i="64" s="1"/>
  <c r="I94" i="21" s="1"/>
  <c r="M154" i="4"/>
  <c r="M157" i="4"/>
  <c r="J158" i="4"/>
  <c r="G158" i="4"/>
  <c r="M146" i="4"/>
  <c r="M156" i="4"/>
  <c r="M150" i="4"/>
  <c r="M151" i="4"/>
  <c r="D158" i="4"/>
  <c r="M152" i="4"/>
  <c r="F13" i="64"/>
  <c r="F50" i="64" s="1"/>
  <c r="E13" i="64"/>
  <c r="E50" i="64" s="1"/>
  <c r="L13" i="64"/>
  <c r="L50" i="64" s="1"/>
  <c r="M147" i="4"/>
  <c r="C158" i="4"/>
  <c r="L158" i="4"/>
  <c r="B171" i="4"/>
  <c r="A50" i="28"/>
  <c r="A35" i="4"/>
  <c r="G51" i="21"/>
  <c r="A51" i="21"/>
  <c r="I13" i="4" l="1"/>
  <c r="I14" i="4" s="1"/>
  <c r="I15" i="4" s="1"/>
  <c r="I16" i="4" s="1"/>
  <c r="I17" i="4" s="1"/>
  <c r="I18" i="4" s="1"/>
  <c r="I19" i="4" s="1"/>
  <c r="I20" i="4" s="1"/>
  <c r="I21" i="4" s="1"/>
  <c r="I22" i="4" s="1"/>
  <c r="J13" i="64"/>
  <c r="J50" i="64" s="1"/>
  <c r="K92" i="21" s="1"/>
  <c r="H13" i="64"/>
  <c r="H50" i="64" s="1"/>
  <c r="I92" i="21" s="1"/>
  <c r="H14" i="64"/>
  <c r="H51" i="64" s="1"/>
  <c r="I93" i="21" s="1"/>
  <c r="K13" i="64"/>
  <c r="K50" i="64" s="1"/>
  <c r="L92" i="21" s="1"/>
  <c r="C13" i="4"/>
  <c r="C14" i="4" s="1"/>
  <c r="C15" i="4" s="1"/>
  <c r="C16" i="4" s="1"/>
  <c r="C17" i="4" s="1"/>
  <c r="C18" i="4" s="1"/>
  <c r="C19" i="4" s="1"/>
  <c r="C20" i="4" s="1"/>
  <c r="C21" i="4" s="1"/>
  <c r="C22" i="4" s="1"/>
  <c r="M12" i="4"/>
  <c r="M13" i="64" s="1"/>
  <c r="D14" i="64"/>
  <c r="D51" i="64" s="1"/>
  <c r="E93" i="21" s="1"/>
  <c r="D13" i="64"/>
  <c r="D50" i="64" s="1"/>
  <c r="E92" i="21" s="1"/>
  <c r="D15" i="64"/>
  <c r="D52" i="64" s="1"/>
  <c r="E94" i="21" s="1"/>
  <c r="H16" i="64"/>
  <c r="H53" i="64" s="1"/>
  <c r="M158" i="4"/>
  <c r="G14" i="64"/>
  <c r="G51" i="64" s="1"/>
  <c r="H93" i="21" s="1"/>
  <c r="K14" i="64"/>
  <c r="K51" i="64" s="1"/>
  <c r="L93" i="21" s="1"/>
  <c r="G15" i="64"/>
  <c r="G52" i="64" s="1"/>
  <c r="H94" i="21" s="1"/>
  <c r="G92" i="21"/>
  <c r="M92" i="21"/>
  <c r="F92" i="21"/>
  <c r="F14" i="64"/>
  <c r="F51" i="64" s="1"/>
  <c r="G93" i="21" s="1"/>
  <c r="L14" i="64"/>
  <c r="L51" i="64" s="1"/>
  <c r="M93" i="21" s="1"/>
  <c r="E14" i="64"/>
  <c r="E51" i="64" s="1"/>
  <c r="K15" i="64"/>
  <c r="K52" i="64" s="1"/>
  <c r="L94" i="21" s="1"/>
  <c r="J14" i="64"/>
  <c r="J51" i="64" s="1"/>
  <c r="E37" i="7"/>
  <c r="B172" i="4"/>
  <c r="A51" i="28"/>
  <c r="I73" i="1" s="1"/>
  <c r="J51" i="28"/>
  <c r="A36" i="4"/>
  <c r="E43" i="4"/>
  <c r="A52" i="21"/>
  <c r="A53" i="21" s="1"/>
  <c r="H20" i="8" s="1"/>
  <c r="I14" i="64" l="1"/>
  <c r="I51" i="64" s="1"/>
  <c r="J93" i="21" s="1"/>
  <c r="M50" i="64"/>
  <c r="C14" i="64"/>
  <c r="C51" i="64" s="1"/>
  <c r="D93" i="21" s="1"/>
  <c r="I15" i="64"/>
  <c r="I52" i="64" s="1"/>
  <c r="J94" i="21" s="1"/>
  <c r="M13" i="4"/>
  <c r="M14" i="64" s="1"/>
  <c r="C15" i="64"/>
  <c r="C52" i="64" s="1"/>
  <c r="D94" i="21" s="1"/>
  <c r="H17" i="64"/>
  <c r="H54" i="64" s="1"/>
  <c r="I96" i="21" s="1"/>
  <c r="C16" i="64"/>
  <c r="C53" i="64" s="1"/>
  <c r="D95" i="21" s="1"/>
  <c r="M14" i="4"/>
  <c r="M15" i="64" s="1"/>
  <c r="F93" i="21"/>
  <c r="I95" i="21"/>
  <c r="F15" i="64"/>
  <c r="F52" i="64" s="1"/>
  <c r="G94" i="21" s="1"/>
  <c r="G16" i="64"/>
  <c r="G53" i="64" s="1"/>
  <c r="H95" i="21" s="1"/>
  <c r="K16" i="64"/>
  <c r="K53" i="64" s="1"/>
  <c r="K93" i="21"/>
  <c r="E15" i="64"/>
  <c r="E52" i="64" s="1"/>
  <c r="I16" i="64"/>
  <c r="I53" i="64" s="1"/>
  <c r="J95" i="21" s="1"/>
  <c r="J15" i="64"/>
  <c r="J52" i="64" s="1"/>
  <c r="K94" i="21" s="1"/>
  <c r="L15" i="64"/>
  <c r="L52" i="64" s="1"/>
  <c r="M94" i="21" s="1"/>
  <c r="A58" i="21"/>
  <c r="G53" i="21"/>
  <c r="A42" i="4"/>
  <c r="E42" i="4"/>
  <c r="A59" i="21"/>
  <c r="A60" i="21" s="1"/>
  <c r="I23" i="1" s="1"/>
  <c r="M51" i="64" l="1"/>
  <c r="D16" i="64"/>
  <c r="D53" i="64" s="1"/>
  <c r="E95" i="21" s="1"/>
  <c r="C17" i="64"/>
  <c r="C54" i="64" s="1"/>
  <c r="D96" i="21" s="1"/>
  <c r="M15" i="4"/>
  <c r="M16" i="64" s="1"/>
  <c r="I17" i="64"/>
  <c r="I54" i="64" s="1"/>
  <c r="J96" i="21" s="1"/>
  <c r="J16" i="64"/>
  <c r="J53" i="64" s="1"/>
  <c r="K95" i="21" s="1"/>
  <c r="F94" i="21"/>
  <c r="M52" i="64"/>
  <c r="G17" i="64"/>
  <c r="G54" i="64" s="1"/>
  <c r="H96" i="21" s="1"/>
  <c r="L16" i="64"/>
  <c r="L53" i="64" s="1"/>
  <c r="M95" i="21" s="1"/>
  <c r="E16" i="64"/>
  <c r="E53" i="64" s="1"/>
  <c r="L95" i="21"/>
  <c r="F16" i="64"/>
  <c r="F53" i="64" s="1"/>
  <c r="H18" i="64"/>
  <c r="H55" i="64" s="1"/>
  <c r="I97" i="21" s="1"/>
  <c r="K17" i="64"/>
  <c r="K54" i="64" s="1"/>
  <c r="L96" i="21" s="1"/>
  <c r="A43" i="4"/>
  <c r="H6" i="8"/>
  <c r="G60" i="21"/>
  <c r="A71" i="21"/>
  <c r="D17" i="64" l="1"/>
  <c r="D54" i="64" s="1"/>
  <c r="E96" i="21" s="1"/>
  <c r="C18" i="64"/>
  <c r="C55" i="64" s="1"/>
  <c r="D97" i="21" s="1"/>
  <c r="M16" i="4"/>
  <c r="M17" i="64" s="1"/>
  <c r="L17" i="64"/>
  <c r="L54" i="64" s="1"/>
  <c r="M96" i="21" s="1"/>
  <c r="K18" i="64"/>
  <c r="K55" i="64" s="1"/>
  <c r="G95" i="21"/>
  <c r="F95" i="21"/>
  <c r="M53" i="64"/>
  <c r="I18" i="64"/>
  <c r="I55" i="64" s="1"/>
  <c r="H19" i="64"/>
  <c r="H56" i="64" s="1"/>
  <c r="F17" i="64"/>
  <c r="F54" i="64" s="1"/>
  <c r="G96" i="21" s="1"/>
  <c r="E17" i="64"/>
  <c r="E54" i="64" s="1"/>
  <c r="G18" i="64"/>
  <c r="G55" i="64" s="1"/>
  <c r="J17" i="64"/>
  <c r="J54" i="64" s="1"/>
  <c r="A52" i="4"/>
  <c r="A53" i="4" s="1"/>
  <c r="G61" i="4" s="1"/>
  <c r="I9" i="1"/>
  <c r="A72" i="21"/>
  <c r="A73" i="21" s="1"/>
  <c r="A74" i="21" s="1"/>
  <c r="A75" i="21" s="1"/>
  <c r="A76" i="21" s="1"/>
  <c r="A77" i="21" s="1"/>
  <c r="A78" i="21" s="1"/>
  <c r="A79" i="21" s="1"/>
  <c r="A80" i="21" s="1"/>
  <c r="A81" i="21" s="1"/>
  <c r="A82" i="21" s="1"/>
  <c r="A83" i="21" s="1"/>
  <c r="A91" i="21" s="1"/>
  <c r="C19" i="64"/>
  <c r="C56" i="64" s="1"/>
  <c r="A56" i="4"/>
  <c r="D18" i="64" l="1"/>
  <c r="D55" i="64" s="1"/>
  <c r="E97" i="21" s="1"/>
  <c r="M17" i="4"/>
  <c r="M18" i="64" s="1"/>
  <c r="D98" i="21"/>
  <c r="L97" i="21"/>
  <c r="G19" i="64"/>
  <c r="G56" i="64" s="1"/>
  <c r="H98" i="21" s="1"/>
  <c r="F18" i="64"/>
  <c r="F55" i="64" s="1"/>
  <c r="G97" i="21" s="1"/>
  <c r="K19" i="64"/>
  <c r="K56" i="64" s="1"/>
  <c r="L98" i="21" s="1"/>
  <c r="H97" i="21"/>
  <c r="J97" i="21"/>
  <c r="L18" i="64"/>
  <c r="L55" i="64" s="1"/>
  <c r="F96" i="21"/>
  <c r="M54" i="64"/>
  <c r="I19" i="64"/>
  <c r="I56" i="64" s="1"/>
  <c r="J98" i="21" s="1"/>
  <c r="K96" i="21"/>
  <c r="E18" i="64"/>
  <c r="E55" i="64" s="1"/>
  <c r="I98" i="21"/>
  <c r="J18" i="64"/>
  <c r="J55" i="64" s="1"/>
  <c r="K97" i="21" s="1"/>
  <c r="H20" i="64"/>
  <c r="H57" i="64" s="1"/>
  <c r="I99" i="21" s="1"/>
  <c r="G56" i="4"/>
  <c r="E24" i="2"/>
  <c r="E22" i="2"/>
  <c r="A92" i="21"/>
  <c r="A93" i="21" s="1"/>
  <c r="A94" i="21" s="1"/>
  <c r="A95" i="21" s="1"/>
  <c r="A96" i="21" s="1"/>
  <c r="A97" i="21" s="1"/>
  <c r="A98" i="21" s="1"/>
  <c r="A99" i="21" s="1"/>
  <c r="A100" i="21" s="1"/>
  <c r="A101" i="21" s="1"/>
  <c r="A102" i="21" s="1"/>
  <c r="A103" i="21" s="1"/>
  <c r="C20" i="64"/>
  <c r="C57" i="64" s="1"/>
  <c r="A57" i="4"/>
  <c r="A58" i="4" s="1"/>
  <c r="D19" i="64" l="1"/>
  <c r="D56" i="64" s="1"/>
  <c r="E98" i="21" s="1"/>
  <c r="M18" i="4"/>
  <c r="M19" i="64" s="1"/>
  <c r="E19" i="64"/>
  <c r="E56" i="64" s="1"/>
  <c r="F19" i="64"/>
  <c r="F56" i="64" s="1"/>
  <c r="D99" i="21"/>
  <c r="J19" i="64"/>
  <c r="J56" i="64" s="1"/>
  <c r="K98" i="21" s="1"/>
  <c r="I20" i="64"/>
  <c r="I57" i="64" s="1"/>
  <c r="J99" i="21" s="1"/>
  <c r="K20" i="64"/>
  <c r="K57" i="64" s="1"/>
  <c r="L99" i="21" s="1"/>
  <c r="H21" i="64"/>
  <c r="H58" i="64" s="1"/>
  <c r="I100" i="21" s="1"/>
  <c r="M97" i="21"/>
  <c r="F97" i="21"/>
  <c r="M55" i="64"/>
  <c r="L19" i="64"/>
  <c r="L56" i="64" s="1"/>
  <c r="M98" i="21" s="1"/>
  <c r="G20" i="64"/>
  <c r="G57" i="64" s="1"/>
  <c r="H99" i="21" s="1"/>
  <c r="A61" i="4"/>
  <c r="A62" i="4" s="1"/>
  <c r="A63" i="4" s="1"/>
  <c r="H7" i="8"/>
  <c r="B175" i="21"/>
  <c r="A111" i="21"/>
  <c r="B173" i="21"/>
  <c r="C21" i="64"/>
  <c r="C58" i="64" s="1"/>
  <c r="G58" i="4"/>
  <c r="D20" i="64" l="1"/>
  <c r="D57" i="64" s="1"/>
  <c r="E99" i="21" s="1"/>
  <c r="L20" i="64"/>
  <c r="L57" i="64" s="1"/>
  <c r="M99" i="21" s="1"/>
  <c r="K21" i="64"/>
  <c r="K58" i="64" s="1"/>
  <c r="L100" i="21" s="1"/>
  <c r="I21" i="64"/>
  <c r="I58" i="64" s="1"/>
  <c r="J100" i="21" s="1"/>
  <c r="J20" i="64"/>
  <c r="J57" i="64" s="1"/>
  <c r="K99" i="21" s="1"/>
  <c r="G98" i="21"/>
  <c r="D100" i="21"/>
  <c r="G21" i="64"/>
  <c r="G58" i="64" s="1"/>
  <c r="H100" i="21" s="1"/>
  <c r="F20" i="64"/>
  <c r="F57" i="64" s="1"/>
  <c r="G99" i="21" s="1"/>
  <c r="F98" i="21"/>
  <c r="M56" i="64"/>
  <c r="M19" i="4"/>
  <c r="M20" i="64" s="1"/>
  <c r="H23" i="64"/>
  <c r="H60" i="64" s="1"/>
  <c r="H22" i="64"/>
  <c r="H59" i="64" s="1"/>
  <c r="I101" i="21" s="1"/>
  <c r="E20" i="64"/>
  <c r="E57" i="64" s="1"/>
  <c r="A74" i="4"/>
  <c r="A75" i="4" s="1"/>
  <c r="A76" i="4" s="1"/>
  <c r="A77" i="4" s="1"/>
  <c r="A78" i="4" s="1"/>
  <c r="A79" i="4" s="1"/>
  <c r="A80" i="4" s="1"/>
  <c r="A81" i="4" s="1"/>
  <c r="A82" i="4" s="1"/>
  <c r="A83" i="4" s="1"/>
  <c r="A84" i="4" s="1"/>
  <c r="A85" i="4" s="1"/>
  <c r="A86" i="4" s="1"/>
  <c r="A94" i="4" s="1"/>
  <c r="I10" i="1"/>
  <c r="A112" i="21"/>
  <c r="A113" i="21" s="1"/>
  <c r="A114" i="21" s="1"/>
  <c r="A115" i="21" s="1"/>
  <c r="A116" i="21" s="1"/>
  <c r="A117" i="21" s="1"/>
  <c r="A118" i="21" s="1"/>
  <c r="A119" i="21" s="1"/>
  <c r="A120" i="21" s="1"/>
  <c r="A121" i="21" s="1"/>
  <c r="A122" i="21" s="1"/>
  <c r="A123" i="21" s="1"/>
  <c r="A129" i="21" s="1"/>
  <c r="C22" i="64"/>
  <c r="C59" i="64" s="1"/>
  <c r="G63" i="4"/>
  <c r="D21" i="64" l="1"/>
  <c r="D58" i="64" s="1"/>
  <c r="E100" i="21" s="1"/>
  <c r="E21" i="64"/>
  <c r="E58" i="64" s="1"/>
  <c r="I102" i="21"/>
  <c r="H61" i="64"/>
  <c r="L21" i="64"/>
  <c r="L58" i="64" s="1"/>
  <c r="M100" i="21" s="1"/>
  <c r="G22" i="64"/>
  <c r="G59" i="64" s="1"/>
  <c r="H101" i="21" s="1"/>
  <c r="K22" i="64"/>
  <c r="K59" i="64" s="1"/>
  <c r="L101" i="21" s="1"/>
  <c r="D101" i="21"/>
  <c r="H24" i="4"/>
  <c r="I22" i="64"/>
  <c r="I59" i="64" s="1"/>
  <c r="J101" i="21" s="1"/>
  <c r="M20" i="4"/>
  <c r="M21" i="64" s="1"/>
  <c r="F99" i="21"/>
  <c r="M57" i="64"/>
  <c r="F21" i="64"/>
  <c r="F58" i="64" s="1"/>
  <c r="G100" i="21" s="1"/>
  <c r="J21" i="64"/>
  <c r="J58" i="64" s="1"/>
  <c r="K100" i="21" s="1"/>
  <c r="B178" i="21"/>
  <c r="A133" i="21"/>
  <c r="A136" i="21" s="1"/>
  <c r="C23" i="64"/>
  <c r="C60" i="64" s="1"/>
  <c r="A95" i="4"/>
  <c r="A96" i="4" s="1"/>
  <c r="A97" i="4" s="1"/>
  <c r="A98" i="4" s="1"/>
  <c r="A99" i="4" s="1"/>
  <c r="A100" i="4" s="1"/>
  <c r="A101" i="4" s="1"/>
  <c r="A102" i="4" s="1"/>
  <c r="A103" i="4" s="1"/>
  <c r="A104" i="4" s="1"/>
  <c r="A105" i="4" s="1"/>
  <c r="A106" i="4" s="1"/>
  <c r="D23" i="64" l="1"/>
  <c r="D60" i="64" s="1"/>
  <c r="E102" i="21" s="1"/>
  <c r="D22" i="64"/>
  <c r="D59" i="64" s="1"/>
  <c r="G23" i="64"/>
  <c r="G60" i="64" s="1"/>
  <c r="G24" i="4"/>
  <c r="E22" i="64"/>
  <c r="E59" i="64" s="1"/>
  <c r="M21" i="4"/>
  <c r="M22" i="64" s="1"/>
  <c r="J23" i="64"/>
  <c r="J60" i="64" s="1"/>
  <c r="J22" i="64"/>
  <c r="J59" i="64" s="1"/>
  <c r="K101" i="21" s="1"/>
  <c r="I23" i="64"/>
  <c r="I60" i="64" s="1"/>
  <c r="I24" i="4"/>
  <c r="D102" i="21"/>
  <c r="C61" i="64"/>
  <c r="K23" i="64"/>
  <c r="K60" i="64" s="1"/>
  <c r="K24" i="4"/>
  <c r="F22" i="64"/>
  <c r="F59" i="64" s="1"/>
  <c r="G101" i="21" s="1"/>
  <c r="L23" i="64"/>
  <c r="L60" i="64" s="1"/>
  <c r="L22" i="64"/>
  <c r="L59" i="64" s="1"/>
  <c r="M101" i="21" s="1"/>
  <c r="F100" i="21"/>
  <c r="M58" i="64"/>
  <c r="A144" i="21"/>
  <c r="A145" i="21" s="1"/>
  <c r="A146" i="21" s="1"/>
  <c r="A147" i="21" s="1"/>
  <c r="A148" i="21" s="1"/>
  <c r="A149" i="21" s="1"/>
  <c r="A150" i="21" s="1"/>
  <c r="A151" i="21" s="1"/>
  <c r="A152" i="21" s="1"/>
  <c r="A153" i="21" s="1"/>
  <c r="A154" i="21" s="1"/>
  <c r="A155" i="21" s="1"/>
  <c r="A156" i="21" s="1"/>
  <c r="B177" i="21"/>
  <c r="B176" i="21"/>
  <c r="C24" i="4"/>
  <c r="B175" i="4"/>
  <c r="A114" i="4"/>
  <c r="B177" i="4"/>
  <c r="D24" i="4" l="1"/>
  <c r="L24" i="4"/>
  <c r="E101" i="21"/>
  <c r="D61" i="64"/>
  <c r="J24" i="4"/>
  <c r="M22" i="4"/>
  <c r="M23" i="64" s="1"/>
  <c r="J102" i="21"/>
  <c r="I61" i="64"/>
  <c r="H102" i="21"/>
  <c r="G61" i="64"/>
  <c r="F23" i="64"/>
  <c r="F60" i="64" s="1"/>
  <c r="F24" i="4"/>
  <c r="F101" i="21"/>
  <c r="M59" i="64"/>
  <c r="E23" i="64"/>
  <c r="E60" i="64" s="1"/>
  <c r="E24" i="4"/>
  <c r="M102" i="21"/>
  <c r="L61" i="64"/>
  <c r="L102" i="21"/>
  <c r="K61" i="64"/>
  <c r="K102" i="21"/>
  <c r="J61" i="64"/>
  <c r="B179" i="21"/>
  <c r="A115" i="4"/>
  <c r="A116" i="4" s="1"/>
  <c r="A117" i="4" s="1"/>
  <c r="A118" i="4" s="1"/>
  <c r="A119" i="4" s="1"/>
  <c r="A120" i="4" s="1"/>
  <c r="A121" i="4" s="1"/>
  <c r="A122" i="4" s="1"/>
  <c r="A123" i="4" s="1"/>
  <c r="A124" i="4" s="1"/>
  <c r="A125" i="4" s="1"/>
  <c r="A126" i="4" s="1"/>
  <c r="A131" i="4" s="1"/>
  <c r="M24" i="4" l="1"/>
  <c r="D42" i="4" s="1"/>
  <c r="J6" i="8" s="1"/>
  <c r="G102" i="21"/>
  <c r="F61" i="64"/>
  <c r="F102" i="21"/>
  <c r="E61" i="64"/>
  <c r="M60" i="64"/>
  <c r="M62" i="64" s="1"/>
  <c r="F92" i="64" s="1"/>
  <c r="B180" i="4"/>
  <c r="A135" i="4"/>
  <c r="A139" i="4" s="1"/>
  <c r="A146" i="4" l="1"/>
  <c r="A147" i="4" s="1"/>
  <c r="A148" i="4" s="1"/>
  <c r="A149" i="4" s="1"/>
  <c r="A150" i="4" s="1"/>
  <c r="A151" i="4" s="1"/>
  <c r="A152" i="4" s="1"/>
  <c r="A153" i="4" s="1"/>
  <c r="A154" i="4" s="1"/>
  <c r="A155" i="4" s="1"/>
  <c r="A156" i="4" s="1"/>
  <c r="A157" i="4" s="1"/>
  <c r="A158" i="4" s="1"/>
  <c r="B179" i="4"/>
  <c r="B178" i="4"/>
  <c r="B181" i="4" l="1"/>
  <c r="K69" i="1" l="1"/>
  <c r="K64" i="1"/>
  <c r="K73" i="1" l="1"/>
  <c r="K70" i="1" l="1"/>
  <c r="K84" i="1" s="1"/>
  <c r="K68" i="1"/>
  <c r="L55" i="46" l="1"/>
  <c r="E141" i="46" s="1"/>
  <c r="I141" i="46" s="1"/>
  <c r="K55" i="46"/>
  <c r="D141" i="46" s="1"/>
  <c r="H141" i="46" s="1"/>
  <c r="E62" i="46"/>
  <c r="D62" i="46"/>
  <c r="G55" i="46"/>
  <c r="C55" i="46"/>
  <c r="G141" i="46" l="1"/>
  <c r="J55" i="46"/>
  <c r="C141" i="46" s="1"/>
  <c r="B34" i="31" l="1"/>
  <c r="F44" i="26" l="1"/>
  <c r="F46" i="71" l="1"/>
  <c r="D53" i="71"/>
  <c r="A10" i="71"/>
  <c r="A11" i="71" s="1"/>
  <c r="A12" i="71" s="1"/>
  <c r="A13" i="71" s="1"/>
  <c r="A14" i="71" s="1"/>
  <c r="A15" i="71" s="1"/>
  <c r="A16" i="71" s="1"/>
  <c r="A17" i="71" s="1"/>
  <c r="A18" i="71" s="1"/>
  <c r="A19" i="71" s="1"/>
  <c r="D46" i="71"/>
  <c r="F53" i="71"/>
  <c r="D38" i="7"/>
  <c r="E141" i="61"/>
  <c r="E39" i="61"/>
  <c r="F83" i="61"/>
  <c r="G83" i="61" s="1"/>
  <c r="F47" i="61"/>
  <c r="J47" i="61" s="1"/>
  <c r="G12" i="2"/>
  <c r="C87" i="46"/>
  <c r="G57" i="26"/>
  <c r="G58" i="26" s="1"/>
  <c r="G37" i="26" s="1"/>
  <c r="D37" i="26" s="1"/>
  <c r="G6" i="26" s="1"/>
  <c r="H6" i="26" s="1"/>
  <c r="E64" i="26"/>
  <c r="G11" i="2" s="1"/>
  <c r="H80" i="44"/>
  <c r="H77" i="44"/>
  <c r="H55" i="44"/>
  <c r="I34" i="44"/>
  <c r="H34" i="44"/>
  <c r="A14" i="44"/>
  <c r="A15" i="44" s="1"/>
  <c r="A16" i="44" s="1"/>
  <c r="A17" i="44" s="1"/>
  <c r="A18" i="44" s="1"/>
  <c r="A30" i="44" s="1"/>
  <c r="K21" i="1"/>
  <c r="E81" i="46"/>
  <c r="E83" i="46" s="1"/>
  <c r="D81" i="46"/>
  <c r="C79" i="46"/>
  <c r="J79" i="46" s="1"/>
  <c r="C165" i="46" s="1"/>
  <c r="I81" i="46"/>
  <c r="L80" i="46"/>
  <c r="E166" i="46" s="1"/>
  <c r="I166" i="46" s="1"/>
  <c r="K79" i="46"/>
  <c r="D165" i="46" s="1"/>
  <c r="H165" i="46" s="1"/>
  <c r="K78" i="46"/>
  <c r="D164" i="46" s="1"/>
  <c r="L78" i="46"/>
  <c r="E164" i="46" s="1"/>
  <c r="C78" i="46"/>
  <c r="G77" i="46"/>
  <c r="L77" i="46"/>
  <c r="E163" i="46" s="1"/>
  <c r="K77" i="46"/>
  <c r="D163" i="46" s="1"/>
  <c r="H163" i="46" s="1"/>
  <c r="C77" i="46"/>
  <c r="G76" i="46"/>
  <c r="L76" i="46"/>
  <c r="E162" i="46" s="1"/>
  <c r="I162" i="46" s="1"/>
  <c r="K76" i="46"/>
  <c r="D162" i="46" s="1"/>
  <c r="H162" i="46" s="1"/>
  <c r="C76" i="46"/>
  <c r="G75" i="46"/>
  <c r="L75" i="46"/>
  <c r="E161" i="46" s="1"/>
  <c r="I161" i="46" s="1"/>
  <c r="K75" i="46"/>
  <c r="D161" i="46" s="1"/>
  <c r="H161" i="46" s="1"/>
  <c r="J215" i="46" s="1"/>
  <c r="C75" i="46"/>
  <c r="G74" i="46"/>
  <c r="L74" i="46"/>
  <c r="E160" i="46" s="1"/>
  <c r="K74" i="46"/>
  <c r="D160" i="46" s="1"/>
  <c r="C74" i="46"/>
  <c r="G73" i="46"/>
  <c r="L73" i="46"/>
  <c r="E159" i="46" s="1"/>
  <c r="K73" i="46"/>
  <c r="D159" i="46" s="1"/>
  <c r="C73" i="46"/>
  <c r="G72" i="46"/>
  <c r="L72" i="46"/>
  <c r="E158" i="46" s="1"/>
  <c r="K72" i="46"/>
  <c r="D158" i="46" s="1"/>
  <c r="C72" i="46"/>
  <c r="G71" i="46"/>
  <c r="L79" i="46"/>
  <c r="E165" i="46" s="1"/>
  <c r="I165" i="46" s="1"/>
  <c r="K71" i="46"/>
  <c r="D157" i="46" s="1"/>
  <c r="C71" i="46"/>
  <c r="I62" i="46"/>
  <c r="L61" i="46"/>
  <c r="E147" i="46" s="1"/>
  <c r="G60" i="46"/>
  <c r="G59" i="46"/>
  <c r="L59" i="46"/>
  <c r="E145" i="46" s="1"/>
  <c r="I145" i="46" s="1"/>
  <c r="C59" i="46"/>
  <c r="K58" i="46"/>
  <c r="G58" i="46"/>
  <c r="L58" i="46"/>
  <c r="E144" i="46" s="1"/>
  <c r="I144" i="46" s="1"/>
  <c r="C58" i="46"/>
  <c r="G57" i="46"/>
  <c r="L57" i="46"/>
  <c r="E143" i="46" s="1"/>
  <c r="I143" i="46" s="1"/>
  <c r="C57" i="46"/>
  <c r="K56" i="46"/>
  <c r="D142" i="46" s="1"/>
  <c r="G56" i="46"/>
  <c r="L56" i="46"/>
  <c r="E142" i="46" s="1"/>
  <c r="I142" i="46" s="1"/>
  <c r="C56" i="46"/>
  <c r="G54" i="46"/>
  <c r="L54" i="46"/>
  <c r="E140" i="46" s="1"/>
  <c r="I140" i="46" s="1"/>
  <c r="C54" i="46"/>
  <c r="K53" i="46"/>
  <c r="D139" i="46" s="1"/>
  <c r="H139" i="46" s="1"/>
  <c r="G53" i="46"/>
  <c r="L53" i="46"/>
  <c r="E139" i="46" s="1"/>
  <c r="I139" i="46" s="1"/>
  <c r="C53" i="46"/>
  <c r="G52" i="46"/>
  <c r="L52" i="46"/>
  <c r="E138" i="46" s="1"/>
  <c r="I138" i="46" s="1"/>
  <c r="C52" i="46"/>
  <c r="K51" i="46"/>
  <c r="D137" i="46" s="1"/>
  <c r="H137" i="46" s="1"/>
  <c r="G51" i="46"/>
  <c r="L51" i="46"/>
  <c r="E137" i="46" s="1"/>
  <c r="I137" i="46" s="1"/>
  <c r="C51" i="46"/>
  <c r="G50" i="46"/>
  <c r="L50" i="46"/>
  <c r="E136" i="46" s="1"/>
  <c r="I136" i="46" s="1"/>
  <c r="C50" i="46"/>
  <c r="K49" i="46"/>
  <c r="D135" i="46" s="1"/>
  <c r="G49" i="46"/>
  <c r="L49" i="46"/>
  <c r="E135" i="46" s="1"/>
  <c r="C49" i="46"/>
  <c r="G48" i="46"/>
  <c r="L48" i="46"/>
  <c r="E134" i="46" s="1"/>
  <c r="I134" i="46" s="1"/>
  <c r="C48" i="46"/>
  <c r="K47" i="46"/>
  <c r="D133" i="46" s="1"/>
  <c r="H133" i="46" s="1"/>
  <c r="G47" i="46"/>
  <c r="L47" i="46"/>
  <c r="E133" i="46" s="1"/>
  <c r="I133" i="46" s="1"/>
  <c r="C47" i="46"/>
  <c r="G46" i="46"/>
  <c r="L46" i="46"/>
  <c r="E132" i="46" s="1"/>
  <c r="I132" i="46" s="1"/>
  <c r="C46" i="46"/>
  <c r="K45" i="46"/>
  <c r="G45" i="46"/>
  <c r="L45" i="46"/>
  <c r="E131" i="46" s="1"/>
  <c r="I131" i="46" s="1"/>
  <c r="C45" i="46"/>
  <c r="G44" i="46"/>
  <c r="L44" i="46"/>
  <c r="E130" i="46" s="1"/>
  <c r="C44" i="46"/>
  <c r="K43" i="46"/>
  <c r="D129" i="46" s="1"/>
  <c r="G43" i="46"/>
  <c r="L43" i="46"/>
  <c r="E129" i="46" s="1"/>
  <c r="C43" i="46"/>
  <c r="G42" i="46"/>
  <c r="L42" i="46"/>
  <c r="E128" i="46" s="1"/>
  <c r="C42" i="46"/>
  <c r="K41" i="46"/>
  <c r="D127" i="46" s="1"/>
  <c r="G41" i="46"/>
  <c r="L41" i="46"/>
  <c r="E127" i="46" s="1"/>
  <c r="C41" i="46"/>
  <c r="G40" i="46"/>
  <c r="L40" i="46"/>
  <c r="E126" i="46" s="1"/>
  <c r="I126" i="46" s="1"/>
  <c r="C40" i="46"/>
  <c r="K39" i="46"/>
  <c r="D125" i="46" s="1"/>
  <c r="G39" i="46"/>
  <c r="L39" i="46"/>
  <c r="E125" i="46" s="1"/>
  <c r="C39" i="46"/>
  <c r="G38" i="46"/>
  <c r="L38" i="46"/>
  <c r="E124" i="46" s="1"/>
  <c r="I124" i="46" s="1"/>
  <c r="C38" i="46"/>
  <c r="K37" i="46"/>
  <c r="D123" i="46" s="1"/>
  <c r="G37" i="46"/>
  <c r="L37" i="46"/>
  <c r="E123" i="46" s="1"/>
  <c r="I123" i="46" s="1"/>
  <c r="C37" i="46"/>
  <c r="G36" i="46"/>
  <c r="L36" i="46"/>
  <c r="E122" i="46" s="1"/>
  <c r="I122" i="46" s="1"/>
  <c r="C36" i="46"/>
  <c r="K35" i="46"/>
  <c r="D121" i="46" s="1"/>
  <c r="H121" i="46" s="1"/>
  <c r="G35" i="46"/>
  <c r="L35" i="46"/>
  <c r="E121" i="46" s="1"/>
  <c r="I121" i="46" s="1"/>
  <c r="C35" i="46"/>
  <c r="G34" i="46"/>
  <c r="L34" i="46"/>
  <c r="E120" i="46" s="1"/>
  <c r="I120" i="46" s="1"/>
  <c r="C34" i="46"/>
  <c r="K33" i="46"/>
  <c r="G33" i="46"/>
  <c r="L33" i="46"/>
  <c r="E119" i="46" s="1"/>
  <c r="C33" i="46"/>
  <c r="G32" i="46"/>
  <c r="L32" i="46"/>
  <c r="E118" i="46" s="1"/>
  <c r="K32" i="46"/>
  <c r="C32" i="46"/>
  <c r="G31" i="46"/>
  <c r="L31" i="46"/>
  <c r="E117" i="46" s="1"/>
  <c r="K31" i="46"/>
  <c r="D117" i="46" s="1"/>
  <c r="C31" i="46"/>
  <c r="G30" i="46"/>
  <c r="L30" i="46"/>
  <c r="E116" i="46" s="1"/>
  <c r="K30" i="46"/>
  <c r="C30" i="46"/>
  <c r="G28" i="46"/>
  <c r="L28" i="46"/>
  <c r="E114" i="46" s="1"/>
  <c r="K28" i="46"/>
  <c r="D114" i="46" s="1"/>
  <c r="C28" i="46"/>
  <c r="G27" i="46"/>
  <c r="L27" i="46"/>
  <c r="E113" i="46" s="1"/>
  <c r="I113" i="46" s="1"/>
  <c r="K27" i="46"/>
  <c r="D113" i="46" s="1"/>
  <c r="C27" i="46"/>
  <c r="G26" i="46"/>
  <c r="L26" i="46"/>
  <c r="E112" i="46" s="1"/>
  <c r="I112" i="46" s="1"/>
  <c r="K26" i="46"/>
  <c r="C26" i="46"/>
  <c r="L25" i="46"/>
  <c r="E111" i="46" s="1"/>
  <c r="I111" i="46" s="1"/>
  <c r="K25" i="46"/>
  <c r="D111" i="46" s="1"/>
  <c r="C25" i="46"/>
  <c r="G24" i="46"/>
  <c r="L24" i="46"/>
  <c r="E110" i="46" s="1"/>
  <c r="I110" i="46" s="1"/>
  <c r="K24" i="46"/>
  <c r="C24" i="46"/>
  <c r="G23" i="46"/>
  <c r="L23" i="46"/>
  <c r="E109" i="46" s="1"/>
  <c r="I109" i="46" s="1"/>
  <c r="K23" i="46"/>
  <c r="C23" i="46"/>
  <c r="G22" i="46"/>
  <c r="L22" i="46"/>
  <c r="K22" i="46"/>
  <c r="D108" i="46" s="1"/>
  <c r="H108" i="46" s="1"/>
  <c r="C22" i="46"/>
  <c r="G21" i="46"/>
  <c r="L21" i="46"/>
  <c r="K21" i="46"/>
  <c r="D107" i="46" s="1"/>
  <c r="H107" i="46" s="1"/>
  <c r="C21" i="46"/>
  <c r="G20" i="46"/>
  <c r="L20" i="46"/>
  <c r="K20" i="46"/>
  <c r="D106" i="46" s="1"/>
  <c r="H106" i="46" s="1"/>
  <c r="C20" i="46"/>
  <c r="G19" i="46"/>
  <c r="L19" i="46"/>
  <c r="K19" i="46"/>
  <c r="D105" i="46" s="1"/>
  <c r="H105" i="46" s="1"/>
  <c r="C19" i="46"/>
  <c r="G18" i="46"/>
  <c r="L18" i="46"/>
  <c r="K18" i="46"/>
  <c r="D104" i="46" s="1"/>
  <c r="H104" i="46" s="1"/>
  <c r="C18" i="46"/>
  <c r="G17" i="46"/>
  <c r="L17" i="46"/>
  <c r="K17" i="46"/>
  <c r="D103" i="46" s="1"/>
  <c r="H103" i="46" s="1"/>
  <c r="C17" i="46"/>
  <c r="G16" i="46"/>
  <c r="L16" i="46"/>
  <c r="K16" i="46"/>
  <c r="D102" i="46" s="1"/>
  <c r="H102" i="46" s="1"/>
  <c r="C16" i="46"/>
  <c r="G15" i="46"/>
  <c r="L15" i="46"/>
  <c r="K15" i="46"/>
  <c r="D101" i="46" s="1"/>
  <c r="H101" i="46" s="1"/>
  <c r="C15" i="46"/>
  <c r="G14" i="46"/>
  <c r="L14" i="46"/>
  <c r="E100" i="46" s="1"/>
  <c r="I100" i="46" s="1"/>
  <c r="K14" i="46"/>
  <c r="C14" i="46"/>
  <c r="G13" i="46"/>
  <c r="L13" i="46"/>
  <c r="E99" i="46" s="1"/>
  <c r="I99" i="46" s="1"/>
  <c r="K13" i="46"/>
  <c r="D99" i="46" s="1"/>
  <c r="C13" i="46"/>
  <c r="G12" i="46"/>
  <c r="L12" i="46"/>
  <c r="E98" i="46" s="1"/>
  <c r="I98" i="46" s="1"/>
  <c r="K12" i="46"/>
  <c r="C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G11" i="46"/>
  <c r="C11" i="46"/>
  <c r="E16" i="57"/>
  <c r="E10" i="57"/>
  <c r="E53" i="71"/>
  <c r="D122" i="21"/>
  <c r="D120" i="21"/>
  <c r="D118" i="21"/>
  <c r="D116" i="21"/>
  <c r="D114" i="21"/>
  <c r="D112" i="21"/>
  <c r="D46" i="17"/>
  <c r="D49" i="17"/>
  <c r="D48" i="17"/>
  <c r="D47" i="17"/>
  <c r="B54" i="54"/>
  <c r="C9" i="9"/>
  <c r="G67" i="65"/>
  <c r="K67" i="65" s="1"/>
  <c r="G66" i="65"/>
  <c r="K66" i="65" s="1"/>
  <c r="G65" i="65"/>
  <c r="K65" i="65" s="1"/>
  <c r="G64" i="65"/>
  <c r="G63" i="65"/>
  <c r="K63" i="65" s="1"/>
  <c r="G62" i="65"/>
  <c r="K62" i="65" s="1"/>
  <c r="G61" i="65"/>
  <c r="K61" i="65" s="1"/>
  <c r="G60" i="65"/>
  <c r="K60" i="65" s="1"/>
  <c r="G59" i="65"/>
  <c r="K59" i="65" s="1"/>
  <c r="G58" i="65"/>
  <c r="K58" i="65" s="1"/>
  <c r="G57" i="65"/>
  <c r="K57" i="65" s="1"/>
  <c r="G56" i="65"/>
  <c r="A5" i="31"/>
  <c r="L122" i="21"/>
  <c r="J122" i="21"/>
  <c r="H122" i="21"/>
  <c r="F122" i="21"/>
  <c r="L120" i="21"/>
  <c r="J120" i="21"/>
  <c r="H120" i="21"/>
  <c r="F120" i="21"/>
  <c r="L118" i="21"/>
  <c r="J118" i="21"/>
  <c r="H118" i="21"/>
  <c r="F118" i="21"/>
  <c r="L116" i="21"/>
  <c r="J116" i="21"/>
  <c r="H116" i="21"/>
  <c r="F116" i="21"/>
  <c r="L114" i="21"/>
  <c r="J114" i="21"/>
  <c r="H114" i="21"/>
  <c r="F114" i="21"/>
  <c r="L112" i="21"/>
  <c r="J112" i="21"/>
  <c r="H112" i="21"/>
  <c r="F112" i="21"/>
  <c r="D36" i="7"/>
  <c r="D97" i="65"/>
  <c r="E17" i="66"/>
  <c r="J25" i="8" s="1"/>
  <c r="F17" i="66"/>
  <c r="F21" i="66"/>
  <c r="F14" i="66"/>
  <c r="F7" i="66"/>
  <c r="E70" i="26"/>
  <c r="H43" i="26" s="1"/>
  <c r="D43" i="26" s="1"/>
  <c r="G12" i="26" s="1"/>
  <c r="H12" i="26" s="1"/>
  <c r="F53" i="22"/>
  <c r="D58" i="7"/>
  <c r="D54" i="7"/>
  <c r="F41" i="54"/>
  <c r="F38" i="54"/>
  <c r="F29" i="54"/>
  <c r="E40" i="56"/>
  <c r="E42" i="56" s="1"/>
  <c r="G21" i="2" s="1"/>
  <c r="E26" i="56"/>
  <c r="E12" i="56"/>
  <c r="E17" i="56" s="1"/>
  <c r="H41" i="8"/>
  <c r="J9" i="8"/>
  <c r="G10" i="2"/>
  <c r="A8" i="2"/>
  <c r="K126" i="1"/>
  <c r="J51" i="8" s="1"/>
  <c r="A11" i="7"/>
  <c r="A12" i="7" s="1"/>
  <c r="A13" i="7" s="1"/>
  <c r="A14" i="7" s="1"/>
  <c r="A15" i="7" s="1"/>
  <c r="A16" i="7" s="1"/>
  <c r="K32" i="1"/>
  <c r="E21" i="66"/>
  <c r="E14" i="66"/>
  <c r="I118" i="65"/>
  <c r="I117" i="65"/>
  <c r="I116" i="65"/>
  <c r="I114" i="65"/>
  <c r="I113" i="65"/>
  <c r="I112" i="65"/>
  <c r="I110" i="65"/>
  <c r="I109" i="65"/>
  <c r="G120" i="65"/>
  <c r="E120" i="65"/>
  <c r="C120" i="65"/>
  <c r="K64" i="65"/>
  <c r="H44" i="65"/>
  <c r="H43" i="65"/>
  <c r="H42" i="65"/>
  <c r="H41" i="65"/>
  <c r="H40" i="65"/>
  <c r="H39" i="65"/>
  <c r="H38" i="65"/>
  <c r="H37" i="65"/>
  <c r="H36" i="65"/>
  <c r="A14" i="65"/>
  <c r="A15" i="65" s="1"/>
  <c r="A16" i="65" s="1"/>
  <c r="A17" i="65" s="1"/>
  <c r="A18" i="65" s="1"/>
  <c r="A19" i="65" s="1"/>
  <c r="A20" i="65" s="1"/>
  <c r="A21" i="65" s="1"/>
  <c r="A22" i="65" s="1"/>
  <c r="A23" i="65" s="1"/>
  <c r="A24" i="65" s="1"/>
  <c r="I108" i="65"/>
  <c r="E111" i="21"/>
  <c r="G122" i="21"/>
  <c r="G121" i="21"/>
  <c r="G120" i="21"/>
  <c r="G119" i="21"/>
  <c r="G118" i="21"/>
  <c r="G117" i="21"/>
  <c r="G116" i="21"/>
  <c r="G115" i="21"/>
  <c r="G114" i="21"/>
  <c r="G113" i="21"/>
  <c r="G112" i="21"/>
  <c r="I122" i="21"/>
  <c r="I121" i="21"/>
  <c r="I120" i="21"/>
  <c r="I119" i="21"/>
  <c r="I118" i="21"/>
  <c r="I117" i="21"/>
  <c r="I116" i="21"/>
  <c r="I115" i="21"/>
  <c r="I114" i="21"/>
  <c r="I113" i="21"/>
  <c r="I112" i="21"/>
  <c r="K122" i="21"/>
  <c r="K121" i="21"/>
  <c r="K120" i="21"/>
  <c r="K119" i="21"/>
  <c r="K118" i="21"/>
  <c r="K117" i="21"/>
  <c r="K116" i="21"/>
  <c r="K115" i="21"/>
  <c r="K114" i="21"/>
  <c r="K113" i="21"/>
  <c r="K112" i="21"/>
  <c r="M122" i="21"/>
  <c r="M121" i="21"/>
  <c r="M120" i="21"/>
  <c r="M119" i="21"/>
  <c r="M118" i="21"/>
  <c r="M117" i="21"/>
  <c r="M116" i="21"/>
  <c r="M115" i="21"/>
  <c r="M114" i="21"/>
  <c r="M113" i="21"/>
  <c r="M112" i="21"/>
  <c r="D121" i="21"/>
  <c r="D119" i="21"/>
  <c r="D117" i="21"/>
  <c r="D115" i="21"/>
  <c r="D113" i="21"/>
  <c r="F121" i="21"/>
  <c r="F119" i="21"/>
  <c r="F117" i="21"/>
  <c r="F115" i="21"/>
  <c r="F113" i="21"/>
  <c r="H121" i="21"/>
  <c r="H119" i="21"/>
  <c r="H117" i="21"/>
  <c r="H115" i="21"/>
  <c r="H113" i="21"/>
  <c r="J121" i="21"/>
  <c r="J119" i="21"/>
  <c r="J117" i="21"/>
  <c r="J115" i="21"/>
  <c r="J113" i="21"/>
  <c r="L121" i="21"/>
  <c r="L119" i="21"/>
  <c r="L117" i="21"/>
  <c r="L115" i="21"/>
  <c r="L113" i="21"/>
  <c r="G49" i="11"/>
  <c r="G48" i="11"/>
  <c r="G47" i="11"/>
  <c r="E47" i="11" s="1"/>
  <c r="E39" i="12" s="1"/>
  <c r="H86" i="11"/>
  <c r="G61" i="11" s="1"/>
  <c r="G86" i="11"/>
  <c r="G63" i="11" s="1"/>
  <c r="E70" i="12" s="1"/>
  <c r="F86" i="11"/>
  <c r="G62" i="11" s="1"/>
  <c r="E69" i="12" s="1"/>
  <c r="E85" i="11"/>
  <c r="E84" i="11"/>
  <c r="E83" i="11"/>
  <c r="E82" i="11"/>
  <c r="E81" i="11"/>
  <c r="E80" i="11"/>
  <c r="E79" i="11"/>
  <c r="E78" i="11"/>
  <c r="E77" i="11"/>
  <c r="E76" i="11"/>
  <c r="E75" i="11"/>
  <c r="E74" i="11"/>
  <c r="E73" i="11"/>
  <c r="A25" i="12"/>
  <c r="A26" i="12" s="1"/>
  <c r="E231" i="61"/>
  <c r="F212" i="61"/>
  <c r="G212" i="61" s="1"/>
  <c r="I212" i="61" s="1"/>
  <c r="F211" i="61"/>
  <c r="G211" i="61" s="1"/>
  <c r="I211" i="61" s="1"/>
  <c r="F209" i="61"/>
  <c r="J209" i="61" s="1"/>
  <c r="L216" i="61"/>
  <c r="F208" i="61"/>
  <c r="N208" i="61" s="1"/>
  <c r="H203" i="61"/>
  <c r="E203" i="61"/>
  <c r="E204" i="61" s="1"/>
  <c r="F196" i="61"/>
  <c r="J196" i="61" s="1"/>
  <c r="M196" i="61" s="1"/>
  <c r="F195" i="61"/>
  <c r="J195" i="61" s="1"/>
  <c r="M195" i="61" s="1"/>
  <c r="F194" i="61"/>
  <c r="N194" i="61" s="1"/>
  <c r="F193" i="61"/>
  <c r="G193" i="61" s="1"/>
  <c r="I193" i="61" s="1"/>
  <c r="F192" i="61"/>
  <c r="J192" i="61" s="1"/>
  <c r="M192" i="61" s="1"/>
  <c r="F191" i="61"/>
  <c r="N191" i="61" s="1"/>
  <c r="F190" i="61"/>
  <c r="J190" i="61" s="1"/>
  <c r="M190" i="61" s="1"/>
  <c r="F189" i="61"/>
  <c r="N189" i="61" s="1"/>
  <c r="F188" i="61"/>
  <c r="N188" i="61" s="1"/>
  <c r="F187" i="61"/>
  <c r="J187" i="61" s="1"/>
  <c r="M187" i="61" s="1"/>
  <c r="F186" i="61"/>
  <c r="G186" i="61" s="1"/>
  <c r="I186" i="61" s="1"/>
  <c r="F185" i="61"/>
  <c r="N185" i="61" s="1"/>
  <c r="F184" i="61"/>
  <c r="N184" i="61" s="1"/>
  <c r="F183" i="61"/>
  <c r="N183" i="61" s="1"/>
  <c r="L203" i="61"/>
  <c r="F182" i="61"/>
  <c r="G182" i="61" s="1"/>
  <c r="N178" i="61"/>
  <c r="M178" i="61"/>
  <c r="L178" i="61"/>
  <c r="J178" i="61"/>
  <c r="I178" i="61"/>
  <c r="H178" i="61"/>
  <c r="G178" i="61"/>
  <c r="E178" i="61"/>
  <c r="N173" i="61"/>
  <c r="M173" i="61"/>
  <c r="L173" i="61"/>
  <c r="J173" i="61"/>
  <c r="I173" i="61"/>
  <c r="H173" i="61"/>
  <c r="G173" i="61"/>
  <c r="E173" i="61"/>
  <c r="L168" i="61"/>
  <c r="E168" i="61"/>
  <c r="F162" i="61"/>
  <c r="F161" i="61"/>
  <c r="G161" i="61" s="1"/>
  <c r="I161" i="61" s="1"/>
  <c r="F160" i="61"/>
  <c r="G160" i="61" s="1"/>
  <c r="I160" i="61" s="1"/>
  <c r="F159" i="61"/>
  <c r="J159" i="61" s="1"/>
  <c r="M159" i="61" s="1"/>
  <c r="F158" i="61"/>
  <c r="N158" i="61" s="1"/>
  <c r="F157" i="61"/>
  <c r="N157" i="61" s="1"/>
  <c r="F156" i="61"/>
  <c r="N156" i="61" s="1"/>
  <c r="F155" i="61"/>
  <c r="N155" i="61" s="1"/>
  <c r="F154" i="61"/>
  <c r="N154" i="61" s="1"/>
  <c r="F153" i="61"/>
  <c r="N153" i="61" s="1"/>
  <c r="F152" i="61"/>
  <c r="N152" i="61" s="1"/>
  <c r="F151" i="61"/>
  <c r="N151" i="61" s="1"/>
  <c r="F150" i="61"/>
  <c r="G150" i="61" s="1"/>
  <c r="H150" i="61" s="1"/>
  <c r="I150" i="61" s="1"/>
  <c r="F149" i="61"/>
  <c r="N149" i="61" s="1"/>
  <c r="F148" i="61"/>
  <c r="N148" i="61" s="1"/>
  <c r="F147" i="61"/>
  <c r="N147" i="61" s="1"/>
  <c r="F146" i="61"/>
  <c r="N146" i="61" s="1"/>
  <c r="F145" i="61"/>
  <c r="N145" i="61" s="1"/>
  <c r="F144" i="61"/>
  <c r="G144" i="61" s="1"/>
  <c r="H144" i="61" s="1"/>
  <c r="F129" i="61"/>
  <c r="N129" i="61" s="1"/>
  <c r="F128" i="61"/>
  <c r="N128" i="61" s="1"/>
  <c r="F127" i="61"/>
  <c r="N127" i="61" s="1"/>
  <c r="F126" i="61"/>
  <c r="N126" i="61" s="1"/>
  <c r="F125" i="61"/>
  <c r="N125" i="61" s="1"/>
  <c r="F124" i="61"/>
  <c r="G124" i="61" s="1"/>
  <c r="I124" i="61" s="1"/>
  <c r="F123" i="61"/>
  <c r="N123" i="61" s="1"/>
  <c r="F122" i="61"/>
  <c r="N122" i="61" s="1"/>
  <c r="F121" i="61"/>
  <c r="N121" i="61" s="1"/>
  <c r="F120" i="61"/>
  <c r="J120" i="61" s="1"/>
  <c r="M120" i="61" s="1"/>
  <c r="F119" i="61"/>
  <c r="J119" i="61" s="1"/>
  <c r="M119" i="61" s="1"/>
  <c r="F118" i="61"/>
  <c r="J118" i="61" s="1"/>
  <c r="M118" i="61" s="1"/>
  <c r="F117" i="61"/>
  <c r="J117" i="61" s="1"/>
  <c r="M117" i="61" s="1"/>
  <c r="F116" i="61"/>
  <c r="J116" i="61" s="1"/>
  <c r="M116" i="61" s="1"/>
  <c r="F115" i="61"/>
  <c r="J115" i="61" s="1"/>
  <c r="M115" i="61" s="1"/>
  <c r="F114" i="61"/>
  <c r="N114" i="61" s="1"/>
  <c r="F113" i="61"/>
  <c r="N113" i="61" s="1"/>
  <c r="F112" i="61"/>
  <c r="N112" i="61" s="1"/>
  <c r="F111" i="61"/>
  <c r="J111" i="61" s="1"/>
  <c r="M111" i="61" s="1"/>
  <c r="F110" i="61"/>
  <c r="N110" i="61" s="1"/>
  <c r="F109" i="61"/>
  <c r="G109" i="61" s="1"/>
  <c r="I109" i="61" s="1"/>
  <c r="F108" i="61"/>
  <c r="N108" i="61" s="1"/>
  <c r="F107" i="61"/>
  <c r="J107" i="61" s="1"/>
  <c r="M107" i="61" s="1"/>
  <c r="F106" i="61"/>
  <c r="N106" i="61" s="1"/>
  <c r="F105" i="61"/>
  <c r="J105" i="61" s="1"/>
  <c r="M105" i="61" s="1"/>
  <c r="F104" i="61"/>
  <c r="N104" i="61" s="1"/>
  <c r="F103" i="61"/>
  <c r="J103" i="61" s="1"/>
  <c r="M103" i="61" s="1"/>
  <c r="F102" i="61"/>
  <c r="N102" i="61" s="1"/>
  <c r="F101" i="61"/>
  <c r="J101" i="61" s="1"/>
  <c r="M101" i="61" s="1"/>
  <c r="F100" i="61"/>
  <c r="N100" i="61" s="1"/>
  <c r="F99" i="61"/>
  <c r="N99" i="61" s="1"/>
  <c r="F98" i="61"/>
  <c r="J98" i="61" s="1"/>
  <c r="M98" i="61" s="1"/>
  <c r="F97" i="61"/>
  <c r="J97" i="61" s="1"/>
  <c r="M97" i="61" s="1"/>
  <c r="F96" i="61"/>
  <c r="N96" i="61" s="1"/>
  <c r="F95" i="61"/>
  <c r="N95" i="61" s="1"/>
  <c r="F94" i="61"/>
  <c r="J94" i="61" s="1"/>
  <c r="M94" i="61" s="1"/>
  <c r="F93" i="61"/>
  <c r="N93" i="61" s="1"/>
  <c r="L141" i="61"/>
  <c r="F92" i="61"/>
  <c r="J92" i="61" s="1"/>
  <c r="M92" i="61" s="1"/>
  <c r="F91" i="61"/>
  <c r="J91" i="61" s="1"/>
  <c r="M91" i="61" s="1"/>
  <c r="F90" i="61"/>
  <c r="J90" i="61" s="1"/>
  <c r="M90" i="61" s="1"/>
  <c r="F89" i="61"/>
  <c r="J89" i="61" s="1"/>
  <c r="F88" i="61"/>
  <c r="J88" i="61" s="1"/>
  <c r="M88" i="61" s="1"/>
  <c r="F87" i="61"/>
  <c r="N87" i="61" s="1"/>
  <c r="F86" i="61"/>
  <c r="N86" i="61" s="1"/>
  <c r="G85" i="61"/>
  <c r="F85" i="61"/>
  <c r="J85" i="61" s="1"/>
  <c r="M85" i="61" s="1"/>
  <c r="H84" i="61"/>
  <c r="F84" i="61"/>
  <c r="G84" i="61" s="1"/>
  <c r="F82" i="61"/>
  <c r="N82" i="61" s="1"/>
  <c r="F81" i="61"/>
  <c r="N81" i="61" s="1"/>
  <c r="F80" i="61"/>
  <c r="N80" i="61" s="1"/>
  <c r="F79" i="61"/>
  <c r="N79" i="61" s="1"/>
  <c r="F78" i="61"/>
  <c r="N78" i="61" s="1"/>
  <c r="F77" i="61"/>
  <c r="J77" i="61" s="1"/>
  <c r="M77" i="61" s="1"/>
  <c r="F76" i="61"/>
  <c r="J76" i="61" s="1"/>
  <c r="M76" i="61" s="1"/>
  <c r="F64" i="61"/>
  <c r="N64" i="61" s="1"/>
  <c r="F63" i="61"/>
  <c r="G63" i="61" s="1"/>
  <c r="I63" i="61" s="1"/>
  <c r="F62" i="61"/>
  <c r="J62" i="61" s="1"/>
  <c r="M62" i="61" s="1"/>
  <c r="F61" i="61"/>
  <c r="N61" i="61" s="1"/>
  <c r="F60" i="61"/>
  <c r="N60" i="61" s="1"/>
  <c r="F59" i="61"/>
  <c r="N59" i="61" s="1"/>
  <c r="F58" i="61"/>
  <c r="N58" i="61" s="1"/>
  <c r="F57" i="61"/>
  <c r="N57" i="61" s="1"/>
  <c r="F56" i="61"/>
  <c r="G56" i="61" s="1"/>
  <c r="F55" i="61"/>
  <c r="N55" i="61" s="1"/>
  <c r="H54" i="61"/>
  <c r="F54" i="61"/>
  <c r="G54" i="61" s="1"/>
  <c r="H53" i="61"/>
  <c r="G53" i="61" s="1"/>
  <c r="F53" i="61"/>
  <c r="F52" i="61"/>
  <c r="N52" i="61" s="1"/>
  <c r="F51" i="61"/>
  <c r="N51" i="61" s="1"/>
  <c r="F50" i="61"/>
  <c r="J50" i="61" s="1"/>
  <c r="M50" i="61" s="1"/>
  <c r="F49" i="61"/>
  <c r="J49" i="61" s="1"/>
  <c r="M49" i="61" s="1"/>
  <c r="L73" i="61"/>
  <c r="F48" i="61"/>
  <c r="J48" i="61" s="1"/>
  <c r="M48" i="61" s="1"/>
  <c r="F46" i="61"/>
  <c r="N46" i="61" s="1"/>
  <c r="F45" i="61"/>
  <c r="N45" i="61" s="1"/>
  <c r="F44" i="61"/>
  <c r="N44" i="61" s="1"/>
  <c r="F43" i="61"/>
  <c r="N43" i="61" s="1"/>
  <c r="F42" i="61"/>
  <c r="N42" i="61" s="1"/>
  <c r="L39" i="61"/>
  <c r="H39" i="61"/>
  <c r="F36" i="61"/>
  <c r="N36" i="61" s="1"/>
  <c r="F35" i="61"/>
  <c r="N35" i="61" s="1"/>
  <c r="F34" i="61"/>
  <c r="J34" i="61" s="1"/>
  <c r="M34" i="61" s="1"/>
  <c r="F20" i="61"/>
  <c r="N20" i="61" s="1"/>
  <c r="F19" i="61"/>
  <c r="G19" i="61" s="1"/>
  <c r="I19" i="61" s="1"/>
  <c r="F18" i="61"/>
  <c r="J18" i="61" s="1"/>
  <c r="M18" i="61" s="1"/>
  <c r="F17" i="61"/>
  <c r="G17" i="61" s="1"/>
  <c r="I17" i="61" s="1"/>
  <c r="F16" i="61"/>
  <c r="J16" i="61" s="1"/>
  <c r="M16" i="61" s="1"/>
  <c r="F15" i="61"/>
  <c r="G15" i="61" s="1"/>
  <c r="I15" i="61" s="1"/>
  <c r="F14" i="61"/>
  <c r="J14" i="61" s="1"/>
  <c r="F13" i="61"/>
  <c r="J13" i="61" s="1"/>
  <c r="M13" i="61" s="1"/>
  <c r="F12" i="61"/>
  <c r="J12" i="61" s="1"/>
  <c r="L9" i="61"/>
  <c r="H9" i="61"/>
  <c r="E9" i="61"/>
  <c r="F6" i="61"/>
  <c r="J6" i="61" s="1"/>
  <c r="M6" i="61" s="1"/>
  <c r="F5" i="61"/>
  <c r="J5" i="61" s="1"/>
  <c r="M5" i="61" s="1"/>
  <c r="F4" i="61"/>
  <c r="G4" i="61" s="1"/>
  <c r="D16" i="57"/>
  <c r="E11" i="57"/>
  <c r="E12" i="57" s="1"/>
  <c r="D11" i="57"/>
  <c r="D10" i="57"/>
  <c r="D17" i="57"/>
  <c r="F49" i="11"/>
  <c r="F63"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F38" i="56"/>
  <c r="F36" i="56"/>
  <c r="C26" i="56"/>
  <c r="F25" i="56"/>
  <c r="F24" i="56"/>
  <c r="F23" i="56"/>
  <c r="F22" i="56"/>
  <c r="F21" i="56"/>
  <c r="F20" i="56"/>
  <c r="C12" i="56"/>
  <c r="C17" i="56" s="1"/>
  <c r="K30" i="1"/>
  <c r="K134" i="1"/>
  <c r="J59" i="8" s="1"/>
  <c r="A15" i="32"/>
  <c r="G16" i="32" s="1"/>
  <c r="A7" i="26"/>
  <c r="A8" i="26" s="1"/>
  <c r="A9" i="26" s="1"/>
  <c r="A10" i="26" s="1"/>
  <c r="A27" i="11"/>
  <c r="K100" i="1"/>
  <c r="A7" i="8"/>
  <c r="A8" i="8" s="1"/>
  <c r="A9" i="8" s="1"/>
  <c r="A33" i="8"/>
  <c r="H34" i="8" s="1"/>
  <c r="A34" i="8"/>
  <c r="A38" i="8" s="1"/>
  <c r="E41" i="32"/>
  <c r="E35" i="32"/>
  <c r="K12" i="1"/>
  <c r="K128" i="1"/>
  <c r="J53" i="8" s="1"/>
  <c r="F24" i="26"/>
  <c r="F7" i="42"/>
  <c r="E21" i="32" s="1"/>
  <c r="F27" i="12"/>
  <c r="F56" i="12" s="1"/>
  <c r="F26" i="12"/>
  <c r="F55" i="12" s="1"/>
  <c r="F25" i="12"/>
  <c r="F54" i="12" s="1"/>
  <c r="J44" i="8"/>
  <c r="F22" i="31"/>
  <c r="E22" i="31"/>
  <c r="D22" i="31"/>
  <c r="E20" i="26"/>
  <c r="F15" i="56"/>
  <c r="J53" i="61"/>
  <c r="M53" i="61" s="1"/>
  <c r="J191" i="61"/>
  <c r="M191" i="61" s="1"/>
  <c r="F48" i="11"/>
  <c r="F62" i="11"/>
  <c r="A9" i="2"/>
  <c r="A10" i="2" s="1"/>
  <c r="A11" i="2" s="1"/>
  <c r="A28" i="11"/>
  <c r="A29" i="11" s="1"/>
  <c r="A30" i="11" s="1"/>
  <c r="A31" i="11" s="1"/>
  <c r="A32" i="11" s="1"/>
  <c r="A33" i="11" s="1"/>
  <c r="A34" i="11" s="1"/>
  <c r="A37" i="11" s="1"/>
  <c r="A38" i="11" s="1"/>
  <c r="D120" i="65"/>
  <c r="F120" i="65"/>
  <c r="H120" i="65"/>
  <c r="I111" i="65"/>
  <c r="I115" i="65"/>
  <c r="I119" i="65"/>
  <c r="C62" i="46"/>
  <c r="L11" i="46"/>
  <c r="E97" i="46" s="1"/>
  <c r="K11" i="46"/>
  <c r="K34" i="46"/>
  <c r="D120" i="46" s="1"/>
  <c r="K36" i="46"/>
  <c r="D122" i="46" s="1"/>
  <c r="K38" i="46"/>
  <c r="K40" i="46"/>
  <c r="K42" i="46"/>
  <c r="D128" i="46" s="1"/>
  <c r="K44" i="46"/>
  <c r="K46" i="46"/>
  <c r="K48" i="46"/>
  <c r="D134" i="46" s="1"/>
  <c r="H134" i="46" s="1"/>
  <c r="K50" i="46"/>
  <c r="D136" i="46" s="1"/>
  <c r="H136" i="46" s="1"/>
  <c r="K52" i="46"/>
  <c r="D138" i="46" s="1"/>
  <c r="H138" i="46" s="1"/>
  <c r="K54" i="46"/>
  <c r="D140" i="46" s="1"/>
  <c r="K57" i="46"/>
  <c r="K59" i="46"/>
  <c r="D145" i="46" s="1"/>
  <c r="L71" i="46"/>
  <c r="H64" i="44"/>
  <c r="A10" i="1"/>
  <c r="E10" i="2"/>
  <c r="N17" i="61" l="1"/>
  <c r="H113" i="46"/>
  <c r="G113" i="46" s="1"/>
  <c r="C113" i="46"/>
  <c r="N105" i="61"/>
  <c r="J162" i="61"/>
  <c r="M162" i="61" s="1"/>
  <c r="N162" i="61"/>
  <c r="J93" i="61"/>
  <c r="M93" i="61" s="1"/>
  <c r="J55" i="61"/>
  <c r="M55" i="61" s="1"/>
  <c r="N101" i="61"/>
  <c r="G97" i="61"/>
  <c r="I97" i="61" s="1"/>
  <c r="N98" i="61"/>
  <c r="G58" i="61"/>
  <c r="I58" i="61" s="1"/>
  <c r="C10" i="57"/>
  <c r="J17" i="61"/>
  <c r="M17" i="61" s="1"/>
  <c r="N13" i="61"/>
  <c r="J125" i="61"/>
  <c r="M125" i="61" s="1"/>
  <c r="G13" i="61"/>
  <c r="I13" i="61" s="1"/>
  <c r="G208" i="61"/>
  <c r="I208" i="61" s="1"/>
  <c r="J151" i="61"/>
  <c r="M151" i="61" s="1"/>
  <c r="G16" i="61"/>
  <c r="I16" i="61" s="1"/>
  <c r="J84" i="61"/>
  <c r="M84" i="61" s="1"/>
  <c r="J155" i="61"/>
  <c r="M155" i="61" s="1"/>
  <c r="N117" i="61"/>
  <c r="N212" i="61"/>
  <c r="J212" i="61"/>
  <c r="M212" i="61" s="1"/>
  <c r="J147" i="61"/>
  <c r="M147" i="61" s="1"/>
  <c r="G187" i="61"/>
  <c r="I187" i="61" s="1"/>
  <c r="J121" i="61"/>
  <c r="M121" i="61" s="1"/>
  <c r="N84" i="61"/>
  <c r="N90" i="61"/>
  <c r="G159" i="61"/>
  <c r="I159" i="61" s="1"/>
  <c r="G61" i="61"/>
  <c r="I61" i="61" s="1"/>
  <c r="N6" i="61"/>
  <c r="J211" i="61"/>
  <c r="M211" i="61" s="1"/>
  <c r="G20" i="61"/>
  <c r="I20" i="61" s="1"/>
  <c r="G108" i="61"/>
  <c r="I108" i="61" s="1"/>
  <c r="G156" i="61"/>
  <c r="I156" i="61" s="1"/>
  <c r="J184" i="61"/>
  <c r="M184" i="61" s="1"/>
  <c r="G110" i="61"/>
  <c r="I110" i="61" s="1"/>
  <c r="J126" i="61"/>
  <c r="M126" i="61" s="1"/>
  <c r="G126" i="61"/>
  <c r="I126" i="61" s="1"/>
  <c r="G62" i="61"/>
  <c r="I62" i="61" s="1"/>
  <c r="N76" i="61"/>
  <c r="N192" i="61"/>
  <c r="J106" i="61"/>
  <c r="M106" i="61" s="1"/>
  <c r="J15" i="61"/>
  <c r="M15" i="61" s="1"/>
  <c r="N92" i="61"/>
  <c r="G6" i="61"/>
  <c r="I6" i="61" s="1"/>
  <c r="J150" i="61"/>
  <c r="M150" i="61" s="1"/>
  <c r="J43" i="61"/>
  <c r="M43" i="61" s="1"/>
  <c r="J20" i="61"/>
  <c r="M20" i="61" s="1"/>
  <c r="J81" i="61"/>
  <c r="M81" i="61" s="1"/>
  <c r="J99" i="61"/>
  <c r="M99" i="61" s="1"/>
  <c r="J185" i="61"/>
  <c r="M185" i="61" s="1"/>
  <c r="G78" i="61"/>
  <c r="I78" i="61" s="1"/>
  <c r="G88" i="61"/>
  <c r="I88" i="61" s="1"/>
  <c r="G60" i="61"/>
  <c r="I60" i="61" s="1"/>
  <c r="G104" i="61"/>
  <c r="I104" i="61" s="1"/>
  <c r="F47" i="71"/>
  <c r="E54" i="7"/>
  <c r="A29" i="57"/>
  <c r="J35" i="61"/>
  <c r="M35" i="61" s="1"/>
  <c r="N144" i="61"/>
  <c r="J122" i="61"/>
  <c r="M122" i="61" s="1"/>
  <c r="G94" i="61"/>
  <c r="I94" i="61" s="1"/>
  <c r="G80" i="61"/>
  <c r="I80" i="61" s="1"/>
  <c r="N91" i="61"/>
  <c r="J110" i="61"/>
  <c r="M110" i="61" s="1"/>
  <c r="G98" i="61"/>
  <c r="I98" i="61" s="1"/>
  <c r="H56" i="8"/>
  <c r="J188" i="61"/>
  <c r="M188" i="61" s="1"/>
  <c r="J148" i="61"/>
  <c r="M148" i="61" s="1"/>
  <c r="J114" i="61"/>
  <c r="M114" i="61" s="1"/>
  <c r="N160" i="61"/>
  <c r="J80" i="61"/>
  <c r="M80" i="61" s="1"/>
  <c r="G196" i="61"/>
  <c r="I196" i="61" s="1"/>
  <c r="J156" i="61"/>
  <c r="M156" i="61" s="1"/>
  <c r="G152" i="61"/>
  <c r="I152" i="61" s="1"/>
  <c r="G118" i="61"/>
  <c r="I118" i="61" s="1"/>
  <c r="G91" i="61"/>
  <c r="I91" i="61" s="1"/>
  <c r="G76" i="61"/>
  <c r="J51" i="61"/>
  <c r="M51" i="61" s="1"/>
  <c r="G184" i="61"/>
  <c r="I184" i="61" s="1"/>
  <c r="G148" i="61"/>
  <c r="I148" i="61" s="1"/>
  <c r="G114" i="61"/>
  <c r="I114" i="61" s="1"/>
  <c r="G106" i="61"/>
  <c r="I106" i="61" s="1"/>
  <c r="J58" i="61"/>
  <c r="M58" i="61" s="1"/>
  <c r="G46" i="61"/>
  <c r="I46" i="61" s="1"/>
  <c r="N111" i="61"/>
  <c r="N48" i="61"/>
  <c r="C28" i="56"/>
  <c r="J144" i="61"/>
  <c r="M144" i="61" s="1"/>
  <c r="G102" i="61"/>
  <c r="I102" i="61" s="1"/>
  <c r="J42" i="61"/>
  <c r="M42" i="61" s="1"/>
  <c r="G188" i="61"/>
  <c r="I188" i="61" s="1"/>
  <c r="J160" i="61"/>
  <c r="M160" i="61" s="1"/>
  <c r="J87" i="61"/>
  <c r="M87" i="61" s="1"/>
  <c r="J152" i="61"/>
  <c r="M152" i="61" s="1"/>
  <c r="J102" i="61"/>
  <c r="M102" i="61" s="1"/>
  <c r="G87" i="61"/>
  <c r="I87" i="61" s="1"/>
  <c r="J46" i="61"/>
  <c r="M46" i="61" s="1"/>
  <c r="G42" i="61"/>
  <c r="N50" i="61"/>
  <c r="F40" i="56"/>
  <c r="M12" i="61"/>
  <c r="E28" i="56"/>
  <c r="G20" i="2" s="1"/>
  <c r="A11" i="1"/>
  <c r="A12" i="1" s="1"/>
  <c r="A15" i="1" s="1"/>
  <c r="A16" i="1" s="1"/>
  <c r="A17" i="1" s="1"/>
  <c r="H14" i="8" s="1"/>
  <c r="J45" i="46"/>
  <c r="C131" i="46" s="1"/>
  <c r="D18" i="57"/>
  <c r="D12" i="57"/>
  <c r="E62" i="11"/>
  <c r="E55" i="12" s="1"/>
  <c r="C81" i="46"/>
  <c r="C83" i="46" s="1"/>
  <c r="I83" i="46"/>
  <c r="D131" i="46"/>
  <c r="H131" i="46" s="1"/>
  <c r="G131" i="46" s="1"/>
  <c r="F42" i="56"/>
  <c r="F17" i="56"/>
  <c r="C11" i="57"/>
  <c r="C12" i="57" s="1"/>
  <c r="K20" i="57"/>
  <c r="E31" i="57" s="1"/>
  <c r="J124" i="61"/>
  <c r="M124" i="61" s="1"/>
  <c r="G82" i="61"/>
  <c r="I82" i="61" s="1"/>
  <c r="J104" i="61"/>
  <c r="M104" i="61" s="1"/>
  <c r="N83" i="61"/>
  <c r="G64" i="61"/>
  <c r="I64" i="61" s="1"/>
  <c r="G158" i="61"/>
  <c r="I158" i="61" s="1"/>
  <c r="G52" i="61"/>
  <c r="I52" i="61" s="1"/>
  <c r="J45" i="61"/>
  <c r="M45" i="61" s="1"/>
  <c r="N34" i="61"/>
  <c r="N39" i="61" s="1"/>
  <c r="H141" i="61"/>
  <c r="J83" i="61"/>
  <c r="M83" i="61" s="1"/>
  <c r="G35" i="61"/>
  <c r="I35" i="61" s="1"/>
  <c r="N16" i="61"/>
  <c r="J82" i="61"/>
  <c r="M82" i="61" s="1"/>
  <c r="G192" i="61"/>
  <c r="I192" i="61" s="1"/>
  <c r="J183" i="61"/>
  <c r="M183" i="61" s="1"/>
  <c r="J154" i="61"/>
  <c r="M154" i="61" s="1"/>
  <c r="J129" i="61"/>
  <c r="M129" i="61" s="1"/>
  <c r="G116" i="61"/>
  <c r="I116" i="61" s="1"/>
  <c r="N118" i="61"/>
  <c r="G100" i="61"/>
  <c r="I100" i="61" s="1"/>
  <c r="G90" i="61"/>
  <c r="I90" i="61" s="1"/>
  <c r="G79" i="61"/>
  <c r="I79" i="61" s="1"/>
  <c r="G49" i="61"/>
  <c r="I49" i="61" s="1"/>
  <c r="G12" i="61"/>
  <c r="N94" i="61"/>
  <c r="N196" i="61"/>
  <c r="N5" i="61"/>
  <c r="G195" i="61"/>
  <c r="I195" i="61" s="1"/>
  <c r="N159" i="61"/>
  <c r="G146" i="61"/>
  <c r="I146" i="61" s="1"/>
  <c r="J113" i="61"/>
  <c r="M113" i="61" s="1"/>
  <c r="J158" i="61"/>
  <c r="M158" i="61" s="1"/>
  <c r="N97" i="61"/>
  <c r="G86" i="61"/>
  <c r="I86" i="61" s="1"/>
  <c r="J60" i="61"/>
  <c r="M60" i="61" s="1"/>
  <c r="G57" i="61"/>
  <c r="I57" i="61" s="1"/>
  <c r="G50" i="61"/>
  <c r="I50" i="61" s="1"/>
  <c r="J109" i="61"/>
  <c r="M109" i="61" s="1"/>
  <c r="N62" i="61"/>
  <c r="J19" i="61"/>
  <c r="M19" i="61" s="1"/>
  <c r="J186" i="61"/>
  <c r="M186" i="61" s="1"/>
  <c r="J52" i="61"/>
  <c r="M52" i="61" s="1"/>
  <c r="G96" i="61"/>
  <c r="I96" i="61" s="1"/>
  <c r="J23" i="46"/>
  <c r="C109" i="46" s="1"/>
  <c r="D109" i="46"/>
  <c r="H109" i="46" s="1"/>
  <c r="G109" i="46" s="1"/>
  <c r="J33" i="46"/>
  <c r="C119" i="46" s="1"/>
  <c r="J58" i="46"/>
  <c r="C144" i="46" s="1"/>
  <c r="F41" i="12"/>
  <c r="F39" i="12"/>
  <c r="F26" i="56"/>
  <c r="H24" i="8"/>
  <c r="I28" i="1"/>
  <c r="E63" i="11"/>
  <c r="E56" i="12" s="1"/>
  <c r="F40" i="12"/>
  <c r="K56" i="65"/>
  <c r="K68" i="65" s="1"/>
  <c r="E74" i="65" s="1"/>
  <c r="E75" i="65" s="1"/>
  <c r="K148" i="1" s="1"/>
  <c r="C8" i="9" s="1"/>
  <c r="G68" i="65"/>
  <c r="E48" i="11"/>
  <c r="E40" i="12" s="1"/>
  <c r="E29" i="32"/>
  <c r="C16" i="57"/>
  <c r="G20" i="57"/>
  <c r="C26" i="57" s="1"/>
  <c r="C15" i="57"/>
  <c r="D144" i="46"/>
  <c r="H144" i="46" s="1"/>
  <c r="G144" i="46" s="1"/>
  <c r="J39" i="46"/>
  <c r="C125" i="46" s="1"/>
  <c r="D119" i="46"/>
  <c r="J49" i="46"/>
  <c r="C135" i="46" s="1"/>
  <c r="J37" i="46"/>
  <c r="C123" i="46" s="1"/>
  <c r="N53" i="61"/>
  <c r="N85" i="61"/>
  <c r="N18" i="61"/>
  <c r="N47" i="61"/>
  <c r="N15" i="61"/>
  <c r="J100" i="61"/>
  <c r="M100" i="61" s="1"/>
  <c r="G209" i="61"/>
  <c r="I209" i="61" s="1"/>
  <c r="G154" i="61"/>
  <c r="I154" i="61" s="1"/>
  <c r="G120" i="61"/>
  <c r="I120" i="61" s="1"/>
  <c r="G92" i="61"/>
  <c r="I92" i="61" s="1"/>
  <c r="N116" i="61"/>
  <c r="G99" i="61"/>
  <c r="I99" i="61" s="1"/>
  <c r="G81" i="61"/>
  <c r="I81" i="61" s="1"/>
  <c r="G77" i="61"/>
  <c r="I77" i="61" s="1"/>
  <c r="N19" i="61"/>
  <c r="G5" i="61"/>
  <c r="I5" i="61" s="1"/>
  <c r="N4" i="61"/>
  <c r="N190" i="61"/>
  <c r="N209" i="61"/>
  <c r="N193" i="61"/>
  <c r="N182" i="61"/>
  <c r="J157" i="61"/>
  <c r="M157" i="61" s="1"/>
  <c r="J112" i="61"/>
  <c r="M112" i="61" s="1"/>
  <c r="J189" i="61"/>
  <c r="M189" i="61" s="1"/>
  <c r="G162" i="61"/>
  <c r="I162" i="61" s="1"/>
  <c r="J108" i="61"/>
  <c r="M108" i="61" s="1"/>
  <c r="G59" i="61"/>
  <c r="I59" i="61" s="1"/>
  <c r="J44" i="61"/>
  <c r="M44" i="61" s="1"/>
  <c r="G107" i="61"/>
  <c r="I107" i="61" s="1"/>
  <c r="J96" i="61"/>
  <c r="M96" i="61" s="1"/>
  <c r="J54" i="61"/>
  <c r="M54" i="61" s="1"/>
  <c r="G103" i="61"/>
  <c r="I103" i="61" s="1"/>
  <c r="N14" i="61"/>
  <c r="J145" i="61"/>
  <c r="M145" i="61" s="1"/>
  <c r="J193" i="61"/>
  <c r="M193" i="61" s="1"/>
  <c r="J182" i="61"/>
  <c r="M182" i="61" s="1"/>
  <c r="N115" i="61"/>
  <c r="J36" i="61"/>
  <c r="M36" i="61" s="1"/>
  <c r="N124" i="61"/>
  <c r="J78" i="61"/>
  <c r="M78" i="61" s="1"/>
  <c r="N56" i="61"/>
  <c r="J194" i="61"/>
  <c r="M194" i="61" s="1"/>
  <c r="J153" i="61"/>
  <c r="M153" i="61" s="1"/>
  <c r="J128" i="61"/>
  <c r="M128" i="61" s="1"/>
  <c r="N119" i="61"/>
  <c r="G89" i="61"/>
  <c r="I89" i="61" s="1"/>
  <c r="G18" i="61"/>
  <c r="I18" i="61" s="1"/>
  <c r="G14" i="61"/>
  <c r="I14" i="61" s="1"/>
  <c r="J64" i="61"/>
  <c r="M64" i="61" s="1"/>
  <c r="N89" i="61"/>
  <c r="N77" i="61"/>
  <c r="G128" i="61"/>
  <c r="I128" i="61" s="1"/>
  <c r="N211" i="61"/>
  <c r="N186" i="61"/>
  <c r="J161" i="61"/>
  <c r="M161" i="61" s="1"/>
  <c r="J149" i="61"/>
  <c r="M149" i="61" s="1"/>
  <c r="J146" i="61"/>
  <c r="M146" i="61" s="1"/>
  <c r="G112" i="61"/>
  <c r="I112" i="61" s="1"/>
  <c r="N150" i="61"/>
  <c r="J95" i="61"/>
  <c r="M95" i="61" s="1"/>
  <c r="G44" i="61"/>
  <c r="I44" i="61" s="1"/>
  <c r="G111" i="61"/>
  <c r="I111" i="61" s="1"/>
  <c r="N107" i="61"/>
  <c r="H73" i="61"/>
  <c r="I182" i="61"/>
  <c r="G34" i="61"/>
  <c r="G47" i="61"/>
  <c r="I47" i="61" s="1"/>
  <c r="N63" i="61"/>
  <c r="J79" i="61"/>
  <c r="M79" i="61" s="1"/>
  <c r="G190" i="61"/>
  <c r="I190" i="61" s="1"/>
  <c r="G194" i="61"/>
  <c r="I194" i="61" s="1"/>
  <c r="G183" i="61"/>
  <c r="I183" i="61" s="1"/>
  <c r="G155" i="61"/>
  <c r="I155" i="61" s="1"/>
  <c r="G153" i="61"/>
  <c r="I153" i="61" s="1"/>
  <c r="G151" i="61"/>
  <c r="I151" i="61" s="1"/>
  <c r="J123" i="61"/>
  <c r="M123" i="61" s="1"/>
  <c r="G119" i="61"/>
  <c r="I119" i="61" s="1"/>
  <c r="G105" i="61"/>
  <c r="I105" i="61" s="1"/>
  <c r="G129" i="61"/>
  <c r="I129" i="61" s="1"/>
  <c r="G125" i="61"/>
  <c r="I125" i="61" s="1"/>
  <c r="N120" i="61"/>
  <c r="J63" i="61"/>
  <c r="M63" i="61" s="1"/>
  <c r="N12" i="61"/>
  <c r="G122" i="61"/>
  <c r="I122" i="61" s="1"/>
  <c r="N187" i="61"/>
  <c r="N49" i="61"/>
  <c r="J208" i="61"/>
  <c r="M208" i="61" s="1"/>
  <c r="G191" i="61"/>
  <c r="I191" i="61" s="1"/>
  <c r="N161" i="61"/>
  <c r="G157" i="61"/>
  <c r="I157" i="61" s="1"/>
  <c r="G149" i="61"/>
  <c r="I149" i="61" s="1"/>
  <c r="G147" i="61"/>
  <c r="I147" i="61" s="1"/>
  <c r="G145" i="61"/>
  <c r="G189" i="61"/>
  <c r="I189" i="61" s="1"/>
  <c r="G95" i="61"/>
  <c r="I95" i="61" s="1"/>
  <c r="J61" i="61"/>
  <c r="M61" i="61" s="1"/>
  <c r="J59" i="61"/>
  <c r="M59" i="61" s="1"/>
  <c r="J57" i="61"/>
  <c r="M57" i="61" s="1"/>
  <c r="G48" i="61"/>
  <c r="I48" i="61" s="1"/>
  <c r="G45" i="61"/>
  <c r="I45" i="61" s="1"/>
  <c r="G43" i="61"/>
  <c r="N109" i="61"/>
  <c r="G93" i="61"/>
  <c r="I93" i="61" s="1"/>
  <c r="N54" i="61"/>
  <c r="G36" i="61"/>
  <c r="I36" i="61" s="1"/>
  <c r="N195" i="61"/>
  <c r="G185" i="61"/>
  <c r="I185" i="61" s="1"/>
  <c r="J127" i="61"/>
  <c r="M127" i="61" s="1"/>
  <c r="G121" i="61"/>
  <c r="I121" i="61" s="1"/>
  <c r="G117" i="61"/>
  <c r="I117" i="61" s="1"/>
  <c r="G101" i="61"/>
  <c r="I101" i="61" s="1"/>
  <c r="G127" i="61"/>
  <c r="I127" i="61" s="1"/>
  <c r="G123" i="61"/>
  <c r="I123" i="61" s="1"/>
  <c r="N103" i="61"/>
  <c r="G51" i="61"/>
  <c r="I51" i="61" s="1"/>
  <c r="J4" i="61"/>
  <c r="G115" i="61"/>
  <c r="I115" i="61" s="1"/>
  <c r="G113" i="61"/>
  <c r="I113" i="61" s="1"/>
  <c r="J86" i="61"/>
  <c r="M86" i="61" s="1"/>
  <c r="J56" i="61"/>
  <c r="M56" i="61" s="1"/>
  <c r="N88" i="61"/>
  <c r="E220" i="61"/>
  <c r="A25" i="65"/>
  <c r="A26" i="65" s="1"/>
  <c r="A27" i="65" s="1"/>
  <c r="A28" i="65" s="1"/>
  <c r="A29" i="65" s="1"/>
  <c r="A30" i="65" s="1"/>
  <c r="A31" i="65" s="1"/>
  <c r="A32" i="65" s="1"/>
  <c r="A33" i="65" s="1"/>
  <c r="A34" i="65" s="1"/>
  <c r="A35" i="65" s="1"/>
  <c r="A36" i="65" s="1"/>
  <c r="A37" i="65" s="1"/>
  <c r="A38" i="65" s="1"/>
  <c r="A39" i="65" s="1"/>
  <c r="A40" i="65" s="1"/>
  <c r="A41" i="65" s="1"/>
  <c r="A42" i="65" s="1"/>
  <c r="A43" i="65" s="1"/>
  <c r="A44" i="65" s="1"/>
  <c r="I120" i="65"/>
  <c r="F12" i="56"/>
  <c r="E15" i="32"/>
  <c r="H20" i="57"/>
  <c r="D26" i="57" s="1"/>
  <c r="C17" i="57"/>
  <c r="I144" i="61"/>
  <c r="H168" i="61"/>
  <c r="L220" i="61"/>
  <c r="E223" i="61" s="1"/>
  <c r="E224" i="61" s="1"/>
  <c r="L81" i="46"/>
  <c r="J76" i="46"/>
  <c r="C162" i="46" s="1"/>
  <c r="J74" i="46"/>
  <c r="C160" i="46" s="1"/>
  <c r="J72" i="46"/>
  <c r="C158" i="46" s="1"/>
  <c r="J78" i="46"/>
  <c r="C164" i="46" s="1"/>
  <c r="J77" i="46"/>
  <c r="C163" i="46" s="1"/>
  <c r="J75" i="46"/>
  <c r="C161" i="46" s="1"/>
  <c r="J73" i="46"/>
  <c r="C159" i="46" s="1"/>
  <c r="J41" i="46"/>
  <c r="C127" i="46" s="1"/>
  <c r="J56" i="46"/>
  <c r="C142" i="46" s="1"/>
  <c r="J36" i="46"/>
  <c r="C122" i="46" s="1"/>
  <c r="J54" i="46"/>
  <c r="C140" i="46" s="1"/>
  <c r="J46" i="46"/>
  <c r="C132" i="46" s="1"/>
  <c r="J38" i="46"/>
  <c r="C124" i="46" s="1"/>
  <c r="J53" i="46"/>
  <c r="C139" i="46" s="1"/>
  <c r="J47" i="46"/>
  <c r="C133" i="46" s="1"/>
  <c r="J35" i="46"/>
  <c r="C121" i="46" s="1"/>
  <c r="J57" i="46"/>
  <c r="C143" i="46" s="1"/>
  <c r="J40" i="46"/>
  <c r="C126" i="46" s="1"/>
  <c r="J51" i="46"/>
  <c r="C137" i="46" s="1"/>
  <c r="L62" i="46"/>
  <c r="J44" i="46"/>
  <c r="C130" i="46" s="1"/>
  <c r="J43" i="46"/>
  <c r="C129" i="46" s="1"/>
  <c r="E49" i="11"/>
  <c r="E24" i="71"/>
  <c r="A12" i="2"/>
  <c r="A13" i="2" s="1"/>
  <c r="I56" i="61"/>
  <c r="I84" i="61"/>
  <c r="A41" i="8"/>
  <c r="A42" i="8" s="1"/>
  <c r="A43" i="8" s="1"/>
  <c r="A44" i="8" s="1"/>
  <c r="A45" i="8" s="1"/>
  <c r="A48" i="8" s="1"/>
  <c r="H57" i="8"/>
  <c r="J20" i="57"/>
  <c r="D27" i="57" s="1"/>
  <c r="I20" i="57"/>
  <c r="C27" i="57" s="1"/>
  <c r="D126" i="46"/>
  <c r="H126" i="46" s="1"/>
  <c r="G126" i="46" s="1"/>
  <c r="G24" i="26"/>
  <c r="A11" i="26"/>
  <c r="A12" i="26" s="1"/>
  <c r="A13" i="26" s="1"/>
  <c r="A14" i="26" s="1"/>
  <c r="A15" i="26" s="1"/>
  <c r="A16" i="26" s="1"/>
  <c r="A17" i="26" s="1"/>
  <c r="A18" i="26" s="1"/>
  <c r="A19" i="26" s="1"/>
  <c r="A20" i="26" s="1"/>
  <c r="M209" i="61"/>
  <c r="J27" i="8"/>
  <c r="G13" i="2"/>
  <c r="G14" i="2" s="1"/>
  <c r="D124" i="46"/>
  <c r="H124" i="46" s="1"/>
  <c r="G124" i="46" s="1"/>
  <c r="E18" i="57"/>
  <c r="E20" i="57" s="1"/>
  <c r="M14" i="61"/>
  <c r="I54" i="61"/>
  <c r="M47" i="61"/>
  <c r="I4" i="61"/>
  <c r="M89" i="61"/>
  <c r="I83" i="61"/>
  <c r="D111" i="21"/>
  <c r="D123" i="21" s="1"/>
  <c r="D103" i="21"/>
  <c r="D133" i="21" s="1"/>
  <c r="D136" i="21" s="1"/>
  <c r="K28" i="1"/>
  <c r="F55" i="17"/>
  <c r="F57" i="17" s="1"/>
  <c r="D51" i="17"/>
  <c r="D14" i="17" s="1"/>
  <c r="K101" i="1" s="1"/>
  <c r="K102" i="1" s="1"/>
  <c r="E61" i="11"/>
  <c r="E54" i="12" s="1"/>
  <c r="E68" i="12"/>
  <c r="E112" i="21"/>
  <c r="N92" i="21"/>
  <c r="J111" i="21"/>
  <c r="J103" i="21"/>
  <c r="J133" i="21" s="1"/>
  <c r="J136" i="21" s="1"/>
  <c r="E116" i="21"/>
  <c r="N96" i="21"/>
  <c r="E120" i="21"/>
  <c r="N100" i="21"/>
  <c r="H111" i="21"/>
  <c r="H103" i="21"/>
  <c r="H133" i="21" s="1"/>
  <c r="H136" i="21" s="1"/>
  <c r="L111" i="21"/>
  <c r="L103" i="21"/>
  <c r="L133" i="21" s="1"/>
  <c r="L136" i="21" s="1"/>
  <c r="F111" i="21"/>
  <c r="F103" i="21"/>
  <c r="F133" i="21" s="1"/>
  <c r="F136" i="21" s="1"/>
  <c r="E114" i="21"/>
  <c r="N114" i="21" s="1"/>
  <c r="N94" i="21"/>
  <c r="E118" i="21"/>
  <c r="N98" i="21"/>
  <c r="E122" i="21"/>
  <c r="N102" i="21"/>
  <c r="N91" i="21"/>
  <c r="G103" i="21"/>
  <c r="G133" i="21" s="1"/>
  <c r="G136" i="21" s="1"/>
  <c r="G111" i="21"/>
  <c r="I103" i="21"/>
  <c r="I133" i="21" s="1"/>
  <c r="I136" i="21" s="1"/>
  <c r="I111" i="21"/>
  <c r="K103" i="21"/>
  <c r="K133" i="21" s="1"/>
  <c r="K136" i="21" s="1"/>
  <c r="K111" i="21"/>
  <c r="M103" i="21"/>
  <c r="M133" i="21" s="1"/>
  <c r="M136" i="21" s="1"/>
  <c r="M111" i="21"/>
  <c r="D24" i="71"/>
  <c r="D40" i="7"/>
  <c r="D130" i="46"/>
  <c r="J52" i="46"/>
  <c r="C138" i="46" s="1"/>
  <c r="J13" i="46"/>
  <c r="C99" i="46" s="1"/>
  <c r="J25" i="46"/>
  <c r="C111" i="46" s="1"/>
  <c r="E86" i="11"/>
  <c r="H20" i="26"/>
  <c r="F23" i="26" s="1"/>
  <c r="F25" i="26" s="1"/>
  <c r="H43" i="44"/>
  <c r="A15" i="17"/>
  <c r="A16" i="17" s="1"/>
  <c r="A17" i="17" s="1"/>
  <c r="A18" i="17" s="1"/>
  <c r="A19" i="17" s="1"/>
  <c r="A20" i="17" s="1"/>
  <c r="A21" i="17" s="1"/>
  <c r="A22" i="17" s="1"/>
  <c r="A23" i="17" s="1"/>
  <c r="A24" i="17" s="1"/>
  <c r="J34" i="46"/>
  <c r="C120" i="46" s="1"/>
  <c r="J42" i="46"/>
  <c r="C128" i="46" s="1"/>
  <c r="D143" i="46"/>
  <c r="H143" i="46" s="1"/>
  <c r="G143" i="46" s="1"/>
  <c r="J11" i="46"/>
  <c r="C97" i="46" s="1"/>
  <c r="J28" i="46"/>
  <c r="C114" i="46" s="1"/>
  <c r="H122" i="46"/>
  <c r="G122" i="46" s="1"/>
  <c r="H140" i="46"/>
  <c r="G140" i="46" s="1"/>
  <c r="H145" i="46"/>
  <c r="G145" i="46" s="1"/>
  <c r="H123" i="46"/>
  <c r="G123" i="46" s="1"/>
  <c r="J71" i="46"/>
  <c r="C157" i="46" s="1"/>
  <c r="D97" i="46"/>
  <c r="J48" i="46"/>
  <c r="C134" i="46" s="1"/>
  <c r="H120" i="46"/>
  <c r="G120" i="46" s="1"/>
  <c r="H142" i="46"/>
  <c r="G142" i="46" s="1"/>
  <c r="I163" i="46"/>
  <c r="G163" i="46" s="1"/>
  <c r="H111" i="46"/>
  <c r="G111" i="46" s="1"/>
  <c r="H99" i="46"/>
  <c r="D83" i="46"/>
  <c r="C194" i="46" s="1"/>
  <c r="H80" i="46" s="1"/>
  <c r="J31" i="46"/>
  <c r="C117" i="46" s="1"/>
  <c r="G139" i="46"/>
  <c r="J27" i="46"/>
  <c r="J59" i="46"/>
  <c r="C145" i="46" s="1"/>
  <c r="G136" i="46"/>
  <c r="A17" i="7"/>
  <c r="A18" i="7" s="1"/>
  <c r="A19" i="7" s="1"/>
  <c r="A20" i="7" s="1"/>
  <c r="A21" i="7" s="1"/>
  <c r="G20" i="71"/>
  <c r="A20" i="71"/>
  <c r="B191" i="71" s="1"/>
  <c r="D98" i="46"/>
  <c r="J12" i="46"/>
  <c r="C98" i="46" s="1"/>
  <c r="E101" i="46"/>
  <c r="J15" i="46"/>
  <c r="C101" i="46" s="1"/>
  <c r="E102" i="46"/>
  <c r="I102" i="46" s="1"/>
  <c r="G102" i="46" s="1"/>
  <c r="J16" i="46"/>
  <c r="C102" i="46" s="1"/>
  <c r="E103" i="46"/>
  <c r="J17" i="46"/>
  <c r="C103" i="46" s="1"/>
  <c r="E104" i="46"/>
  <c r="I104" i="46" s="1"/>
  <c r="G104" i="46" s="1"/>
  <c r="J18" i="46"/>
  <c r="C104" i="46" s="1"/>
  <c r="E105" i="46"/>
  <c r="J19" i="46"/>
  <c r="C105" i="46" s="1"/>
  <c r="E106" i="46"/>
  <c r="I106" i="46" s="1"/>
  <c r="G106" i="46" s="1"/>
  <c r="J20" i="46"/>
  <c r="C106" i="46" s="1"/>
  <c r="E107" i="46"/>
  <c r="J21" i="46"/>
  <c r="C107" i="46" s="1"/>
  <c r="D112" i="46"/>
  <c r="J26" i="46"/>
  <c r="C112" i="46" s="1"/>
  <c r="D116" i="46"/>
  <c r="J30" i="46"/>
  <c r="C116" i="46" s="1"/>
  <c r="G133" i="46"/>
  <c r="G134" i="46"/>
  <c r="G161" i="46"/>
  <c r="D100" i="46"/>
  <c r="J14" i="46"/>
  <c r="C100" i="46" s="1"/>
  <c r="E108" i="46"/>
  <c r="J22" i="46"/>
  <c r="C108" i="46" s="1"/>
  <c r="D110" i="46"/>
  <c r="J24" i="46"/>
  <c r="C110" i="46" s="1"/>
  <c r="D118" i="46"/>
  <c r="J32" i="46"/>
  <c r="C118" i="46" s="1"/>
  <c r="G137" i="46"/>
  <c r="G138" i="46"/>
  <c r="G121" i="46"/>
  <c r="G162" i="46"/>
  <c r="I18" i="1"/>
  <c r="G77" i="44"/>
  <c r="A31" i="44"/>
  <c r="A71" i="46"/>
  <c r="A72" i="46" s="1"/>
  <c r="A73" i="46" s="1"/>
  <c r="A74" i="46" s="1"/>
  <c r="A75" i="46" s="1"/>
  <c r="A76" i="46" s="1"/>
  <c r="A77" i="46" s="1"/>
  <c r="A78" i="46" s="1"/>
  <c r="A79" i="46" s="1"/>
  <c r="A80" i="46" s="1"/>
  <c r="A81" i="46" s="1"/>
  <c r="E85" i="46"/>
  <c r="A47" i="11"/>
  <c r="H39" i="12" s="1"/>
  <c r="A49" i="8"/>
  <c r="A51" i="8" s="1"/>
  <c r="A52" i="8" s="1"/>
  <c r="A53" i="8" s="1"/>
  <c r="A54" i="8" s="1"/>
  <c r="A55" i="8" s="1"/>
  <c r="A12" i="8"/>
  <c r="A11" i="56"/>
  <c r="A12" i="56" s="1"/>
  <c r="D132" i="46"/>
  <c r="J50" i="46"/>
  <c r="C136" i="46" s="1"/>
  <c r="E157" i="46"/>
  <c r="E141" i="71"/>
  <c r="A22" i="7"/>
  <c r="A23" i="7" s="1"/>
  <c r="A24" i="7" s="1"/>
  <c r="A25" i="7" s="1"/>
  <c r="E140" i="71"/>
  <c r="E69" i="8"/>
  <c r="A23" i="22"/>
  <c r="A16" i="32"/>
  <c r="A20" i="32" s="1"/>
  <c r="A27" i="12"/>
  <c r="D47" i="71"/>
  <c r="E47" i="71"/>
  <c r="E54" i="71"/>
  <c r="D54" i="71"/>
  <c r="A6" i="31"/>
  <c r="A7" i="31" s="1"/>
  <c r="A8" i="31" s="1"/>
  <c r="B39" i="31" s="1"/>
  <c r="I43" i="61" l="1"/>
  <c r="G73" i="61"/>
  <c r="E52" i="11"/>
  <c r="E26" i="57"/>
  <c r="N31" i="61"/>
  <c r="D20" i="57"/>
  <c r="B8" i="65"/>
  <c r="A45" i="65"/>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I12" i="61"/>
  <c r="I31" i="61" s="1"/>
  <c r="G31" i="61"/>
  <c r="M31" i="61"/>
  <c r="I76" i="61"/>
  <c r="A30" i="57"/>
  <c r="A31" i="57" s="1"/>
  <c r="G31" i="57"/>
  <c r="C76" i="26"/>
  <c r="F54" i="71"/>
  <c r="E58" i="7"/>
  <c r="A18" i="1"/>
  <c r="I34" i="61"/>
  <c r="I39" i="61" s="1"/>
  <c r="G39" i="61"/>
  <c r="J31" i="61"/>
  <c r="I42" i="61"/>
  <c r="I73" i="61" s="1"/>
  <c r="C18" i="57"/>
  <c r="C20" i="57" s="1"/>
  <c r="C28" i="57"/>
  <c r="I216" i="61"/>
  <c r="N216" i="61"/>
  <c r="N203" i="61"/>
  <c r="G9" i="61"/>
  <c r="N9" i="61"/>
  <c r="N168" i="61"/>
  <c r="J39" i="61"/>
  <c r="M216" i="61"/>
  <c r="E228" i="61"/>
  <c r="E229" i="61" s="1"/>
  <c r="M39" i="61"/>
  <c r="M203" i="61"/>
  <c r="L83" i="46"/>
  <c r="E226" i="61"/>
  <c r="E227" i="61" s="1"/>
  <c r="G216" i="61"/>
  <c r="M168" i="61"/>
  <c r="N141" i="61"/>
  <c r="H220" i="61"/>
  <c r="I9" i="61"/>
  <c r="J216" i="61"/>
  <c r="J203" i="61"/>
  <c r="J168" i="61"/>
  <c r="I203" i="61"/>
  <c r="N73" i="61"/>
  <c r="M4" i="61"/>
  <c r="M9" i="61" s="1"/>
  <c r="J9" i="61"/>
  <c r="I145" i="61"/>
  <c r="I168" i="61" s="1"/>
  <c r="G168" i="61"/>
  <c r="M141" i="61"/>
  <c r="M73" i="61"/>
  <c r="J141" i="61"/>
  <c r="J73" i="61"/>
  <c r="G203" i="61"/>
  <c r="B151" i="65"/>
  <c r="B5" i="65"/>
  <c r="E41" i="12"/>
  <c r="E31" i="71"/>
  <c r="F28" i="56"/>
  <c r="F117" i="46" s="1"/>
  <c r="E27" i="57"/>
  <c r="D28" i="57"/>
  <c r="E66" i="11"/>
  <c r="A23" i="26"/>
  <c r="A24" i="26" s="1"/>
  <c r="A25" i="26" s="1"/>
  <c r="G23" i="26"/>
  <c r="D31" i="71"/>
  <c r="G99" i="46"/>
  <c r="F112" i="71"/>
  <c r="G41" i="44"/>
  <c r="E25" i="7"/>
  <c r="E13" i="2"/>
  <c r="E14" i="2"/>
  <c r="A14" i="2"/>
  <c r="E148" i="46"/>
  <c r="D33" i="71"/>
  <c r="E33" i="71"/>
  <c r="D23" i="7"/>
  <c r="E42" i="57"/>
  <c r="E113" i="21"/>
  <c r="N93" i="21"/>
  <c r="F123" i="21"/>
  <c r="F147" i="21" s="1"/>
  <c r="H123" i="21"/>
  <c r="H144" i="21" s="1"/>
  <c r="J123" i="21"/>
  <c r="J150" i="21" s="1"/>
  <c r="M123" i="21"/>
  <c r="M155" i="21" s="1"/>
  <c r="K123" i="21"/>
  <c r="K149" i="21" s="1"/>
  <c r="I123" i="21"/>
  <c r="I155" i="21" s="1"/>
  <c r="G123" i="21"/>
  <c r="G152" i="21" s="1"/>
  <c r="N111" i="21"/>
  <c r="N122" i="21"/>
  <c r="N118" i="21"/>
  <c r="L123" i="21"/>
  <c r="L146" i="21" s="1"/>
  <c r="N120" i="21"/>
  <c r="N116" i="21"/>
  <c r="N112" i="21"/>
  <c r="H56" i="44"/>
  <c r="H57" i="44" s="1"/>
  <c r="G16" i="12"/>
  <c r="J58" i="8"/>
  <c r="J43" i="8"/>
  <c r="C193" i="46"/>
  <c r="H61" i="46" s="1"/>
  <c r="K61" i="46" s="1"/>
  <c r="K80" i="46"/>
  <c r="H81" i="46"/>
  <c r="G80" i="46"/>
  <c r="G81" i="46" s="1"/>
  <c r="H112" i="46"/>
  <c r="G112" i="46" s="1"/>
  <c r="I107" i="46"/>
  <c r="G107" i="46" s="1"/>
  <c r="I105" i="46"/>
  <c r="G105" i="46" s="1"/>
  <c r="I103" i="46"/>
  <c r="G103" i="46" s="1"/>
  <c r="I101" i="46"/>
  <c r="G101" i="46" s="1"/>
  <c r="H98" i="46"/>
  <c r="G98" i="46" s="1"/>
  <c r="H132" i="46"/>
  <c r="H110" i="46"/>
  <c r="G110" i="46" s="1"/>
  <c r="I108" i="46"/>
  <c r="G108" i="46" s="1"/>
  <c r="H100" i="46"/>
  <c r="G100" i="46" s="1"/>
  <c r="E111" i="7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A25" i="17"/>
  <c r="E167" i="46"/>
  <c r="D12" i="56"/>
  <c r="A56" i="8"/>
  <c r="A57" i="8" s="1"/>
  <c r="A58" i="8" s="1"/>
  <c r="A59" i="8" s="1"/>
  <c r="A82" i="46"/>
  <c r="A83" i="46" s="1"/>
  <c r="D193" i="46" s="1"/>
  <c r="E86" i="46"/>
  <c r="J24" i="8"/>
  <c r="F91" i="12" s="1"/>
  <c r="A21" i="32"/>
  <c r="A22" i="32" s="1"/>
  <c r="A28" i="32" s="1"/>
  <c r="A24" i="22"/>
  <c r="G27" i="22" s="1"/>
  <c r="A13" i="56"/>
  <c r="A14" i="56" s="1"/>
  <c r="A15" i="56" s="1"/>
  <c r="A16" i="56" s="1"/>
  <c r="A17" i="56" s="1"/>
  <c r="A13" i="8"/>
  <c r="A14" i="8" s="1"/>
  <c r="A15" i="8" s="1"/>
  <c r="A48" i="11"/>
  <c r="H40" i="12" s="1"/>
  <c r="A32" i="44"/>
  <c r="G55" i="44"/>
  <c r="A21" i="1"/>
  <c r="A68" i="65" l="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B133" i="65"/>
  <c r="A32" i="57"/>
  <c r="A33" i="57" s="1"/>
  <c r="D17" i="56"/>
  <c r="E170" i="46"/>
  <c r="E28" i="57"/>
  <c r="E33" i="57" s="1"/>
  <c r="E40" i="57" s="1"/>
  <c r="E43" i="57" s="1"/>
  <c r="E230" i="61"/>
  <c r="E232" i="61" s="1"/>
  <c r="E233" i="61" s="1"/>
  <c r="E236" i="61" s="1"/>
  <c r="K130" i="1" s="1"/>
  <c r="J55" i="8" s="1"/>
  <c r="F116" i="46"/>
  <c r="I116" i="46" s="1"/>
  <c r="F119" i="46"/>
  <c r="H119" i="46" s="1"/>
  <c r="F118" i="46"/>
  <c r="I118" i="46" s="1"/>
  <c r="M220" i="61"/>
  <c r="N220" i="61"/>
  <c r="J220" i="61"/>
  <c r="B9" i="65"/>
  <c r="F75" i="65"/>
  <c r="I117" i="46"/>
  <c r="H117" i="46"/>
  <c r="M147" i="21"/>
  <c r="I151" i="21"/>
  <c r="F150" i="21"/>
  <c r="F145" i="21"/>
  <c r="K154" i="21"/>
  <c r="F151" i="21"/>
  <c r="G146" i="21"/>
  <c r="J152" i="21"/>
  <c r="J154" i="21"/>
  <c r="G149" i="21"/>
  <c r="H154" i="21"/>
  <c r="B132" i="65"/>
  <c r="J209" i="46"/>
  <c r="F125" i="46" s="1"/>
  <c r="L29" i="28"/>
  <c r="K65" i="1" s="1"/>
  <c r="K83" i="1" s="1"/>
  <c r="E15" i="2"/>
  <c r="A15" i="2"/>
  <c r="G132" i="46"/>
  <c r="E103" i="21"/>
  <c r="E133" i="21" s="1"/>
  <c r="E136" i="21" s="1"/>
  <c r="M152" i="21"/>
  <c r="A60" i="8"/>
  <c r="H60" i="8"/>
  <c r="H15" i="8"/>
  <c r="H62" i="46"/>
  <c r="H83" i="46" s="1"/>
  <c r="L154" i="21"/>
  <c r="K155" i="21"/>
  <c r="K146" i="21"/>
  <c r="H146" i="21"/>
  <c r="A26" i="26"/>
  <c r="A27" i="26" s="1"/>
  <c r="G25" i="26"/>
  <c r="L150" i="21"/>
  <c r="I152" i="21"/>
  <c r="M151" i="21"/>
  <c r="J146" i="21"/>
  <c r="F152" i="21"/>
  <c r="H152" i="21"/>
  <c r="F154" i="21"/>
  <c r="K151" i="21"/>
  <c r="G153" i="21"/>
  <c r="F155" i="21"/>
  <c r="K150" i="21"/>
  <c r="G150" i="21"/>
  <c r="H150" i="21"/>
  <c r="F148" i="21"/>
  <c r="F149" i="21"/>
  <c r="L144" i="21"/>
  <c r="L13" i="21" s="1"/>
  <c r="F153" i="21"/>
  <c r="I147" i="21"/>
  <c r="K144" i="21"/>
  <c r="K13" i="21" s="1"/>
  <c r="M144" i="21"/>
  <c r="M13" i="21" s="1"/>
  <c r="F144" i="21"/>
  <c r="F13" i="21" s="1"/>
  <c r="L152" i="21"/>
  <c r="J144" i="21"/>
  <c r="M146" i="21"/>
  <c r="M154" i="21"/>
  <c r="K153" i="21"/>
  <c r="I150" i="21"/>
  <c r="G147" i="21"/>
  <c r="G155" i="21"/>
  <c r="H155" i="21"/>
  <c r="H145" i="21"/>
  <c r="H149" i="21"/>
  <c r="H153" i="21"/>
  <c r="H147" i="21"/>
  <c r="H151" i="21"/>
  <c r="M149" i="21"/>
  <c r="K148" i="21"/>
  <c r="I145" i="21"/>
  <c r="I153" i="21"/>
  <c r="G154" i="21"/>
  <c r="E117" i="21"/>
  <c r="N97" i="21"/>
  <c r="E121" i="21"/>
  <c r="N101" i="21"/>
  <c r="G145" i="21"/>
  <c r="K145" i="21"/>
  <c r="L145" i="21"/>
  <c r="L149" i="21"/>
  <c r="L153" i="21"/>
  <c r="L147" i="21"/>
  <c r="L151" i="21"/>
  <c r="L155" i="21"/>
  <c r="G144" i="21"/>
  <c r="I144" i="21"/>
  <c r="E115" i="21"/>
  <c r="N95" i="21"/>
  <c r="E119" i="21"/>
  <c r="N99" i="21"/>
  <c r="L148" i="21"/>
  <c r="J148" i="21"/>
  <c r="J147" i="21"/>
  <c r="J151" i="21"/>
  <c r="J155" i="21"/>
  <c r="J145" i="21"/>
  <c r="J149" i="21"/>
  <c r="J153" i="21"/>
  <c r="M150" i="21"/>
  <c r="K147" i="21"/>
  <c r="I146" i="21"/>
  <c r="I154" i="21"/>
  <c r="G151" i="21"/>
  <c r="H13" i="21"/>
  <c r="M145" i="21"/>
  <c r="M153" i="21"/>
  <c r="K152" i="21"/>
  <c r="I149" i="21"/>
  <c r="G148" i="21"/>
  <c r="N113" i="21"/>
  <c r="I148" i="21"/>
  <c r="M148" i="21"/>
  <c r="H148" i="21"/>
  <c r="F146" i="21"/>
  <c r="H59" i="44"/>
  <c r="H78" i="44" s="1"/>
  <c r="H65" i="44"/>
  <c r="H66" i="44" s="1"/>
  <c r="H79" i="44" s="1"/>
  <c r="J61" i="46"/>
  <c r="C147" i="46" s="1"/>
  <c r="C148" i="46" s="1"/>
  <c r="D147" i="46"/>
  <c r="D148" i="46" s="1"/>
  <c r="K62" i="46"/>
  <c r="G61" i="46"/>
  <c r="G62" i="46" s="1"/>
  <c r="G83" i="46" s="1"/>
  <c r="D166" i="46"/>
  <c r="J80" i="46"/>
  <c r="J81" i="46" s="1"/>
  <c r="K81" i="46"/>
  <c r="D194" i="46"/>
  <c r="A25" i="71"/>
  <c r="A26" i="71" s="1"/>
  <c r="A28" i="26"/>
  <c r="A33" i="44"/>
  <c r="B48" i="44" s="1"/>
  <c r="G64" i="44"/>
  <c r="A18" i="8"/>
  <c r="G22" i="32"/>
  <c r="A84" i="46"/>
  <c r="A85" i="46" s="1"/>
  <c r="A86" i="46" s="1"/>
  <c r="A87" i="46" s="1"/>
  <c r="A37" i="7"/>
  <c r="A38" i="7" s="1"/>
  <c r="A39" i="7" s="1"/>
  <c r="A40" i="7" s="1"/>
  <c r="A41" i="7" s="1"/>
  <c r="A42" i="7" s="1"/>
  <c r="A43" i="7" s="1"/>
  <c r="A44" i="7" s="1"/>
  <c r="A45" i="7" s="1"/>
  <c r="A46" i="7" s="1"/>
  <c r="A54" i="12"/>
  <c r="B40" i="31"/>
  <c r="B35" i="31"/>
  <c r="A10" i="31"/>
  <c r="A22" i="1"/>
  <c r="A23" i="1" s="1"/>
  <c r="A24" i="1" s="1"/>
  <c r="I34" i="1" s="1"/>
  <c r="A49" i="11"/>
  <c r="H41" i="12" s="1"/>
  <c r="A18" i="56"/>
  <c r="A19" i="56" s="1"/>
  <c r="A20" i="56" s="1"/>
  <c r="A26" i="22"/>
  <c r="I15" i="1" s="1"/>
  <c r="G26" i="22"/>
  <c r="A29" i="32"/>
  <c r="A30" i="32" s="1"/>
  <c r="A34" i="32" s="1"/>
  <c r="A62" i="8"/>
  <c r="A64" i="8" s="1"/>
  <c r="A26" i="17"/>
  <c r="A27" i="17" s="1"/>
  <c r="A28" i="17" s="1"/>
  <c r="A29" i="17" s="1"/>
  <c r="C29" i="57" l="1"/>
  <c r="C31" i="57" s="1"/>
  <c r="C33" i="57" s="1"/>
  <c r="C40" i="57" s="1"/>
  <c r="C43" i="57" s="1"/>
  <c r="C45" i="57" s="1"/>
  <c r="B9" i="31" s="1"/>
  <c r="A34" i="57"/>
  <c r="A35" i="57" s="1"/>
  <c r="A36" i="57" s="1"/>
  <c r="A37" i="57" s="1"/>
  <c r="A38" i="57" s="1"/>
  <c r="A39" i="57" s="1"/>
  <c r="A40" i="57" s="1"/>
  <c r="A41" i="57" s="1"/>
  <c r="A42" i="57" s="1"/>
  <c r="A43" i="57" s="1"/>
  <c r="A44" i="57" s="1"/>
  <c r="A45" i="57" s="1"/>
  <c r="G40" i="57"/>
  <c r="G33" i="57"/>
  <c r="G73" i="44"/>
  <c r="I86" i="64"/>
  <c r="D29" i="57"/>
  <c r="D31" i="57" s="1"/>
  <c r="D33" i="57" s="1"/>
  <c r="D40" i="57" s="1"/>
  <c r="D43" i="57" s="1"/>
  <c r="D45" i="57" s="1"/>
  <c r="B10" i="31" s="1"/>
  <c r="H116" i="46"/>
  <c r="G116" i="46" s="1"/>
  <c r="H118" i="46"/>
  <c r="G118" i="46" s="1"/>
  <c r="I119" i="46"/>
  <c r="G119" i="46" s="1"/>
  <c r="I148" i="1"/>
  <c r="G117" i="46"/>
  <c r="N133" i="21"/>
  <c r="H156" i="21"/>
  <c r="M14" i="21"/>
  <c r="M15" i="21" s="1"/>
  <c r="M16" i="21" s="1"/>
  <c r="M17" i="21" s="1"/>
  <c r="M18" i="21" s="1"/>
  <c r="M19" i="21" s="1"/>
  <c r="M20" i="21" s="1"/>
  <c r="M21" i="21" s="1"/>
  <c r="M22" i="21" s="1"/>
  <c r="M23" i="21" s="1"/>
  <c r="K63" i="1"/>
  <c r="K75" i="1" s="1"/>
  <c r="F156" i="21"/>
  <c r="L14" i="21"/>
  <c r="L15" i="21" s="1"/>
  <c r="L16" i="21" s="1"/>
  <c r="L17" i="21" s="1"/>
  <c r="F135" i="46"/>
  <c r="H135" i="46" s="1"/>
  <c r="A47" i="7"/>
  <c r="A48" i="7" s="1"/>
  <c r="G26" i="26"/>
  <c r="G50" i="22"/>
  <c r="F28" i="54"/>
  <c r="G59" i="21"/>
  <c r="G62" i="4"/>
  <c r="G54" i="22"/>
  <c r="G24" i="22"/>
  <c r="G52" i="21"/>
  <c r="G57" i="4"/>
  <c r="I55" i="1"/>
  <c r="A16" i="2"/>
  <c r="A17" i="2" s="1"/>
  <c r="A18" i="2" s="1"/>
  <c r="A19" i="2" s="1"/>
  <c r="A20" i="2" s="1"/>
  <c r="A21" i="2" s="1"/>
  <c r="A22" i="2" s="1"/>
  <c r="K83" i="46"/>
  <c r="G30" i="32"/>
  <c r="G45" i="57"/>
  <c r="G43" i="57"/>
  <c r="G27" i="26"/>
  <c r="A55" i="12"/>
  <c r="A56" i="12" s="1"/>
  <c r="A57" i="12" s="1"/>
  <c r="A58" i="12" s="1"/>
  <c r="A59" i="12" s="1"/>
  <c r="H62" i="8" s="1"/>
  <c r="K156" i="21"/>
  <c r="N119" i="21"/>
  <c r="N115" i="21"/>
  <c r="E123" i="21"/>
  <c r="E147" i="21" s="1"/>
  <c r="G156" i="21"/>
  <c r="G13" i="21"/>
  <c r="G14" i="21" s="1"/>
  <c r="G15" i="21" s="1"/>
  <c r="G16" i="21" s="1"/>
  <c r="G17" i="21" s="1"/>
  <c r="G18" i="21" s="1"/>
  <c r="G19" i="21" s="1"/>
  <c r="G20" i="21" s="1"/>
  <c r="G21" i="21" s="1"/>
  <c r="G22" i="21" s="1"/>
  <c r="G23" i="21" s="1"/>
  <c r="K14" i="21"/>
  <c r="K15" i="21" s="1"/>
  <c r="K16" i="21" s="1"/>
  <c r="K17" i="21" s="1"/>
  <c r="K18" i="21" s="1"/>
  <c r="K19" i="21" s="1"/>
  <c r="K20" i="21" s="1"/>
  <c r="K21" i="21" s="1"/>
  <c r="K22" i="21" s="1"/>
  <c r="K23" i="21" s="1"/>
  <c r="N136" i="21"/>
  <c r="N103" i="21"/>
  <c r="M156" i="21"/>
  <c r="I13" i="21"/>
  <c r="I156" i="21"/>
  <c r="F14" i="21"/>
  <c r="F15" i="21" s="1"/>
  <c r="F16" i="21" s="1"/>
  <c r="F17" i="21" s="1"/>
  <c r="F18" i="21" s="1"/>
  <c r="F19" i="21" s="1"/>
  <c r="F20" i="21" s="1"/>
  <c r="F21" i="21" s="1"/>
  <c r="F22" i="21" s="1"/>
  <c r="F23" i="21" s="1"/>
  <c r="N121" i="21"/>
  <c r="N117" i="21"/>
  <c r="H14" i="21"/>
  <c r="H15" i="21" s="1"/>
  <c r="H16" i="21" s="1"/>
  <c r="H17" i="21" s="1"/>
  <c r="H18" i="21" s="1"/>
  <c r="H19" i="21" s="1"/>
  <c r="H20" i="21" s="1"/>
  <c r="H21" i="21" s="1"/>
  <c r="H22" i="21" s="1"/>
  <c r="H23" i="21" s="1"/>
  <c r="J13" i="21"/>
  <c r="J14" i="21" s="1"/>
  <c r="J15" i="21" s="1"/>
  <c r="J16" i="21" s="1"/>
  <c r="J17" i="21" s="1"/>
  <c r="J18" i="21" s="1"/>
  <c r="J19" i="21" s="1"/>
  <c r="J20" i="21" s="1"/>
  <c r="J21" i="21" s="1"/>
  <c r="J22" i="21" s="1"/>
  <c r="J23" i="21" s="1"/>
  <c r="J25" i="21" s="1"/>
  <c r="J156" i="21"/>
  <c r="L156" i="21"/>
  <c r="B185" i="71"/>
  <c r="B188" i="71"/>
  <c r="J62" i="46"/>
  <c r="J83" i="46" s="1"/>
  <c r="F26" i="71"/>
  <c r="D167" i="46"/>
  <c r="D170" i="46" s="1"/>
  <c r="H166" i="46"/>
  <c r="G166" i="46" s="1"/>
  <c r="C166" i="46"/>
  <c r="C167" i="46" s="1"/>
  <c r="C170" i="46" s="1"/>
  <c r="A49" i="7"/>
  <c r="A50" i="7" s="1"/>
  <c r="A51" i="7" s="1"/>
  <c r="A52" i="7" s="1"/>
  <c r="A53" i="7" s="1"/>
  <c r="A54" i="7" s="1"/>
  <c r="A55" i="7" s="1"/>
  <c r="F64" i="71"/>
  <c r="A31" i="71"/>
  <c r="A32" i="71" s="1"/>
  <c r="A27" i="22"/>
  <c r="H12" i="8" s="1"/>
  <c r="A26" i="1"/>
  <c r="A30" i="17"/>
  <c r="A68" i="8"/>
  <c r="G68" i="8"/>
  <c r="H64" i="8"/>
  <c r="A35" i="32"/>
  <c r="A36" i="32" s="1"/>
  <c r="A40" i="32" s="1"/>
  <c r="A21" i="56"/>
  <c r="A22" i="56" s="1"/>
  <c r="A23" i="56" s="1"/>
  <c r="A24" i="56" s="1"/>
  <c r="A25" i="56" s="1"/>
  <c r="A26" i="56" s="1"/>
  <c r="A50" i="11"/>
  <c r="A51" i="11" s="1"/>
  <c r="A52" i="11" s="1"/>
  <c r="A61" i="11" s="1"/>
  <c r="I24" i="1"/>
  <c r="B41" i="31"/>
  <c r="B36" i="31"/>
  <c r="A18" i="31"/>
  <c r="E40" i="7"/>
  <c r="A97" i="46"/>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9" i="8"/>
  <c r="A20" i="8" s="1"/>
  <c r="A21" i="8" s="1"/>
  <c r="A34" i="44"/>
  <c r="G80" i="44"/>
  <c r="A29" i="26"/>
  <c r="G29" i="26"/>
  <c r="A33" i="71" l="1"/>
  <c r="A34" i="71" s="1"/>
  <c r="F65" i="71" s="1"/>
  <c r="C36" i="71"/>
  <c r="A46" i="57"/>
  <c r="A47" i="57" s="1"/>
  <c r="G9" i="31"/>
  <c r="G10" i="31"/>
  <c r="A28" i="1"/>
  <c r="A30" i="1" s="1"/>
  <c r="A32" i="1" s="1"/>
  <c r="A34" i="1" s="1"/>
  <c r="I115" i="1" s="1"/>
  <c r="I35" i="1"/>
  <c r="J204" i="46"/>
  <c r="H54" i="12"/>
  <c r="F68" i="12"/>
  <c r="I135" i="46"/>
  <c r="G135" i="46" s="1"/>
  <c r="E154" i="21"/>
  <c r="N154" i="21" s="1"/>
  <c r="E153" i="21"/>
  <c r="N153" i="21" s="1"/>
  <c r="E48" i="7"/>
  <c r="E23" i="2"/>
  <c r="A23" i="2"/>
  <c r="J207" i="46"/>
  <c r="F127" i="46" s="1"/>
  <c r="E155" i="21"/>
  <c r="N155" i="21" s="1"/>
  <c r="L18" i="21"/>
  <c r="L19" i="21" s="1"/>
  <c r="L20" i="21" s="1"/>
  <c r="L21" i="21" s="1"/>
  <c r="L22" i="21" s="1"/>
  <c r="L23" i="21" s="1"/>
  <c r="L25" i="21" s="1"/>
  <c r="E149" i="21"/>
  <c r="N149" i="21" s="1"/>
  <c r="E151" i="21"/>
  <c r="N151" i="21" s="1"/>
  <c r="E144" i="21"/>
  <c r="E13" i="21" s="1"/>
  <c r="B109" i="12"/>
  <c r="A68" i="12"/>
  <c r="E146" i="21"/>
  <c r="E145" i="21"/>
  <c r="N145" i="21" s="1"/>
  <c r="E150" i="21"/>
  <c r="N150" i="21" s="1"/>
  <c r="K80" i="1"/>
  <c r="K79" i="1"/>
  <c r="K89" i="1" s="1"/>
  <c r="E96" i="8" s="1"/>
  <c r="K78" i="1"/>
  <c r="K88" i="1" s="1"/>
  <c r="E95" i="8" s="1"/>
  <c r="N123" i="21"/>
  <c r="F25" i="21"/>
  <c r="N147" i="21"/>
  <c r="G25" i="21"/>
  <c r="K25" i="21"/>
  <c r="E148" i="21"/>
  <c r="E152" i="21"/>
  <c r="H25" i="21"/>
  <c r="I14" i="21"/>
  <c r="I15" i="21" s="1"/>
  <c r="I16" i="21" s="1"/>
  <c r="I17" i="21" s="1"/>
  <c r="I18" i="21" s="1"/>
  <c r="I19" i="21" s="1"/>
  <c r="I20" i="21" s="1"/>
  <c r="I21" i="21" s="1"/>
  <c r="I22" i="21" s="1"/>
  <c r="I23" i="21" s="1"/>
  <c r="M25" i="21"/>
  <c r="A19" i="31"/>
  <c r="A20" i="31" s="1"/>
  <c r="A22" i="31" s="1"/>
  <c r="A56" i="7"/>
  <c r="A57" i="7" s="1"/>
  <c r="A58" i="7" s="1"/>
  <c r="A59" i="7" s="1"/>
  <c r="A60" i="7" s="1"/>
  <c r="A61" i="7" s="1"/>
  <c r="E55" i="7" s="1"/>
  <c r="B189" i="71"/>
  <c r="B186" i="71"/>
  <c r="A35" i="71"/>
  <c r="A36" i="71" s="1"/>
  <c r="A23" i="8"/>
  <c r="H29" i="8"/>
  <c r="A30" i="26"/>
  <c r="I125" i="1" s="1"/>
  <c r="G30" i="26"/>
  <c r="H21" i="8"/>
  <c r="D26" i="56"/>
  <c r="G36" i="32"/>
  <c r="A69" i="8"/>
  <c r="A31" i="17"/>
  <c r="A39" i="1"/>
  <c r="A34" i="22"/>
  <c r="A41" i="44"/>
  <c r="A42" i="44" s="1"/>
  <c r="A157" i="46"/>
  <c r="A158" i="46" s="1"/>
  <c r="A159" i="46" s="1"/>
  <c r="A160" i="46" s="1"/>
  <c r="A161" i="46" s="1"/>
  <c r="A162" i="46" s="1"/>
  <c r="A163" i="46" s="1"/>
  <c r="A164" i="46" s="1"/>
  <c r="A165" i="46" s="1"/>
  <c r="A166" i="46" s="1"/>
  <c r="A167" i="46" s="1"/>
  <c r="A168" i="46" s="1"/>
  <c r="A169" i="46" s="1"/>
  <c r="A170" i="46" s="1"/>
  <c r="I124" i="1" s="1"/>
  <c r="A24" i="31"/>
  <c r="A27" i="31" s="1"/>
  <c r="A62" i="11"/>
  <c r="A27" i="56"/>
  <c r="A28" i="56" s="1"/>
  <c r="D28" i="56"/>
  <c r="A41" i="32"/>
  <c r="A42" i="32" s="1"/>
  <c r="G40" i="32" l="1"/>
  <c r="G14" i="32"/>
  <c r="G34" i="32"/>
  <c r="G28" i="32"/>
  <c r="G20" i="32"/>
  <c r="J118" i="46"/>
  <c r="J117" i="46"/>
  <c r="J116" i="46"/>
  <c r="J119" i="46"/>
  <c r="E20" i="2"/>
  <c r="A37" i="71"/>
  <c r="F34" i="71"/>
  <c r="H55" i="12"/>
  <c r="F69" i="12"/>
  <c r="F93" i="12"/>
  <c r="E97" i="8"/>
  <c r="E103" i="8" s="1"/>
  <c r="J42" i="8" s="1"/>
  <c r="E14" i="21"/>
  <c r="N14" i="21" s="1"/>
  <c r="N144" i="21"/>
  <c r="A35" i="22"/>
  <c r="A36" i="22" s="1"/>
  <c r="A37" i="22" s="1"/>
  <c r="A38" i="22" s="1"/>
  <c r="A39" i="22" s="1"/>
  <c r="A40" i="22" s="1"/>
  <c r="A41" i="22" s="1"/>
  <c r="A42" i="22" s="1"/>
  <c r="A43" i="22" s="1"/>
  <c r="A44" i="22" s="1"/>
  <c r="A45" i="22" s="1"/>
  <c r="A46" i="22" s="1"/>
  <c r="G49" i="22" s="1"/>
  <c r="A24" i="2"/>
  <c r="E7" i="2"/>
  <c r="K90" i="1"/>
  <c r="K91" i="1" s="1"/>
  <c r="H127" i="46"/>
  <c r="I127" i="46"/>
  <c r="I125" i="46"/>
  <c r="H125" i="46"/>
  <c r="A70" i="8"/>
  <c r="G42" i="32"/>
  <c r="A34" i="56"/>
  <c r="A35" i="56" s="1"/>
  <c r="A36" i="56" s="1"/>
  <c r="A37" i="56" s="1"/>
  <c r="A38" i="56" s="1"/>
  <c r="B150" i="65"/>
  <c r="E63" i="7"/>
  <c r="A69" i="12"/>
  <c r="A70" i="12" s="1"/>
  <c r="A71" i="12" s="1"/>
  <c r="A81" i="12" s="1"/>
  <c r="A82" i="12" s="1"/>
  <c r="A83" i="12" s="1"/>
  <c r="A84" i="12" s="1"/>
  <c r="A85" i="12" s="1"/>
  <c r="A86" i="12" s="1"/>
  <c r="N152" i="21"/>
  <c r="N148" i="21"/>
  <c r="N146" i="21"/>
  <c r="E156" i="21"/>
  <c r="N13" i="21"/>
  <c r="I25" i="21"/>
  <c r="B38" i="31"/>
  <c r="H27" i="31"/>
  <c r="D21" i="7"/>
  <c r="G15" i="12"/>
  <c r="G17" i="12" s="1"/>
  <c r="K81" i="1"/>
  <c r="A62" i="7"/>
  <c r="A63" i="7" s="1"/>
  <c r="E59" i="7"/>
  <c r="A38" i="71"/>
  <c r="A41" i="71" s="1"/>
  <c r="A46" i="71" s="1"/>
  <c r="A47" i="71" s="1"/>
  <c r="A48" i="71" s="1"/>
  <c r="A171" i="46"/>
  <c r="B97" i="44"/>
  <c r="A43" i="44"/>
  <c r="A37" i="26"/>
  <c r="G77" i="26" s="1"/>
  <c r="A63" i="11"/>
  <c r="B171" i="46"/>
  <c r="B98" i="44"/>
  <c r="A40" i="1"/>
  <c r="A41" i="1" s="1"/>
  <c r="A32" i="17"/>
  <c r="G70" i="8"/>
  <c r="A24" i="8"/>
  <c r="G91" i="12" s="1"/>
  <c r="H56" i="12" l="1"/>
  <c r="F70" i="12"/>
  <c r="E15" i="21"/>
  <c r="N15" i="21" s="1"/>
  <c r="E98" i="8"/>
  <c r="J33" i="8" s="1"/>
  <c r="E64" i="7"/>
  <c r="E69" i="7"/>
  <c r="E25" i="2"/>
  <c r="A25" i="2"/>
  <c r="G127" i="46"/>
  <c r="G125" i="46"/>
  <c r="A71" i="8"/>
  <c r="A72" i="8" s="1"/>
  <c r="A73" i="8" s="1"/>
  <c r="H14" i="65" s="1"/>
  <c r="A25" i="8"/>
  <c r="H30" i="8" s="1"/>
  <c r="G53" i="22"/>
  <c r="A64" i="7"/>
  <c r="A65" i="7" s="1"/>
  <c r="B154" i="65"/>
  <c r="B110" i="12"/>
  <c r="A90" i="12"/>
  <c r="N156" i="21"/>
  <c r="E83" i="12"/>
  <c r="F83" i="12" s="1"/>
  <c r="E82" i="12"/>
  <c r="F82" i="12" s="1"/>
  <c r="E81" i="12"/>
  <c r="F81" i="12" s="1"/>
  <c r="K93" i="1"/>
  <c r="D32" i="71" s="1"/>
  <c r="D34" i="71" s="1"/>
  <c r="D25" i="71"/>
  <c r="D26" i="71" s="1"/>
  <c r="E25" i="71"/>
  <c r="E26" i="71" s="1"/>
  <c r="I41" i="1"/>
  <c r="D51" i="7"/>
  <c r="G39" i="12"/>
  <c r="G40" i="12"/>
  <c r="G41" i="12"/>
  <c r="D41" i="71"/>
  <c r="G55" i="12"/>
  <c r="G56" i="12"/>
  <c r="G54" i="12"/>
  <c r="A53" i="71"/>
  <c r="A54" i="71" s="1"/>
  <c r="A55" i="71" s="1"/>
  <c r="F66" i="71"/>
  <c r="A33" i="17"/>
  <c r="A34" i="17" s="1"/>
  <c r="A35" i="17" s="1"/>
  <c r="A36" i="17" s="1"/>
  <c r="A37" i="17" s="1"/>
  <c r="A38" i="17" s="1"/>
  <c r="A39" i="17" s="1"/>
  <c r="A40" i="17" s="1"/>
  <c r="A41" i="17" s="1"/>
  <c r="A42" i="17" s="1"/>
  <c r="A43" i="17" s="1"/>
  <c r="A44" i="17" s="1"/>
  <c r="A45" i="17" s="1"/>
  <c r="A46" i="17" s="1"/>
  <c r="A47" i="17" s="1"/>
  <c r="A48" i="17" s="1"/>
  <c r="A49" i="17" s="1"/>
  <c r="A50" i="17" s="1"/>
  <c r="A51" i="17" s="1"/>
  <c r="G44" i="44"/>
  <c r="A44" i="44"/>
  <c r="A43" i="1"/>
  <c r="A44" i="1" s="1"/>
  <c r="A49" i="22"/>
  <c r="A64" i="11"/>
  <c r="A65" i="11" s="1"/>
  <c r="A66" i="11" s="1"/>
  <c r="A73" i="11" s="1"/>
  <c r="A74" i="11" s="1"/>
  <c r="A75" i="11" s="1"/>
  <c r="A76" i="11" s="1"/>
  <c r="A77" i="11" s="1"/>
  <c r="A78" i="11" s="1"/>
  <c r="A79" i="11" s="1"/>
  <c r="A80" i="11" s="1"/>
  <c r="A81" i="11" s="1"/>
  <c r="A82" i="11" s="1"/>
  <c r="A83" i="11" s="1"/>
  <c r="A84" i="11" s="1"/>
  <c r="A85" i="11" s="1"/>
  <c r="A38" i="26"/>
  <c r="A39" i="26" s="1"/>
  <c r="A40" i="26" s="1"/>
  <c r="A41" i="26" s="1"/>
  <c r="A42" i="26" s="1"/>
  <c r="A43" i="26" s="1"/>
  <c r="C78" i="26" s="1"/>
  <c r="A39" i="56"/>
  <c r="A40" i="56" s="1"/>
  <c r="E16" i="21" l="1"/>
  <c r="N16" i="21" s="1"/>
  <c r="A26" i="2"/>
  <c r="A27" i="2" s="1"/>
  <c r="A28" i="2" s="1"/>
  <c r="G73" i="8"/>
  <c r="G72" i="8"/>
  <c r="E65" i="7"/>
  <c r="D40" i="56"/>
  <c r="A66" i="7"/>
  <c r="A67" i="7" s="1"/>
  <c r="A68" i="7" s="1"/>
  <c r="A69" i="7" s="1"/>
  <c r="A70" i="7" s="1"/>
  <c r="A50" i="22"/>
  <c r="A51" i="22" s="1"/>
  <c r="H13" i="8" s="1"/>
  <c r="F86" i="12"/>
  <c r="A91" i="12"/>
  <c r="A92" i="12" s="1"/>
  <c r="H47" i="11"/>
  <c r="H48" i="11"/>
  <c r="H49" i="11"/>
  <c r="A52" i="17"/>
  <c r="A53" i="17" s="1"/>
  <c r="A54" i="17" s="1"/>
  <c r="A55" i="17" s="1"/>
  <c r="E14" i="17"/>
  <c r="D22" i="7"/>
  <c r="D25" i="7" s="1"/>
  <c r="E112" i="71" s="1"/>
  <c r="E113" i="71" s="1"/>
  <c r="E32" i="71"/>
  <c r="E34" i="71" s="1"/>
  <c r="E95"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2" i="8" s="1"/>
  <c r="G44" i="12"/>
  <c r="K135" i="1" s="1"/>
  <c r="D81" i="71"/>
  <c r="D82" i="71"/>
  <c r="D83" i="71"/>
  <c r="D80" i="71"/>
  <c r="D64" i="71"/>
  <c r="D85" i="71"/>
  <c r="D77" i="71"/>
  <c r="D78" i="71"/>
  <c r="D79" i="71"/>
  <c r="D84" i="71"/>
  <c r="A56" i="71"/>
  <c r="A57" i="71" s="1"/>
  <c r="F67" i="71"/>
  <c r="A41" i="56"/>
  <c r="A42" i="56" s="1"/>
  <c r="E21" i="2" s="1"/>
  <c r="D42" i="56"/>
  <c r="A86" i="11"/>
  <c r="G86" i="44"/>
  <c r="A55" i="44"/>
  <c r="A44" i="26"/>
  <c r="A53" i="22"/>
  <c r="A45" i="1"/>
  <c r="E46" i="17"/>
  <c r="I134" i="15" l="1"/>
  <c r="I92" i="15"/>
  <c r="I72" i="15"/>
  <c r="A64" i="71"/>
  <c r="F48" i="71"/>
  <c r="F55" i="71"/>
  <c r="E17" i="21"/>
  <c r="E18" i="21" s="1"/>
  <c r="E101" i="71"/>
  <c r="G101" i="71" s="1"/>
  <c r="H101" i="71" s="1"/>
  <c r="E97" i="71"/>
  <c r="G97" i="71" s="1"/>
  <c r="H97" i="71" s="1"/>
  <c r="E99" i="71"/>
  <c r="G99" i="71" s="1"/>
  <c r="H99" i="71" s="1"/>
  <c r="E94" i="71"/>
  <c r="E96" i="71"/>
  <c r="G96" i="71" s="1"/>
  <c r="H96" i="71" s="1"/>
  <c r="E100" i="71"/>
  <c r="G100" i="71" s="1"/>
  <c r="H100" i="71" s="1"/>
  <c r="E102" i="71"/>
  <c r="G102" i="71" s="1"/>
  <c r="H102" i="71" s="1"/>
  <c r="E65" i="71"/>
  <c r="E98" i="71"/>
  <c r="G98" i="71" s="1"/>
  <c r="H98" i="71" s="1"/>
  <c r="E28" i="2"/>
  <c r="A29" i="2"/>
  <c r="A30" i="2" s="1"/>
  <c r="A31" i="2" s="1"/>
  <c r="A32" i="2" s="1"/>
  <c r="A33" i="2" s="1"/>
  <c r="I40" i="1"/>
  <c r="G28" i="26"/>
  <c r="A56" i="17"/>
  <c r="A57" i="17" s="1"/>
  <c r="A58" i="17" s="1"/>
  <c r="D47" i="7"/>
  <c r="D48" i="7" s="1"/>
  <c r="D83" i="7"/>
  <c r="D84" i="7" s="1"/>
  <c r="G92" i="12"/>
  <c r="A71" i="7"/>
  <c r="E71" i="7"/>
  <c r="H41" i="44"/>
  <c r="H44" i="44" s="1"/>
  <c r="H86" i="44" s="1"/>
  <c r="A45" i="26"/>
  <c r="A46" i="26" s="1"/>
  <c r="A47" i="26" s="1"/>
  <c r="A48" i="26" s="1"/>
  <c r="A49" i="26" s="1"/>
  <c r="A50" i="26" s="1"/>
  <c r="C72" i="26"/>
  <c r="A54" i="22"/>
  <c r="A55" i="22" s="1"/>
  <c r="I16" i="1" s="1"/>
  <c r="G51" i="22"/>
  <c r="A93" i="12"/>
  <c r="A94" i="12" s="1"/>
  <c r="G98" i="12" s="1"/>
  <c r="A95" i="11"/>
  <c r="H62" i="11"/>
  <c r="H61" i="11"/>
  <c r="H63" i="11"/>
  <c r="A96" i="11"/>
  <c r="A97" i="11" s="1"/>
  <c r="A98" i="11" s="1"/>
  <c r="A99" i="11" s="1"/>
  <c r="A100" i="11" s="1"/>
  <c r="A101" i="11" s="1"/>
  <c r="A102" i="11" s="1"/>
  <c r="A103" i="11" s="1"/>
  <c r="A104" i="11" s="1"/>
  <c r="A105" i="11" s="1"/>
  <c r="A106" i="11" s="1"/>
  <c r="A107" i="11" s="1"/>
  <c r="A108" i="11" s="1"/>
  <c r="A118"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A65" i="71"/>
  <c r="D105" i="71"/>
  <c r="E88" i="71"/>
  <c r="F78" i="71"/>
  <c r="D170" i="71" s="1"/>
  <c r="D67" i="71"/>
  <c r="F95" i="71"/>
  <c r="E67" i="71"/>
  <c r="D88" i="71"/>
  <c r="F94" i="71"/>
  <c r="E66" i="71"/>
  <c r="F77" i="71"/>
  <c r="G77" i="71" s="1"/>
  <c r="D66" i="71"/>
  <c r="D127" i="71"/>
  <c r="D124" i="71"/>
  <c r="D123" i="71"/>
  <c r="D126" i="71"/>
  <c r="D128" i="71"/>
  <c r="D121" i="71"/>
  <c r="D125" i="71"/>
  <c r="D122" i="71"/>
  <c r="E47" i="17"/>
  <c r="A56" i="44"/>
  <c r="A57" i="44" s="1"/>
  <c r="G59" i="44" s="1"/>
  <c r="A46" i="1"/>
  <c r="A47" i="1" s="1"/>
  <c r="A48" i="1" s="1"/>
  <c r="C57" i="17" l="1"/>
  <c r="A72" i="7"/>
  <c r="A73" i="7" s="1"/>
  <c r="A74" i="7" s="1"/>
  <c r="A75" i="7" s="1"/>
  <c r="A76" i="7" s="1"/>
  <c r="A77" i="7" s="1"/>
  <c r="A78" i="7" s="1"/>
  <c r="A79" i="7" s="1"/>
  <c r="A80" i="7" s="1"/>
  <c r="A81" i="7" s="1"/>
  <c r="A82" i="7" s="1"/>
  <c r="A83" i="7" s="1"/>
  <c r="A84" i="7" s="1"/>
  <c r="A85" i="7" s="1"/>
  <c r="A86" i="7" s="1"/>
  <c r="E88" i="7" s="1"/>
  <c r="E73" i="7"/>
  <c r="N17" i="21"/>
  <c r="A119" i="11"/>
  <c r="A120" i="11" s="1"/>
  <c r="A121" i="11" s="1"/>
  <c r="A122" i="11" s="1"/>
  <c r="A123" i="11" s="1"/>
  <c r="A124" i="11" s="1"/>
  <c r="A125" i="11" s="1"/>
  <c r="A126" i="11" s="1"/>
  <c r="A127" i="11" s="1"/>
  <c r="A128" i="11" s="1"/>
  <c r="A129" i="11" s="1"/>
  <c r="A130" i="11" s="1"/>
  <c r="F70" i="11" s="1"/>
  <c r="B174" i="4"/>
  <c r="D63" i="7"/>
  <c r="D64" i="7" s="1"/>
  <c r="E105" i="71"/>
  <c r="G94" i="71"/>
  <c r="H94" i="71" s="1"/>
  <c r="A87" i="7"/>
  <c r="A88" i="7" s="1"/>
  <c r="A89" i="7" s="1"/>
  <c r="A34" i="2"/>
  <c r="A35" i="2" s="1"/>
  <c r="A36" i="2" s="1"/>
  <c r="C58" i="17"/>
  <c r="I53" i="1"/>
  <c r="G55" i="22"/>
  <c r="A98" i="12"/>
  <c r="G94" i="12"/>
  <c r="E137" i="71"/>
  <c r="N18" i="21"/>
  <c r="E19" i="2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G95" i="71"/>
  <c r="H77" i="71"/>
  <c r="G78" i="71"/>
  <c r="G88" i="71" s="1"/>
  <c r="E68" i="71"/>
  <c r="E69" i="71" s="1"/>
  <c r="D68" i="71"/>
  <c r="D69" i="71" s="1"/>
  <c r="F88" i="71"/>
  <c r="F105" i="71"/>
  <c r="E151" i="71"/>
  <c r="D131" i="71"/>
  <c r="I44" i="1"/>
  <c r="A58" i="44"/>
  <c r="A59" i="44" s="1"/>
  <c r="G65" i="44"/>
  <c r="A49" i="1"/>
  <c r="A50" i="1" s="1"/>
  <c r="A51" i="1" s="1"/>
  <c r="A52" i="1" s="1"/>
  <c r="C55" i="17" s="1"/>
  <c r="E48" i="17"/>
  <c r="E89" i="7" l="1"/>
  <c r="E79" i="7"/>
  <c r="B187" i="71"/>
  <c r="A138" i="11"/>
  <c r="A139" i="11" s="1"/>
  <c r="A140" i="11" s="1"/>
  <c r="A141" i="11" s="1"/>
  <c r="A142" i="11" s="1"/>
  <c r="A143" i="11" s="1"/>
  <c r="A144" i="11" s="1"/>
  <c r="A145" i="11" s="1"/>
  <c r="A146" i="11" s="1"/>
  <c r="A147" i="11" s="1"/>
  <c r="A148" i="11" s="1"/>
  <c r="A149" i="11" s="1"/>
  <c r="A150" i="11" s="1"/>
  <c r="A158" i="11" s="1"/>
  <c r="D69" i="7"/>
  <c r="G105" i="71"/>
  <c r="D65" i="7"/>
  <c r="A90" i="7"/>
  <c r="A91" i="7" s="1"/>
  <c r="I147" i="1" s="1"/>
  <c r="G89" i="44"/>
  <c r="E35" i="2"/>
  <c r="E36" i="2"/>
  <c r="A37" i="2"/>
  <c r="A38" i="2" s="1"/>
  <c r="A39" i="2" s="1"/>
  <c r="J100" i="46"/>
  <c r="J101" i="46"/>
  <c r="J99" i="46"/>
  <c r="A99" i="12"/>
  <c r="A100" i="12" s="1"/>
  <c r="A101" i="12" s="1"/>
  <c r="A53" i="1"/>
  <c r="A54" i="1" s="1"/>
  <c r="I52" i="1"/>
  <c r="E139" i="71"/>
  <c r="E143" i="71" s="1"/>
  <c r="N19" i="21"/>
  <c r="E20" i="2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49" i="17"/>
  <c r="E84" i="7"/>
  <c r="G78" i="44"/>
  <c r="A64" i="44"/>
  <c r="H70" i="11" l="1"/>
  <c r="B190" i="71"/>
  <c r="A159" i="11"/>
  <c r="A160" i="11" s="1"/>
  <c r="A161" i="11" s="1"/>
  <c r="A162" i="11" s="1"/>
  <c r="A163" i="11" s="1"/>
  <c r="A164" i="11" s="1"/>
  <c r="A165" i="11" s="1"/>
  <c r="A166" i="11" s="1"/>
  <c r="A167" i="11" s="1"/>
  <c r="A168" i="11" s="1"/>
  <c r="A169" i="11" s="1"/>
  <c r="A170" i="11" s="1"/>
  <c r="A177" i="11" s="1"/>
  <c r="A178" i="11" s="1"/>
  <c r="A179" i="11" s="1"/>
  <c r="A180" i="11" s="1"/>
  <c r="A181" i="11" s="1"/>
  <c r="A182" i="11" s="1"/>
  <c r="A183" i="11" s="1"/>
  <c r="A184" i="11" s="1"/>
  <c r="A185" i="11" s="1"/>
  <c r="A186" i="11" s="1"/>
  <c r="A187" i="11" s="1"/>
  <c r="A188" i="11" s="1"/>
  <c r="A189" i="11" s="1"/>
  <c r="A196" i="11" s="1"/>
  <c r="A197" i="11" s="1"/>
  <c r="A198" i="11" s="1"/>
  <c r="A199" i="11" s="1"/>
  <c r="A200" i="11" s="1"/>
  <c r="A201" i="11" s="1"/>
  <c r="A202" i="11" s="1"/>
  <c r="A203" i="11" s="1"/>
  <c r="A204" i="11" s="1"/>
  <c r="A205" i="11" s="1"/>
  <c r="A206" i="11" s="1"/>
  <c r="A207" i="11" s="1"/>
  <c r="A208" i="11" s="1"/>
  <c r="A215" i="11" s="1"/>
  <c r="A216" i="11" s="1"/>
  <c r="A217" i="11" s="1"/>
  <c r="A218" i="11" s="1"/>
  <c r="A219" i="11" s="1"/>
  <c r="A220" i="11" s="1"/>
  <c r="A221" i="11" s="1"/>
  <c r="A222" i="11" s="1"/>
  <c r="A223" i="11" s="1"/>
  <c r="A224" i="11" s="1"/>
  <c r="A225" i="11" s="1"/>
  <c r="A226" i="11" s="1"/>
  <c r="A227" i="11" s="1"/>
  <c r="A234" i="11" s="1"/>
  <c r="A235" i="11" s="1"/>
  <c r="A236" i="11" s="1"/>
  <c r="A237" i="11" s="1"/>
  <c r="A238" i="11" s="1"/>
  <c r="A239" i="11" s="1"/>
  <c r="A240" i="11" s="1"/>
  <c r="A241" i="11" s="1"/>
  <c r="A242" i="11" s="1"/>
  <c r="A243" i="11" s="1"/>
  <c r="A244" i="11" s="1"/>
  <c r="A245" i="11" s="1"/>
  <c r="A246" i="11" s="1"/>
  <c r="A253" i="11" s="1"/>
  <c r="A254" i="11" s="1"/>
  <c r="A255" i="11" s="1"/>
  <c r="A256" i="11" s="1"/>
  <c r="A257" i="11" s="1"/>
  <c r="A258" i="11" s="1"/>
  <c r="A259" i="11" s="1"/>
  <c r="A260" i="11" s="1"/>
  <c r="A261" i="11" s="1"/>
  <c r="A262" i="11" s="1"/>
  <c r="A263" i="11" s="1"/>
  <c r="A264" i="11" s="1"/>
  <c r="A265" i="11" s="1"/>
  <c r="A272" i="11" s="1"/>
  <c r="A273" i="11" s="1"/>
  <c r="A274" i="11" s="1"/>
  <c r="A275" i="11" s="1"/>
  <c r="A276" i="11" s="1"/>
  <c r="A277" i="11" s="1"/>
  <c r="A278" i="11" s="1"/>
  <c r="A279" i="11" s="1"/>
  <c r="A280" i="11" s="1"/>
  <c r="A281" i="11" s="1"/>
  <c r="A282" i="11" s="1"/>
  <c r="A283" i="11" s="1"/>
  <c r="A284" i="11" s="1"/>
  <c r="A291" i="11" s="1"/>
  <c r="A292" i="11" s="1"/>
  <c r="A293" i="11" s="1"/>
  <c r="A294" i="11" s="1"/>
  <c r="A295" i="11" s="1"/>
  <c r="A296" i="11" s="1"/>
  <c r="A297" i="11" s="1"/>
  <c r="A298" i="11" s="1"/>
  <c r="A299" i="11" s="1"/>
  <c r="A300" i="11" s="1"/>
  <c r="A301" i="11" s="1"/>
  <c r="A302" i="11" s="1"/>
  <c r="A303" i="11" s="1"/>
  <c r="A328" i="11" s="1"/>
  <c r="A329" i="11" s="1"/>
  <c r="G169" i="71"/>
  <c r="G180" i="71" s="1"/>
  <c r="A40" i="2"/>
  <c r="A41" i="2" s="1"/>
  <c r="A42" i="2" s="1"/>
  <c r="I54" i="1"/>
  <c r="G101" i="12"/>
  <c r="A55" i="1"/>
  <c r="A56" i="1" s="1"/>
  <c r="A58" i="1" s="1"/>
  <c r="E142" i="71"/>
  <c r="E144" i="71" s="1"/>
  <c r="N20" i="21"/>
  <c r="E21" i="21"/>
  <c r="F137" i="71"/>
  <c r="A68" i="71"/>
  <c r="B184" i="71" s="1"/>
  <c r="G151" i="71"/>
  <c r="F162" i="71"/>
  <c r="D162" i="71"/>
  <c r="A65" i="44"/>
  <c r="A66" i="44" s="1"/>
  <c r="A67" i="44" s="1"/>
  <c r="A68" i="44" s="1"/>
  <c r="A69" i="44" s="1"/>
  <c r="A70" i="44" s="1"/>
  <c r="G70" i="11" l="1"/>
  <c r="A71" i="44"/>
  <c r="A72" i="44" s="1"/>
  <c r="G25" i="12"/>
  <c r="A330" i="11"/>
  <c r="A333" i="11" s="1"/>
  <c r="A334" i="11" s="1"/>
  <c r="G66" i="44"/>
  <c r="I58" i="1"/>
  <c r="E41" i="2"/>
  <c r="E42" i="2"/>
  <c r="A43" i="2"/>
  <c r="A44" i="2" s="1"/>
  <c r="A45" i="2" s="1"/>
  <c r="J105" i="46"/>
  <c r="I56" i="1"/>
  <c r="E145" i="71"/>
  <c r="D19" i="31" s="1"/>
  <c r="N21" i="21"/>
  <c r="E22" i="21"/>
  <c r="A69" i="71"/>
  <c r="A77" i="71" s="1"/>
  <c r="F69" i="71"/>
  <c r="G162" i="71"/>
  <c r="E51" i="17"/>
  <c r="G79" i="44"/>
  <c r="I129" i="1"/>
  <c r="A63" i="1"/>
  <c r="G72" i="44" l="1"/>
  <c r="A73" i="44"/>
  <c r="A74" i="44" s="1"/>
  <c r="G74" i="44"/>
  <c r="G26" i="12"/>
  <c r="A335" i="11"/>
  <c r="A338" i="11" s="1"/>
  <c r="A339" i="11" s="1"/>
  <c r="A46" i="2"/>
  <c r="A47" i="2" s="1"/>
  <c r="A48" i="2" s="1"/>
  <c r="E19" i="31"/>
  <c r="N22" i="21"/>
  <c r="E23" i="21"/>
  <c r="A78" i="71"/>
  <c r="A79" i="71" s="1"/>
  <c r="A80" i="71" s="1"/>
  <c r="A81" i="71" s="1"/>
  <c r="A82" i="71" s="1"/>
  <c r="A83" i="71" s="1"/>
  <c r="A84" i="71" s="1"/>
  <c r="A85" i="71" s="1"/>
  <c r="A86" i="71" s="1"/>
  <c r="A87" i="71" s="1"/>
  <c r="I88" i="71" s="1"/>
  <c r="A64" i="1"/>
  <c r="G81" i="44" l="1"/>
  <c r="A77" i="44"/>
  <c r="A78" i="44" s="1"/>
  <c r="A79" i="44" s="1"/>
  <c r="A80" i="44" s="1"/>
  <c r="A81" i="44" s="1"/>
  <c r="A82" i="44" s="1"/>
  <c r="G27" i="12"/>
  <c r="A340" i="11"/>
  <c r="A341" i="11" s="1"/>
  <c r="A344" i="11" s="1"/>
  <c r="A345" i="11" s="1"/>
  <c r="A346" i="11" s="1"/>
  <c r="A347" i="11" s="1"/>
  <c r="A348" i="11" s="1"/>
  <c r="A351" i="11" s="1"/>
  <c r="A352" i="11" s="1"/>
  <c r="A353" i="11" s="1"/>
  <c r="A356" i="11" s="1"/>
  <c r="A357" i="11" s="1"/>
  <c r="A358" i="11" s="1"/>
  <c r="A361" i="11" s="1"/>
  <c r="A362" i="11" s="1"/>
  <c r="A363" i="11" s="1"/>
  <c r="A366" i="11" s="1"/>
  <c r="A367" i="11" s="1"/>
  <c r="A368" i="11" s="1"/>
  <c r="A371" i="11" s="1"/>
  <c r="A372" i="11" s="1"/>
  <c r="A373" i="11" s="1"/>
  <c r="A376" i="11" s="1"/>
  <c r="A377" i="11" s="1"/>
  <c r="A378" i="11" s="1"/>
  <c r="A381" i="11" s="1"/>
  <c r="A382" i="11" s="1"/>
  <c r="A383" i="11" s="1"/>
  <c r="A392" i="11" s="1"/>
  <c r="A393" i="11" s="1"/>
  <c r="E47" i="2"/>
  <c r="E48" i="2"/>
  <c r="A49" i="2"/>
  <c r="A50" i="2" s="1"/>
  <c r="A51" i="2" s="1"/>
  <c r="J106" i="46"/>
  <c r="N23" i="21"/>
  <c r="E25" i="21"/>
  <c r="A88" i="71"/>
  <c r="A94" i="71" s="1"/>
  <c r="B192" i="71"/>
  <c r="A65" i="1"/>
  <c r="G87" i="44" l="1"/>
  <c r="A86" i="44"/>
  <c r="A87" i="44" s="1"/>
  <c r="A88" i="44" s="1"/>
  <c r="A89" i="44" s="1"/>
  <c r="A90" i="44" s="1"/>
  <c r="A91" i="44" s="1"/>
  <c r="A92" i="44" s="1"/>
  <c r="I156" i="1" s="1"/>
  <c r="N25" i="21"/>
  <c r="J18" i="8" s="1"/>
  <c r="A52" i="2"/>
  <c r="A53" i="2" s="1"/>
  <c r="A54" i="2" s="1"/>
  <c r="B100" i="44"/>
  <c r="A95" i="71"/>
  <c r="A96" i="71" s="1"/>
  <c r="A97" i="71" s="1"/>
  <c r="A98" i="71" s="1"/>
  <c r="A99" i="71" s="1"/>
  <c r="A100" i="71" s="1"/>
  <c r="A101" i="71" s="1"/>
  <c r="A102" i="71" s="1"/>
  <c r="A103" i="71" s="1"/>
  <c r="A104" i="71" s="1"/>
  <c r="A105" i="71" s="1"/>
  <c r="A111" i="71" s="1"/>
  <c r="A68" i="1"/>
  <c r="I83" i="1"/>
  <c r="G92" i="44" l="1"/>
  <c r="G90" i="44"/>
  <c r="E54" i="2"/>
  <c r="E53" i="2"/>
  <c r="A55" i="2"/>
  <c r="A56" i="2" s="1"/>
  <c r="A57" i="2" s="1"/>
  <c r="J139" i="46"/>
  <c r="J108" i="46"/>
  <c r="J140" i="46"/>
  <c r="J138" i="46"/>
  <c r="I105" i="71"/>
  <c r="A112" i="71"/>
  <c r="A113" i="71" s="1"/>
  <c r="F114" i="71" s="1"/>
  <c r="A69" i="1"/>
  <c r="A70" i="1" s="1"/>
  <c r="A58" i="2" l="1"/>
  <c r="A59" i="2" s="1"/>
  <c r="A60" i="2" s="1"/>
  <c r="F113" i="71"/>
  <c r="A114" i="71"/>
  <c r="A115" i="71" s="1"/>
  <c r="A120" i="71" s="1"/>
  <c r="F138" i="71"/>
  <c r="A73" i="1"/>
  <c r="I75" i="1" s="1"/>
  <c r="I84" i="1"/>
  <c r="E59" i="2" l="1"/>
  <c r="E60" i="2"/>
  <c r="A61" i="2"/>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J143" i="46"/>
  <c r="J109" i="46"/>
  <c r="F115" i="7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F84" i="8"/>
  <c r="I90" i="1"/>
  <c r="E65" i="2"/>
  <c r="E66" i="2"/>
  <c r="A88" i="1"/>
  <c r="A89" i="1"/>
  <c r="F96" i="8" s="1"/>
  <c r="E21" i="7" l="1"/>
  <c r="F95" i="8"/>
  <c r="J121" i="46"/>
  <c r="A90" i="1"/>
  <c r="I93" i="1" s="1"/>
  <c r="E71" i="2" l="1"/>
  <c r="I91" i="1"/>
  <c r="A91" i="1"/>
  <c r="F25" i="71" l="1"/>
  <c r="E72" i="2"/>
  <c r="J122" i="46"/>
  <c r="A93" i="1"/>
  <c r="I95" i="1"/>
  <c r="F32" i="71" l="1"/>
  <c r="E22" i="7"/>
  <c r="I116" i="1"/>
  <c r="E77" i="2"/>
  <c r="A95" i="1"/>
  <c r="E78" i="2" l="1"/>
  <c r="J132" i="46"/>
  <c r="A100" i="1"/>
  <c r="I131" i="1"/>
  <c r="A101" i="1" l="1"/>
  <c r="A102" i="1" s="1"/>
  <c r="F33" i="71" l="1"/>
  <c r="I16" i="12"/>
  <c r="H43" i="8"/>
  <c r="E23" i="7"/>
  <c r="G56" i="44"/>
  <c r="I117" i="1"/>
  <c r="E84" i="2"/>
  <c r="E83" i="2"/>
  <c r="J133" i="46"/>
  <c r="I102" i="1"/>
  <c r="A105" i="1"/>
  <c r="E89" i="2" l="1"/>
  <c r="A106" i="1"/>
  <c r="A107" i="1" s="1"/>
  <c r="A108" i="1" s="1"/>
  <c r="I108" i="1" l="1"/>
  <c r="H44" i="8"/>
  <c r="I118" i="1"/>
  <c r="E90" i="2"/>
  <c r="J134" i="46"/>
  <c r="A110" i="1"/>
  <c r="A112" i="1" s="1"/>
  <c r="H45" i="8" s="1"/>
  <c r="I132" i="1" l="1"/>
  <c r="A124" i="1"/>
  <c r="I110" i="1"/>
  <c r="A125" i="1" l="1"/>
  <c r="H49" i="8" s="1"/>
  <c r="I17" i="1"/>
  <c r="E72" i="7"/>
  <c r="H48" i="8"/>
  <c r="E96" i="2"/>
  <c r="E95" i="2"/>
  <c r="J136" i="46"/>
  <c r="A126" i="1"/>
  <c r="H51" i="8" s="1"/>
  <c r="E101" i="2" l="1"/>
  <c r="A127" i="1"/>
  <c r="H52" i="8" s="1"/>
  <c r="E102" i="2" l="1"/>
  <c r="J141" i="46"/>
  <c r="A128" i="1"/>
  <c r="H53" i="8" s="1"/>
  <c r="A129" i="1" l="1"/>
  <c r="H54" i="8" s="1"/>
  <c r="E108" i="2" l="1"/>
  <c r="E107" i="2"/>
  <c r="J145" i="46"/>
  <c r="A130" i="1"/>
  <c r="H55" i="8" s="1"/>
  <c r="A131" i="1" l="1"/>
  <c r="A132" i="1" s="1"/>
  <c r="A133" i="1" s="1"/>
  <c r="H58" i="8" s="1"/>
  <c r="E113" i="2" l="1"/>
  <c r="E114" i="2"/>
  <c r="J161" i="46"/>
  <c r="A134" i="1"/>
  <c r="A135" i="1" l="1"/>
  <c r="I136" i="1" s="1"/>
  <c r="H59" i="8"/>
  <c r="A136" i="1"/>
  <c r="A138" i="1" s="1"/>
  <c r="A139" i="1" s="1"/>
  <c r="G88" i="44" s="1"/>
  <c r="I138" i="1" l="1"/>
  <c r="E70" i="7"/>
  <c r="I139" i="1"/>
  <c r="E120" i="2"/>
  <c r="E119" i="2"/>
  <c r="J162" i="46"/>
  <c r="A141" i="1"/>
  <c r="I146" i="1" s="1"/>
  <c r="I141" i="1"/>
  <c r="A146" i="1" l="1"/>
  <c r="A147" i="1" s="1"/>
  <c r="A148" i="1" s="1"/>
  <c r="A149" i="1" s="1"/>
  <c r="A150" i="1" s="1"/>
  <c r="A152" i="1" s="1"/>
  <c r="J163" i="46"/>
  <c r="E125" i="2" l="1"/>
  <c r="E126" i="2"/>
  <c r="A155" i="1"/>
  <c r="I155" i="1"/>
  <c r="I152" i="1"/>
  <c r="A156" i="1" l="1"/>
  <c r="A157" i="1" s="1"/>
  <c r="G4" i="31" s="1"/>
  <c r="I157" i="1" l="1"/>
  <c r="K53" i="1" l="1"/>
  <c r="K54" i="1" s="1"/>
  <c r="F58" i="17"/>
  <c r="F115" i="46"/>
  <c r="I115" i="46" s="1"/>
  <c r="F129" i="46"/>
  <c r="I129" i="46" s="1"/>
  <c r="F130" i="46"/>
  <c r="I130" i="46" s="1"/>
  <c r="F128" i="46"/>
  <c r="I128" i="46" s="1"/>
  <c r="F114" i="46"/>
  <c r="I114" i="46" s="1"/>
  <c r="F97" i="46"/>
  <c r="I97" i="46" s="1"/>
  <c r="H97" i="46" l="1"/>
  <c r="G97" i="46" s="1"/>
  <c r="H114" i="46"/>
  <c r="G114" i="46" s="1"/>
  <c r="H129" i="46"/>
  <c r="G129" i="46" s="1"/>
  <c r="I148" i="46"/>
  <c r="H128" i="46"/>
  <c r="G128" i="46" s="1"/>
  <c r="H130" i="46"/>
  <c r="G130" i="46" s="1"/>
  <c r="H115" i="46"/>
  <c r="G115" i="46" s="1"/>
  <c r="C198" i="46" l="1"/>
  <c r="H147" i="46" l="1"/>
  <c r="G147" i="46" s="1"/>
  <c r="G148" i="46" s="1"/>
  <c r="H148" i="46" l="1"/>
  <c r="F160" i="46"/>
  <c r="I160" i="46" s="1"/>
  <c r="F159" i="46"/>
  <c r="I159" i="46" s="1"/>
  <c r="F158" i="46"/>
  <c r="I158" i="46" s="1"/>
  <c r="F164" i="46"/>
  <c r="I164" i="46" s="1"/>
  <c r="F157" i="46"/>
  <c r="I157" i="46" s="1"/>
  <c r="I167" i="46" l="1"/>
  <c r="I170" i="46" s="1"/>
  <c r="H160" i="46"/>
  <c r="G160" i="46" s="1"/>
  <c r="H157" i="46"/>
  <c r="G157" i="46" s="1"/>
  <c r="H164" i="46"/>
  <c r="G164" i="46" s="1"/>
  <c r="H158" i="46"/>
  <c r="G158" i="46" s="1"/>
  <c r="H159" i="46"/>
  <c r="G159" i="46" s="1"/>
  <c r="G167" i="46" l="1"/>
  <c r="H167" i="46"/>
  <c r="H170" i="46" s="1"/>
  <c r="G170" i="46" s="1"/>
  <c r="K124" i="1" l="1"/>
  <c r="G7" i="2"/>
  <c r="G15" i="2" s="1"/>
  <c r="H86" i="64" l="1"/>
  <c r="H87" i="64" s="1"/>
  <c r="F94" i="64" s="1"/>
  <c r="F95" i="64" s="1"/>
  <c r="K127" i="1" s="1"/>
  <c r="J52" i="8" s="1"/>
  <c r="G37" i="80"/>
  <c r="G38" i="80" s="1"/>
  <c r="J50" i="8" s="1"/>
  <c r="H73" i="44"/>
  <c r="G31" i="79"/>
  <c r="G32" i="79" s="1"/>
  <c r="I26" i="79"/>
  <c r="G38" i="79"/>
  <c r="G39" i="79" s="1"/>
  <c r="I38" i="79"/>
  <c r="I31" i="79"/>
  <c r="G26" i="79"/>
  <c r="G27" i="79" s="1"/>
  <c r="H134" i="15"/>
  <c r="H135" i="15" s="1"/>
  <c r="H72" i="15"/>
  <c r="H73" i="15" s="1"/>
  <c r="H92" i="15"/>
  <c r="H93" i="15" s="1"/>
  <c r="G25" i="2"/>
  <c r="F50" i="22"/>
  <c r="F51" i="22" s="1"/>
  <c r="J13" i="8" s="1"/>
  <c r="F62" i="4"/>
  <c r="F63" i="4" s="1"/>
  <c r="K10" i="1" s="1"/>
  <c r="D28" i="54"/>
  <c r="D29" i="54" s="1"/>
  <c r="D38" i="54" s="1"/>
  <c r="F26" i="26"/>
  <c r="F27" i="26" s="1"/>
  <c r="F54" i="22"/>
  <c r="F55" i="22" s="1"/>
  <c r="K16" i="1" s="1"/>
  <c r="F59" i="21"/>
  <c r="F60" i="21" s="1"/>
  <c r="K23" i="1" s="1"/>
  <c r="K24" i="1" s="1"/>
  <c r="K55" i="1"/>
  <c r="K56" i="1" s="1"/>
  <c r="F24" i="22"/>
  <c r="F52" i="21"/>
  <c r="F53" i="21" s="1"/>
  <c r="J20" i="8" s="1"/>
  <c r="J21" i="8" s="1"/>
  <c r="E28" i="54"/>
  <c r="E29" i="54" s="1"/>
  <c r="E38" i="54" s="1"/>
  <c r="K11" i="1" s="1"/>
  <c r="F57" i="4"/>
  <c r="F58" i="4" s="1"/>
  <c r="J7" i="8" s="1"/>
  <c r="G23" i="2"/>
  <c r="J48" i="8"/>
  <c r="I39" i="79" l="1"/>
  <c r="I19" i="79" s="1"/>
  <c r="I32" i="79"/>
  <c r="I18" i="79" s="1"/>
  <c r="I27" i="79"/>
  <c r="K27" i="79" s="1"/>
  <c r="G19" i="79"/>
  <c r="G17" i="79"/>
  <c r="K32" i="79"/>
  <c r="G18" i="79"/>
  <c r="H74" i="44"/>
  <c r="H81" i="44" s="1"/>
  <c r="H82" i="44" s="1"/>
  <c r="H87" i="44" s="1"/>
  <c r="H91" i="44" s="1"/>
  <c r="G28" i="2"/>
  <c r="F27" i="22"/>
  <c r="J12" i="8" s="1"/>
  <c r="F26" i="22"/>
  <c r="K15" i="1" s="1"/>
  <c r="D41" i="54"/>
  <c r="J8" i="8" s="1"/>
  <c r="K39" i="79" l="1"/>
  <c r="K19" i="79"/>
  <c r="K18" i="79"/>
  <c r="I17" i="79"/>
  <c r="I20" i="79" s="1"/>
  <c r="K9" i="79" s="1"/>
  <c r="K31" i="1" s="1"/>
  <c r="G20" i="79"/>
  <c r="G92" i="15"/>
  <c r="G93" i="15" s="1"/>
  <c r="D93" i="15" s="1"/>
  <c r="D11" i="15" s="1"/>
  <c r="G134" i="15"/>
  <c r="G135" i="15" s="1"/>
  <c r="G72" i="15"/>
  <c r="G73" i="15" s="1"/>
  <c r="D73" i="15" s="1"/>
  <c r="D10" i="15" s="1"/>
  <c r="K40" i="1"/>
  <c r="K41" i="1" s="1"/>
  <c r="K58" i="1" s="1"/>
  <c r="K129" i="1" s="1"/>
  <c r="J54" i="8" s="1"/>
  <c r="F28" i="26"/>
  <c r="F29" i="26" s="1"/>
  <c r="F30" i="26" s="1"/>
  <c r="K125" i="1" s="1"/>
  <c r="K17" i="79" l="1"/>
  <c r="K20" i="79" s="1"/>
  <c r="K10" i="79" s="1"/>
  <c r="J26" i="8" s="1"/>
  <c r="D135" i="15"/>
  <c r="D12" i="15" s="1"/>
  <c r="D14" i="15" s="1"/>
  <c r="D72" i="7"/>
  <c r="K17" i="1"/>
  <c r="J14" i="8" s="1"/>
  <c r="J15" i="8" s="1"/>
  <c r="J49" i="8"/>
  <c r="D24" i="15" l="1"/>
  <c r="J23" i="8" s="1"/>
  <c r="J29" i="8" s="1"/>
  <c r="J41" i="8" s="1"/>
  <c r="K18" i="1"/>
  <c r="K26" i="1" l="1"/>
  <c r="K34" i="1" s="1"/>
  <c r="K110" i="1" s="1"/>
  <c r="K132" i="1" s="1"/>
  <c r="J38" i="8"/>
  <c r="J57" i="8" s="1"/>
  <c r="J34" i="8"/>
  <c r="J56" i="8" s="1"/>
  <c r="F90" i="12"/>
  <c r="F92" i="12" s="1"/>
  <c r="F94" i="12" s="1"/>
  <c r="F98" i="12" s="1"/>
  <c r="F101" i="12" s="1"/>
  <c r="K95" i="1" l="1"/>
  <c r="K131" i="1" s="1"/>
  <c r="K136" i="1" s="1"/>
  <c r="D70" i="7" s="1"/>
  <c r="D71" i="7" s="1"/>
  <c r="J60" i="8"/>
  <c r="J64" i="8" l="1"/>
  <c r="E68" i="8" s="1"/>
  <c r="K139" i="1"/>
  <c r="H88" i="44" s="1"/>
  <c r="K138" i="1"/>
  <c r="D73" i="7"/>
  <c r="E70" i="8" l="1"/>
  <c r="E72" i="8"/>
  <c r="K141" i="1"/>
  <c r="C6" i="9" s="1"/>
  <c r="D79" i="7"/>
  <c r="E73" i="8" l="1"/>
  <c r="E14" i="65" s="1"/>
  <c r="E30" i="65" s="1"/>
  <c r="H30" i="65" s="1"/>
  <c r="K146" i="1"/>
  <c r="D80" i="7"/>
  <c r="E26" i="65" l="1"/>
  <c r="H26" i="65" s="1"/>
  <c r="E25" i="65"/>
  <c r="H25" i="65" s="1"/>
  <c r="E35" i="65"/>
  <c r="H35" i="65" s="1"/>
  <c r="E24" i="65"/>
  <c r="H24" i="65" s="1"/>
  <c r="J24" i="65" s="1"/>
  <c r="K24" i="65" s="1"/>
  <c r="L24" i="65" s="1"/>
  <c r="E33" i="65"/>
  <c r="H33" i="65" s="1"/>
  <c r="E27" i="65"/>
  <c r="H27" i="65" s="1"/>
  <c r="E32" i="65"/>
  <c r="H32" i="65" s="1"/>
  <c r="E31" i="65"/>
  <c r="H31" i="65" s="1"/>
  <c r="E34" i="65"/>
  <c r="H34" i="65" s="1"/>
  <c r="E28" i="65"/>
  <c r="H28" i="65" s="1"/>
  <c r="E29" i="65"/>
  <c r="H29" i="65" s="1"/>
  <c r="D86" i="7"/>
  <c r="J25" i="65" l="1"/>
  <c r="K25" i="65" s="1"/>
  <c r="L25" i="65" s="1"/>
  <c r="J26" i="65" s="1"/>
  <c r="K26" i="65" s="1"/>
  <c r="L26" i="65" s="1"/>
  <c r="D88" i="7"/>
  <c r="D89" i="7"/>
  <c r="J27" i="65" l="1"/>
  <c r="K27" i="65" s="1"/>
  <c r="L27" i="65" s="1"/>
  <c r="J28" i="65" s="1"/>
  <c r="D91" i="7"/>
  <c r="K147" i="1" s="1"/>
  <c r="K152" i="1" s="1"/>
  <c r="D4" i="53" s="1"/>
  <c r="H89" i="44"/>
  <c r="H90" i="44" s="1"/>
  <c r="H92" i="44" s="1"/>
  <c r="K156" i="1" s="1"/>
  <c r="D20" i="53" l="1"/>
  <c r="D16" i="53"/>
  <c r="L16" i="53" s="1"/>
  <c r="D15" i="53"/>
  <c r="D24" i="53"/>
  <c r="L24" i="53" s="1"/>
  <c r="D13" i="53"/>
  <c r="D18" i="53"/>
  <c r="D26" i="53"/>
  <c r="D19" i="53"/>
  <c r="D17" i="53"/>
  <c r="L17" i="53" s="1"/>
  <c r="D21" i="53"/>
  <c r="D25" i="53"/>
  <c r="L25" i="53" s="1"/>
  <c r="D12" i="53"/>
  <c r="D23" i="53"/>
  <c r="D22" i="53"/>
  <c r="K28" i="65"/>
  <c r="L28" i="65" s="1"/>
  <c r="C7" i="9"/>
  <c r="C10" i="9" s="1"/>
  <c r="D46" i="53" l="1"/>
  <c r="D28" i="53"/>
  <c r="K12" i="53"/>
  <c r="L19" i="53"/>
  <c r="H37" i="53"/>
  <c r="J37" i="53" s="1"/>
  <c r="D59" i="53"/>
  <c r="K26" i="53"/>
  <c r="D48" i="53"/>
  <c r="K15" i="53"/>
  <c r="C37" i="53"/>
  <c r="E37" i="53" s="1"/>
  <c r="I55" i="53" s="1"/>
  <c r="E55" i="53" s="1"/>
  <c r="L22" i="53"/>
  <c r="C36" i="53"/>
  <c r="E36" i="53" s="1"/>
  <c r="I54" i="53" s="1"/>
  <c r="L21" i="53"/>
  <c r="H36" i="53"/>
  <c r="J36" i="53" s="1"/>
  <c r="L18" i="53"/>
  <c r="C38" i="53"/>
  <c r="E38" i="53" s="1"/>
  <c r="I56" i="53" s="1"/>
  <c r="E56" i="53" s="1"/>
  <c r="L23" i="53"/>
  <c r="K13" i="53"/>
  <c r="M14" i="53" s="1"/>
  <c r="H38" i="53"/>
  <c r="J38" i="53" s="1"/>
  <c r="L20" i="53"/>
  <c r="J29" i="65"/>
  <c r="K29" i="65" s="1"/>
  <c r="L29" i="65" s="1"/>
  <c r="J30" i="65" s="1"/>
  <c r="K155" i="1"/>
  <c r="K157" i="1" s="1"/>
  <c r="B4" i="31" s="1"/>
  <c r="D18" i="31" s="1"/>
  <c r="D51" i="53" l="1"/>
  <c r="H54" i="53"/>
  <c r="D54" i="53"/>
  <c r="C59" i="53"/>
  <c r="G59" i="53"/>
  <c r="D56" i="53"/>
  <c r="C56" i="53" s="1"/>
  <c r="D53" i="53"/>
  <c r="H56" i="53"/>
  <c r="I58" i="53"/>
  <c r="E58" i="53" s="1"/>
  <c r="D58" i="53" s="1"/>
  <c r="I57" i="53"/>
  <c r="I49" i="53"/>
  <c r="E49" i="53" s="1"/>
  <c r="D49" i="53" s="1"/>
  <c r="E54" i="53"/>
  <c r="I50" i="53"/>
  <c r="E50" i="53" s="1"/>
  <c r="D50" i="53" s="1"/>
  <c r="C48" i="53"/>
  <c r="G48" i="53"/>
  <c r="N14" i="53"/>
  <c r="L14" i="53" s="1"/>
  <c r="I47" i="53" s="1"/>
  <c r="E47" i="53" s="1"/>
  <c r="H55" i="53"/>
  <c r="D52" i="53"/>
  <c r="D55" i="53"/>
  <c r="C55" i="53" s="1"/>
  <c r="C46" i="53"/>
  <c r="G46" i="53"/>
  <c r="K30" i="65"/>
  <c r="L30" i="65" s="1"/>
  <c r="J31" i="65" s="1"/>
  <c r="F18" i="31"/>
  <c r="F20" i="31" s="1"/>
  <c r="D20" i="31"/>
  <c r="E18" i="31"/>
  <c r="E20" i="31" s="1"/>
  <c r="H52" i="53" l="1"/>
  <c r="C52" i="53"/>
  <c r="H49" i="53"/>
  <c r="C49" i="53"/>
  <c r="E57" i="53"/>
  <c r="D57" i="53" s="1"/>
  <c r="K57" i="53"/>
  <c r="H53" i="53"/>
  <c r="C53" i="53"/>
  <c r="C54" i="53"/>
  <c r="C50" i="53"/>
  <c r="H50" i="53"/>
  <c r="D47" i="53"/>
  <c r="H47" i="53"/>
  <c r="C58" i="53"/>
  <c r="H58" i="53"/>
  <c r="H51" i="53"/>
  <c r="C51" i="53"/>
  <c r="K31" i="65"/>
  <c r="L31" i="65" s="1"/>
  <c r="J32" i="65" s="1"/>
  <c r="D61" i="53" l="1"/>
  <c r="E61" i="53"/>
  <c r="C47" i="53"/>
  <c r="G47" i="53"/>
  <c r="C57" i="53"/>
  <c r="H57" i="53"/>
  <c r="J57" i="53" s="1"/>
  <c r="K32" i="65"/>
  <c r="L32" i="65" s="1"/>
  <c r="C61" i="53" l="1"/>
  <c r="B8" i="31"/>
  <c r="J33" i="65"/>
  <c r="K33" i="65" s="1"/>
  <c r="L33" i="65" s="1"/>
  <c r="J34" i="65" s="1"/>
  <c r="K34" i="65" l="1"/>
  <c r="L34" i="65" s="1"/>
  <c r="J35" i="65" l="1"/>
  <c r="K35" i="65" s="1"/>
  <c r="L35" i="65" s="1"/>
  <c r="J36" i="65" s="1"/>
  <c r="K36" i="65" l="1"/>
  <c r="L36" i="65" s="1"/>
  <c r="E24" i="31"/>
  <c r="E27" i="31" s="1"/>
  <c r="D24" i="31"/>
  <c r="D27" i="31" s="1"/>
  <c r="F24" i="31"/>
  <c r="F27" i="31" s="1"/>
  <c r="J37" i="65" l="1"/>
  <c r="K37" i="65" s="1"/>
  <c r="L37" i="65" s="1"/>
  <c r="J38" i="65" s="1"/>
  <c r="E20" i="32"/>
  <c r="E22" i="32" s="1"/>
  <c r="E40" i="32"/>
  <c r="E42" i="32" s="1"/>
  <c r="E14" i="32"/>
  <c r="E16" i="32" s="1"/>
  <c r="E34" i="32"/>
  <c r="E36" i="32" s="1"/>
  <c r="E28" i="32"/>
  <c r="E30" i="32" s="1"/>
  <c r="K38" i="65" l="1"/>
  <c r="L38" i="65" s="1"/>
  <c r="J39" i="65" s="1"/>
  <c r="K39" i="65" l="1"/>
  <c r="L39" i="65" s="1"/>
  <c r="J40" i="65" s="1"/>
  <c r="K40" i="65" l="1"/>
  <c r="L40" i="65" s="1"/>
  <c r="J41" i="65" l="1"/>
  <c r="K41" i="65" s="1"/>
  <c r="L41" i="65" s="1"/>
  <c r="J42" i="65" s="1"/>
  <c r="K42" i="65" l="1"/>
  <c r="L42" i="65" s="1"/>
  <c r="J43" i="65" l="1"/>
  <c r="K43" i="65" s="1"/>
  <c r="L43" i="65" s="1"/>
  <c r="J44" i="65" s="1"/>
  <c r="K44" i="65" l="1"/>
  <c r="L44" i="65" s="1"/>
  <c r="J45" i="65" l="1"/>
  <c r="K45" i="65" l="1"/>
  <c r="L45" i="65" s="1"/>
  <c r="J46" i="65" l="1"/>
  <c r="K46" i="65" l="1"/>
  <c r="L46" i="65" s="1"/>
  <c r="J47" i="65" l="1"/>
  <c r="K47" i="65" l="1"/>
  <c r="L47" i="65" s="1"/>
  <c r="F56" i="65" s="1"/>
  <c r="H56" i="65" l="1"/>
  <c r="I56" i="65" s="1"/>
  <c r="J56" i="65" l="1"/>
  <c r="F57" i="65" s="1"/>
  <c r="H57" i="65" s="1"/>
  <c r="I57" i="65" l="1"/>
  <c r="J57" i="65" l="1"/>
  <c r="F58" i="65" s="1"/>
  <c r="H58" i="65" s="1"/>
  <c r="I58" i="65" s="1"/>
  <c r="J58" i="65" s="1"/>
  <c r="F59" i="65" s="1"/>
  <c r="H59" i="65" s="1"/>
  <c r="I59" i="65" s="1"/>
  <c r="J59" i="65" s="1"/>
  <c r="F60" i="65" s="1"/>
  <c r="H60" i="65" s="1"/>
  <c r="I60" i="65" s="1"/>
  <c r="J60" i="65" s="1"/>
  <c r="F61" i="65" s="1"/>
  <c r="H61" i="65" s="1"/>
  <c r="I61" i="65" s="1"/>
  <c r="J61" i="65" s="1"/>
  <c r="F62" i="65" s="1"/>
  <c r="H62" i="65" s="1"/>
  <c r="I62" i="65" s="1"/>
  <c r="J62" i="65" s="1"/>
  <c r="F63" i="65" s="1"/>
  <c r="H63" i="65" s="1"/>
  <c r="I63" i="65" s="1"/>
  <c r="J63" i="65" s="1"/>
  <c r="F64" i="65" s="1"/>
  <c r="H64" i="65" s="1"/>
  <c r="I64" i="65" s="1"/>
  <c r="J64" i="65" s="1"/>
  <c r="F65" i="65" s="1"/>
  <c r="H65" i="65" l="1"/>
  <c r="I65" i="65" s="1"/>
  <c r="J65" i="65" s="1"/>
  <c r="F66" i="65" s="1"/>
  <c r="H66" i="65" s="1"/>
  <c r="I66" i="65" s="1"/>
  <c r="J66" i="65" s="1"/>
  <c r="F67" i="65" s="1"/>
  <c r="H67" i="65" s="1"/>
  <c r="I67" i="65" l="1"/>
  <c r="J67" i="65" s="1"/>
  <c r="G135" i="61"/>
  <c r="G141" i="61" s="1"/>
  <c r="G220" i="61" s="1"/>
  <c r="I141" i="61"/>
  <c r="I220" i="61" s="1"/>
  <c r="E7" i="66" l="1"/>
</calcChain>
</file>

<file path=xl/sharedStrings.xml><?xml version="1.0" encoding="utf-8"?>
<sst xmlns="http://schemas.openxmlformats.org/spreadsheetml/2006/main" count="6631" uniqueCount="3046">
  <si>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</si>
  <si>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</si>
  <si>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</si>
  <si>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</si>
  <si>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</si>
  <si>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</si>
  <si>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</si>
  <si>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</si>
  <si>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</si>
  <si>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</si>
  <si>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</si>
  <si>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</si>
  <si>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</si>
  <si>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</si>
  <si>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</si>
  <si>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</si>
  <si>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</si>
  <si>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</si>
  <si>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</si>
  <si>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</si>
  <si>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</si>
  <si>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</si>
  <si>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</si>
  <si>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</si>
  <si>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</si>
  <si>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</si>
  <si>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</si>
  <si>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</si>
  <si>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</si>
  <si>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</si>
  <si>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</si>
  <si>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</si>
  <si>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</si>
  <si>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</si>
  <si>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</si>
  <si>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Apportionment</t>
  </si>
  <si>
    <t>Factor</t>
  </si>
  <si>
    <t>California</t>
  </si>
  <si>
    <t>New Mexico</t>
  </si>
  <si>
    <t>Arizona</t>
  </si>
  <si>
    <t>D.C.</t>
  </si>
  <si>
    <t>State</t>
  </si>
  <si>
    <t>Statutory</t>
  </si>
  <si>
    <t>1) Federal Income Tax rate</t>
  </si>
  <si>
    <t>Federal</t>
  </si>
  <si>
    <t>2) Composite State Income Tax Rate</t>
  </si>
  <si>
    <t>Fed Ins Cont Amt -- Current</t>
  </si>
  <si>
    <t>FICA/OASDI Emp Incntv.</t>
  </si>
  <si>
    <t>FICA/HIT Emp Incntv.</t>
  </si>
  <si>
    <t>Long-Term Debt Cost Percentage</t>
  </si>
  <si>
    <t>Preferred Stock Amount -- Account 204</t>
  </si>
  <si>
    <t>Cost of Preferred Stock -- Account 437</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</si>
  <si>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</si>
  <si>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</si>
  <si>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</si>
  <si>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</si>
  <si>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</si>
  <si>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</si>
  <si>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</si>
  <si>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</si>
  <si>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</si>
  <si>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</si>
  <si>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</si>
  <si>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</si>
  <si>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</si>
  <si>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</si>
  <si>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</si>
  <si>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</si>
  <si>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</si>
  <si>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</si>
  <si>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</si>
  <si>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</si>
  <si>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</si>
  <si>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</si>
  <si>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</si>
  <si>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</si>
  <si>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</si>
  <si>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</si>
  <si>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</si>
  <si>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</si>
  <si>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</si>
  <si>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</si>
  <si>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</si>
  <si>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</si>
  <si>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</si>
  <si>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</si>
  <si>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</si>
  <si>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</si>
  <si>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</si>
  <si>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</si>
  <si>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</si>
  <si>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</si>
  <si>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</si>
  <si>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</si>
  <si>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</si>
  <si>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</si>
  <si>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</si>
  <si>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</si>
  <si>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 xml:space="preserve">Enter positive </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</si>
  <si>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</si>
  <si>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</si>
  <si>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</si>
  <si>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</si>
  <si>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</si>
  <si>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</si>
  <si>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</si>
  <si>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</si>
  <si>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</si>
  <si>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</si>
  <si>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</si>
  <si>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</si>
  <si>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</si>
  <si>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</si>
  <si>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</si>
  <si>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</si>
  <si>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</si>
  <si>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</si>
  <si>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</si>
  <si>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</si>
  <si>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</si>
  <si>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</si>
  <si>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</si>
  <si>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</si>
  <si>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</si>
  <si>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</si>
  <si>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</si>
  <si>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</si>
  <si>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</si>
  <si>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</si>
  <si>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</si>
  <si>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</si>
  <si>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</si>
  <si>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</si>
  <si>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</si>
  <si>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</si>
  <si>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</si>
  <si>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</si>
  <si>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</si>
  <si>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</si>
  <si>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</si>
  <si>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</si>
  <si>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</si>
  <si>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</si>
  <si>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</si>
  <si>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</si>
  <si>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</si>
  <si>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</si>
  <si>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</si>
  <si>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</si>
  <si>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</si>
  <si>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</si>
  <si>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</si>
  <si>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</si>
  <si>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2) Low Voltage Wheeling Access Charge</t>
  </si>
  <si>
    <t>3) High Voltage Utility-Specific Rate</t>
  </si>
  <si>
    <t>4) HV Existing Contracts Access Charge</t>
  </si>
  <si>
    <t>5) LV Existing Contracts Access Charge</t>
  </si>
  <si>
    <t>Calculation of Low Voltage Access Charge:</t>
  </si>
  <si>
    <t>per kWh</t>
  </si>
  <si>
    <t>Calculation of Low Voltage Wheeling Access Charge:</t>
  </si>
  <si>
    <t>Calculation of High Voltage Utility Specific Rate:</t>
  </si>
  <si>
    <t>(used by ISO in billing of ISO TAC)</t>
  </si>
  <si>
    <t>SCE HV TRR =</t>
  </si>
  <si>
    <t>Calculation of High Voltage Existing Contracts Access Charge:</t>
  </si>
  <si>
    <t>MW</t>
  </si>
  <si>
    <t>Calculation of Low Voltage Existing Contracts Access Charge:</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</si>
  <si>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</si>
  <si>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</si>
  <si>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</si>
  <si>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</si>
  <si>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</si>
  <si>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</si>
  <si>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</si>
  <si>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</si>
  <si>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</si>
  <si>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</si>
  <si>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Adjustment</t>
  </si>
  <si>
    <t>1) Calculation of Materials and Supplies</t>
  </si>
  <si>
    <t>FF1 111.57d</t>
  </si>
  <si>
    <t>FF1 111.57c</t>
  </si>
  <si>
    <t>Prepayments:</t>
  </si>
  <si>
    <t>Accumulated Depreciation Reserve</t>
  </si>
  <si>
    <t>Accumulated Deferred Income Taxes</t>
  </si>
  <si>
    <t>General Plant</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</si>
  <si>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</si>
  <si>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</si>
  <si>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</si>
  <si>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</si>
  <si>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</si>
  <si>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</si>
  <si>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</si>
  <si>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</si>
  <si>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</si>
  <si>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</si>
  <si>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</si>
  <si>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</si>
  <si>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</si>
  <si>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</si>
  <si>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</si>
  <si>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</si>
  <si>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</si>
  <si>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</si>
  <si>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</si>
  <si>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</si>
  <si>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</si>
  <si>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</si>
  <si>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</si>
  <si>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</si>
  <si>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</si>
  <si>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</si>
  <si>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</si>
  <si>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</si>
  <si>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</si>
  <si>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</si>
  <si>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</si>
  <si>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</si>
  <si>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</si>
  <si>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</si>
  <si>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</si>
  <si>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</si>
  <si>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</si>
  <si>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</si>
  <si>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</si>
  <si>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</si>
  <si>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</si>
  <si>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</si>
  <si>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</si>
  <si>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</si>
  <si>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</si>
  <si>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Amortization of Debt Discount and Expense -- Account 428</t>
  </si>
  <si>
    <t>Interest on Long-Term Debt -- Account 427</t>
  </si>
  <si>
    <t>Amortization of Loss on Reacquired Debt -- Account 428.1</t>
  </si>
  <si>
    <t>Enter negative</t>
  </si>
  <si>
    <t>Less Amort. of Gain on Reacquired Debt -- Account 429.1</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</si>
  <si>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</si>
  <si>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</si>
  <si>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</si>
  <si>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</si>
  <si>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</si>
  <si>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</si>
  <si>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</si>
  <si>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</si>
  <si>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</si>
  <si>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</si>
  <si>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</si>
  <si>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</si>
  <si>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</si>
  <si>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</si>
  <si>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</si>
  <si>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</si>
  <si>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</si>
  <si>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</si>
  <si>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</si>
  <si>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</si>
  <si>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</si>
  <si>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</si>
  <si>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</si>
  <si>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</si>
  <si>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</si>
  <si>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</si>
  <si>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</si>
  <si>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</si>
  <si>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</si>
  <si>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</si>
  <si>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</si>
  <si>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</si>
  <si>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</si>
  <si>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</si>
  <si>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</si>
  <si>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</si>
  <si>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</si>
  <si>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</si>
  <si>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</si>
  <si>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</si>
  <si>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</si>
  <si>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</si>
  <si>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</si>
  <si>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</si>
  <si>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</si>
  <si>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</si>
  <si>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</si>
  <si>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</si>
  <si>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</si>
  <si>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</si>
  <si>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</si>
  <si>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</si>
  <si>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</si>
  <si>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</si>
  <si>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</si>
  <si>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</si>
  <si>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</si>
  <si>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</si>
  <si>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</si>
  <si>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</si>
  <si>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</si>
  <si>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Cost of Long-Term Debt</t>
  </si>
  <si>
    <t>Calculation of Common Stock Equity Amount</t>
  </si>
  <si>
    <t>Less Amortization of Premium on Debt -- Account 429</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</si>
  <si>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</si>
  <si>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</si>
  <si>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</si>
  <si>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</si>
  <si>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</si>
  <si>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</si>
  <si>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</si>
  <si>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</si>
  <si>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</si>
  <si>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</si>
  <si>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</si>
  <si>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Income Tax Rate =</t>
  </si>
  <si>
    <t>Composite State</t>
  </si>
  <si>
    <t>See Note 3</t>
  </si>
  <si>
    <t>MWh</t>
  </si>
  <si>
    <t>FF1 354.28b</t>
  </si>
  <si>
    <t>FF1 354.27b</t>
  </si>
  <si>
    <t>Uncollectibles Expense</t>
  </si>
  <si>
    <t>Franchise Fees Expense</t>
  </si>
  <si>
    <t>Difference</t>
  </si>
  <si>
    <t>(1/(1-CTR))</t>
  </si>
  <si>
    <t>Composite Tax Rate ("CTR")</t>
  </si>
  <si>
    <t>for apportionment factors and state tax rates.</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</si>
  <si>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</si>
  <si>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</si>
  <si>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</si>
  <si>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</si>
  <si>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</si>
  <si>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</si>
  <si>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</si>
  <si>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</si>
  <si>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</si>
  <si>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</si>
  <si>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</si>
  <si>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</si>
  <si>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</si>
  <si>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</si>
  <si>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</si>
  <si>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</si>
  <si>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</si>
  <si>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</si>
  <si>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</si>
  <si>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</si>
  <si>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</si>
  <si>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</si>
  <si>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</si>
  <si>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</si>
  <si>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</si>
  <si>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</si>
  <si>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</si>
  <si>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</si>
  <si>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</si>
  <si>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</si>
  <si>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</si>
  <si>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</si>
  <si>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</si>
  <si>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</si>
  <si>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</si>
  <si>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</si>
  <si>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</si>
  <si>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</si>
  <si>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</si>
  <si>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</si>
  <si>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</si>
  <si>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</si>
  <si>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</si>
  <si>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</si>
  <si>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</si>
  <si>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</si>
  <si>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</si>
  <si>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</si>
  <si>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</si>
  <si>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</si>
  <si>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</si>
  <si>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</si>
  <si>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</si>
  <si>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</si>
  <si>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</si>
  <si>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</si>
  <si>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</si>
  <si>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</si>
  <si>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</si>
  <si>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</si>
  <si>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</si>
  <si>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</si>
  <si>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</si>
  <si>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</si>
  <si>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</si>
  <si>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</si>
  <si>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</si>
  <si>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</si>
  <si>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</si>
  <si>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</si>
  <si>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</si>
  <si>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</si>
  <si>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</si>
  <si>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</si>
  <si>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</si>
  <si>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</si>
  <si>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</si>
  <si>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</si>
  <si>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FF1 117.62c</t>
  </si>
  <si>
    <t>FF1 117.63c</t>
  </si>
  <si>
    <t>FF1 117.64c</t>
  </si>
  <si>
    <t>FF1 117.65c</t>
  </si>
  <si>
    <t>FF1 117.66c</t>
  </si>
  <si>
    <t>FF1 118.29c</t>
  </si>
  <si>
    <t>Calculation of Composite State Income Tax Rate for the Prior Year:</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</si>
  <si>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</si>
  <si>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</si>
  <si>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</si>
  <si>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</si>
  <si>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</si>
  <si>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</si>
  <si>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</si>
  <si>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</si>
  <si>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</si>
  <si>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</si>
  <si>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</si>
  <si>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</si>
  <si>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</si>
  <si>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</si>
  <si>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</si>
  <si>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</si>
  <si>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</si>
  <si>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</si>
  <si>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</si>
  <si>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</si>
  <si>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</si>
  <si>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</si>
  <si>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</si>
  <si>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</si>
  <si>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</si>
  <si>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</si>
  <si>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</si>
  <si>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</si>
  <si>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</si>
  <si>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</si>
  <si>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</si>
  <si>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</si>
  <si>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</si>
  <si>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</si>
  <si>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</si>
  <si>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</si>
  <si>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1) Input most recent available Apportionment Factors.</t>
  </si>
  <si>
    <t>Prior</t>
  </si>
  <si>
    <t>Tax Rate ("STR")</t>
  </si>
  <si>
    <t>Income Tax</t>
  </si>
  <si>
    <t>Rate ("CSITR")</t>
  </si>
  <si>
    <t>for the applicable Prior Year</t>
  </si>
  <si>
    <t>Calculation of Income Tax Rates</t>
  </si>
  <si>
    <t>Rate ("FITR")</t>
  </si>
  <si>
    <t>Factors ("AFs")</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</si>
  <si>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</si>
  <si>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</si>
  <si>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</si>
  <si>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</si>
  <si>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</si>
  <si>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</si>
  <si>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</si>
  <si>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</si>
  <si>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</si>
  <si>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</si>
  <si>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</si>
  <si>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</si>
  <si>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</si>
  <si>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</si>
  <si>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</si>
  <si>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</si>
  <si>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</si>
  <si>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</si>
  <si>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</si>
  <si>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</si>
  <si>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</si>
  <si>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</si>
  <si>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</si>
  <si>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</si>
  <si>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</si>
  <si>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</si>
  <si>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</si>
  <si>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</si>
  <si>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</si>
  <si>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</si>
  <si>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</si>
  <si>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</si>
  <si>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</si>
  <si>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</si>
  <si>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</si>
  <si>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</si>
  <si>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</si>
  <si>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</si>
  <si>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</si>
  <si>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</si>
  <si>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</si>
  <si>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</si>
  <si>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</si>
  <si>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</si>
  <si>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</si>
  <si>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</si>
  <si>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</si>
  <si>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</si>
  <si>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</si>
  <si>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</si>
  <si>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</si>
  <si>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</si>
  <si>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</si>
  <si>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</si>
  <si>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</si>
  <si>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</si>
  <si>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</si>
  <si>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</si>
  <si>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</si>
  <si>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</si>
  <si>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</si>
  <si>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</si>
  <si>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</si>
  <si>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</si>
  <si>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</si>
  <si>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</si>
  <si>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</si>
  <si>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</si>
  <si>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</si>
  <si>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</si>
  <si>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</si>
  <si>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</si>
  <si>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Total HV and LV Gross Plant for REP</t>
  </si>
  <si>
    <t>A) Total ISO Plant from Prior Year</t>
  </si>
  <si>
    <t>B) Gross Plant Percentage for the Rate Effective Period:</t>
  </si>
  <si>
    <t>FERC Form 1</t>
  </si>
  <si>
    <t>Total Amount Excluded</t>
  </si>
  <si>
    <t>Shareholder</t>
  </si>
  <si>
    <t>Franchise</t>
  </si>
  <si>
    <t>Requirements</t>
  </si>
  <si>
    <t>PBOPs</t>
  </si>
  <si>
    <t>Authorized PBOPs expense amount:</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</si>
  <si>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</si>
  <si>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</si>
  <si>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</si>
  <si>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</si>
  <si>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</si>
  <si>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</si>
  <si>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</si>
  <si>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</si>
  <si>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a) Enter CWIP mechanism final balance in first True Up Adjustment calculation in accordance with tariff protocols.</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</si>
  <si>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</si>
  <si>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</si>
  <si>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</si>
  <si>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</si>
  <si>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</si>
  <si>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</si>
  <si>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</si>
  <si>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2) Input STR for the Prior Year</t>
  </si>
  <si>
    <t>3) FF and U Factors</t>
  </si>
  <si>
    <t>1) Approved Franchise Fee Factor(s)</t>
  </si>
  <si>
    <t>FF1 263.2 (see note to left)</t>
  </si>
  <si>
    <t>FF1 263 (see note to left)</t>
  </si>
  <si>
    <t>Sum of Column 2 below</t>
  </si>
  <si>
    <t>a) Fill in Description for issue in above table.</t>
  </si>
  <si>
    <t>b) Enter costs in columns 1-3 in above table for the applicable Prior Year.</t>
  </si>
  <si>
    <t>Actual</t>
  </si>
  <si>
    <t>Including previous year True Up Adjustment.</t>
  </si>
  <si>
    <t>First Project:</t>
  </si>
  <si>
    <t>Fill in Name</t>
  </si>
  <si>
    <t>…</t>
  </si>
  <si>
    <t>2nd Project:</t>
  </si>
  <si>
    <t>(BOY value is EOY value from previous year)</t>
  </si>
  <si>
    <t>3) Add additional years past 2035 if necessary.</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</si>
  <si>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</si>
  <si>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</si>
  <si>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</si>
  <si>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</si>
  <si>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</si>
  <si>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</si>
  <si>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</si>
  <si>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</si>
  <si>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</si>
  <si>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</si>
  <si>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</si>
  <si>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</si>
  <si>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</si>
  <si>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</si>
  <si>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</si>
  <si>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</si>
  <si>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</si>
  <si>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</si>
  <si>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</si>
  <si>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</si>
  <si>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</si>
  <si>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</si>
  <si>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</si>
  <si>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</si>
  <si>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</si>
  <si>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</si>
  <si>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</si>
  <si>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</si>
  <si>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</si>
  <si>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</si>
  <si>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</si>
  <si>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</si>
  <si>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</si>
  <si>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</si>
  <si>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</si>
  <si>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</si>
  <si>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</si>
  <si>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</si>
  <si>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</si>
  <si>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</si>
  <si>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</si>
  <si>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</si>
  <si>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</si>
  <si>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</si>
  <si>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</si>
  <si>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</si>
  <si>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</si>
  <si>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</si>
  <si>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</si>
  <si>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</si>
  <si>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</si>
  <si>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</si>
  <si>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</si>
  <si>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</si>
  <si>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</si>
  <si>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</si>
  <si>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</si>
  <si>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</si>
  <si>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</si>
  <si>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</si>
  <si>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</si>
  <si>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</si>
  <si>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</si>
  <si>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</si>
  <si>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</si>
  <si>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</si>
  <si>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</si>
  <si>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</si>
  <si>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</si>
  <si>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</si>
  <si>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</si>
  <si>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</si>
  <si>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</si>
  <si>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</si>
  <si>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</si>
  <si>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</si>
  <si>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4191120</t>
  </si>
  <si>
    <t>Non-Residential Late Payment</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</si>
  <si>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</si>
  <si>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</si>
  <si>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</si>
  <si>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</si>
  <si>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</si>
  <si>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</si>
  <si>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</si>
  <si>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</si>
  <si>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</si>
  <si>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</si>
  <si>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</si>
  <si>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</si>
  <si>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</si>
  <si>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</si>
  <si>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</si>
  <si>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</si>
  <si>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</si>
  <si>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</si>
  <si>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</si>
  <si>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</si>
  <si>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</si>
  <si>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</si>
  <si>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</si>
  <si>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</si>
  <si>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</si>
  <si>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</si>
  <si>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</si>
  <si>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</si>
  <si>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</si>
  <si>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</si>
  <si>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7a</t>
  </si>
  <si>
    <t>7b</t>
  </si>
  <si>
    <t>7c</t>
  </si>
  <si>
    <t>4183110</t>
  </si>
  <si>
    <t>Sales of Water &amp; Water Power - San Joaquin</t>
  </si>
  <si>
    <t>4183115</t>
  </si>
  <si>
    <t>Sales of Water &amp; Water Power - Headwater</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</si>
  <si>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</si>
  <si>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</si>
  <si>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</si>
  <si>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</si>
  <si>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</si>
  <si>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</si>
  <si>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</si>
  <si>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</si>
  <si>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</si>
  <si>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</si>
  <si>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</si>
  <si>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</si>
  <si>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</si>
  <si>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</si>
  <si>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4184116</t>
  </si>
  <si>
    <t>Joint Pole - Tariffed Process &amp; Eng Fees - Conduit</t>
  </si>
  <si>
    <t>10h</t>
  </si>
  <si>
    <t>4184118</t>
  </si>
  <si>
    <t>Joint Pole - Pl Attchmnt Audit - Undoc P&amp;E Fee</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</si>
  <si>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</si>
  <si>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</si>
  <si>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</si>
  <si>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</si>
  <si>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</si>
  <si>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</si>
  <si>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</si>
  <si>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</si>
  <si>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</si>
  <si>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</si>
  <si>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</si>
  <si>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</si>
  <si>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</si>
  <si>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</si>
  <si>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</si>
  <si>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</si>
  <si>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</si>
  <si>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</si>
  <si>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</si>
  <si>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</si>
  <si>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</si>
  <si>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</si>
  <si>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</si>
  <si>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</si>
  <si>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</si>
  <si>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</si>
  <si>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</si>
  <si>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</si>
  <si>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</si>
  <si>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</si>
  <si>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</si>
  <si>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</si>
  <si>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</si>
  <si>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</si>
  <si>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</si>
  <si>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</si>
  <si>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</si>
  <si>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</si>
  <si>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</si>
  <si>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</si>
  <si>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</si>
  <si>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</si>
  <si>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</si>
  <si>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</si>
  <si>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</si>
  <si>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</si>
  <si>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</si>
  <si>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</si>
  <si>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</si>
  <si>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</si>
  <si>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</si>
  <si>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</si>
  <si>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</si>
  <si>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</si>
  <si>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</si>
  <si>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</si>
  <si>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</si>
  <si>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</si>
  <si>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</si>
  <si>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</si>
  <si>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</si>
  <si>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</si>
  <si>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</si>
  <si>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</si>
  <si>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</si>
  <si>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</si>
  <si>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</si>
  <si>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</si>
  <si>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</si>
  <si>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</si>
  <si>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</si>
  <si>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</si>
  <si>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</si>
  <si>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</si>
  <si>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</si>
  <si>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</si>
  <si>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</si>
  <si>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</si>
  <si>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</si>
  <si>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</si>
  <si>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</si>
  <si>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</si>
  <si>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</si>
  <si>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</si>
  <si>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</si>
  <si>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</si>
  <si>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</si>
  <si>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</si>
  <si>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</si>
  <si>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</si>
  <si>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</si>
  <si>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</si>
  <si>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</si>
  <si>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</si>
  <si>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</si>
  <si>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</si>
  <si>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</si>
  <si>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</si>
  <si>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</si>
  <si>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</si>
  <si>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</si>
  <si>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</si>
  <si>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</si>
  <si>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4186520</t>
  </si>
  <si>
    <t>RTTC Revenue</t>
  </si>
  <si>
    <t>12u</t>
  </si>
  <si>
    <t>4186524</t>
  </si>
  <si>
    <t>Revenue From Scrap Paper - General Office</t>
  </si>
  <si>
    <t>12v</t>
  </si>
  <si>
    <t>4186528</t>
  </si>
  <si>
    <t>CTAC Revenues</t>
  </si>
  <si>
    <t>12w</t>
  </si>
  <si>
    <t>4186530</t>
  </si>
  <si>
    <t>AGTAC Revenues</t>
  </si>
  <si>
    <t>12x</t>
  </si>
  <si>
    <t>Other Inc/erd Party DC-ESM</t>
  </si>
  <si>
    <t>12y</t>
  </si>
  <si>
    <t>3rd Party-Div Tmg-Cr PPD training</t>
  </si>
  <si>
    <t>12z</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</si>
  <si>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</si>
  <si>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</si>
  <si>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</si>
  <si>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</si>
  <si>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</si>
  <si>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</si>
  <si>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</si>
  <si>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</si>
  <si>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</si>
  <si>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</si>
  <si>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</si>
  <si>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</si>
  <si>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</si>
  <si>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</si>
  <si>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</si>
  <si>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</si>
  <si>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</si>
  <si>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</si>
  <si>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</si>
  <si>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</si>
  <si>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</si>
  <si>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</si>
  <si>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</si>
  <si>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</si>
  <si>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</si>
  <si>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</si>
  <si>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</si>
  <si>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</si>
  <si>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</si>
  <si>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</si>
  <si>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</si>
  <si>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</si>
  <si>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</si>
  <si>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</si>
  <si>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</si>
  <si>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</si>
  <si>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</si>
  <si>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</si>
  <si>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</si>
  <si>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</si>
  <si>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</si>
  <si>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</si>
  <si>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4188818</t>
  </si>
  <si>
    <t>FTR Auction Revenue</t>
  </si>
  <si>
    <t>12pp</t>
  </si>
  <si>
    <t>4196105</t>
  </si>
  <si>
    <t>DA Revenue</t>
  </si>
  <si>
    <t>12qq</t>
  </si>
  <si>
    <t>4196154</t>
  </si>
  <si>
    <t>Direct Access Monthly Customer Charges</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</si>
  <si>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</si>
  <si>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</si>
  <si>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</si>
  <si>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</si>
  <si>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</si>
  <si>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</si>
  <si>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</si>
  <si>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</si>
  <si>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</si>
  <si>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</si>
  <si>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</si>
  <si>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</si>
  <si>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</si>
  <si>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</si>
  <si>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</si>
  <si>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</si>
  <si>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</si>
  <si>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</si>
  <si>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</si>
  <si>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</si>
  <si>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</si>
  <si>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</si>
  <si>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</si>
  <si>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</si>
  <si>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</si>
  <si>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</si>
  <si>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</si>
  <si>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4206515</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</si>
  <si>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</si>
  <si>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</si>
  <si>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</si>
  <si>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</si>
  <si>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</si>
  <si>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</si>
  <si>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</si>
  <si>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</si>
  <si>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</si>
  <si>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</si>
  <si>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</si>
  <si>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</si>
  <si>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</si>
  <si>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</si>
  <si>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</si>
  <si>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</si>
  <si>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</si>
  <si>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</si>
  <si>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</si>
  <si>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</si>
  <si>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</si>
  <si>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</si>
  <si>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</si>
  <si>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</si>
  <si>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</si>
  <si>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</si>
  <si>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</si>
  <si>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</si>
  <si>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</si>
  <si>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4198115</t>
  </si>
  <si>
    <t>High Voltage Trans Access Rev (Existing Contracts)</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</si>
  <si>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</si>
  <si>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</si>
  <si>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</si>
  <si>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</si>
  <si>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</si>
  <si>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</si>
  <si>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</si>
  <si>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</si>
  <si>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</si>
  <si>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</si>
  <si>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</si>
  <si>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</si>
  <si>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</si>
  <si>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</si>
  <si>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</si>
  <si>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</si>
  <si>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</si>
  <si>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</si>
  <si>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</si>
  <si>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4198128</t>
  </si>
  <si>
    <t>Scheduling/Dispatch Revenues (CSS)</t>
  </si>
  <si>
    <t>15r</t>
  </si>
  <si>
    <t>4198130</t>
  </si>
  <si>
    <t>Inland Empire CRT Tie-Line EX</t>
  </si>
  <si>
    <t>15s</t>
  </si>
  <si>
    <t>4198910</t>
  </si>
  <si>
    <t>Reliability Service Revenue - Non-PTO's</t>
  </si>
  <si>
    <t>456.1 Total</t>
  </si>
  <si>
    <t>18a</t>
  </si>
  <si>
    <t>457.1 Total</t>
  </si>
  <si>
    <t>21a</t>
  </si>
  <si>
    <t>457.2 Total</t>
  </si>
  <si>
    <t>Edison Carrier Solutions (ECS)</t>
  </si>
  <si>
    <t>24a</t>
  </si>
  <si>
    <t>ECS - Pass Pole Attachments</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</si>
  <si>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</si>
  <si>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</si>
  <si>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</si>
  <si>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</si>
  <si>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</si>
  <si>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</si>
  <si>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</si>
  <si>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</si>
  <si>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</si>
  <si>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</si>
  <si>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</si>
  <si>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</si>
  <si>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</si>
  <si>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</si>
  <si>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</si>
  <si>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</si>
  <si>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</si>
  <si>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</si>
  <si>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</si>
  <si>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</si>
  <si>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</si>
  <si>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</si>
  <si>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</si>
  <si>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</si>
  <si>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</si>
  <si>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</si>
  <si>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</si>
  <si>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</si>
  <si>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</si>
  <si>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</si>
  <si>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</si>
  <si>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</si>
  <si>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</si>
  <si>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</si>
  <si>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</si>
  <si>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</si>
  <si>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</si>
  <si>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</si>
  <si>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SCE Capital Company</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</si>
  <si>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</si>
  <si>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</si>
  <si>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</si>
  <si>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</si>
  <si>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</si>
  <si>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</si>
  <si>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</si>
  <si>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</si>
  <si>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</si>
  <si>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</si>
  <si>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</si>
  <si>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</si>
  <si>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</si>
  <si>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</si>
  <si>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</si>
  <si>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</si>
  <si>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</si>
  <si>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</si>
  <si>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</si>
  <si>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</si>
  <si>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</si>
  <si>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</si>
  <si>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</si>
  <si>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</si>
  <si>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</si>
  <si>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</si>
  <si>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</si>
  <si>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</si>
  <si>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</si>
  <si>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</si>
  <si>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</si>
  <si>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</si>
  <si>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</si>
  <si>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</si>
  <si>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</si>
  <si>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</si>
  <si>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</si>
  <si>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</si>
  <si>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</si>
  <si>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</si>
  <si>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</si>
  <si>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</si>
  <si>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</si>
  <si>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</si>
  <si>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</si>
  <si>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wo Interest</t>
  </si>
  <si>
    <t>TRR</t>
  </si>
  <si>
    <t>with Interest</t>
  </si>
  <si>
    <t>Beginning</t>
  </si>
  <si>
    <t>Ending</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</si>
  <si>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</si>
  <si>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</si>
  <si>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</si>
  <si>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</si>
  <si>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</si>
  <si>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</si>
  <si>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</si>
  <si>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</si>
  <si>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</si>
  <si>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</si>
  <si>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</si>
  <si>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</si>
  <si>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</si>
  <si>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</si>
  <si>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</si>
  <si>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</si>
  <si>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</si>
  <si>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</si>
  <si>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</si>
  <si>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</si>
  <si>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</si>
  <si>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</si>
  <si>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</si>
  <si>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</si>
  <si>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</si>
  <si>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</si>
  <si>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</si>
  <si>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</si>
  <si>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</si>
  <si>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</si>
  <si>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</si>
  <si>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</si>
  <si>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</si>
  <si>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</si>
  <si>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</si>
  <si>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</si>
  <si>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</si>
  <si>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</si>
  <si>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</si>
  <si>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</si>
  <si>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</si>
  <si>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</si>
  <si>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</si>
  <si>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</si>
  <si>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</si>
  <si>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</si>
  <si>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</si>
  <si>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</si>
  <si>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</si>
  <si>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</si>
  <si>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</si>
  <si>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</si>
  <si>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</si>
  <si>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</si>
  <si>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</si>
  <si>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</si>
  <si>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</si>
  <si>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</si>
  <si>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</si>
  <si>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</si>
  <si>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</si>
  <si>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</si>
  <si>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</si>
  <si>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</si>
  <si>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</si>
  <si>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</si>
  <si>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</si>
  <si>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</si>
  <si>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</si>
  <si>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</si>
  <si>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</si>
  <si>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</si>
  <si>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</si>
  <si>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</si>
  <si>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</si>
  <si>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</si>
  <si>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</si>
  <si>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</si>
  <si>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</si>
  <si>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</si>
  <si>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</si>
  <si>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</si>
  <si>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</si>
  <si>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</si>
  <si>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</si>
  <si>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</si>
  <si>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</si>
  <si>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</si>
  <si>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</si>
  <si>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</si>
  <si>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</si>
  <si>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</si>
  <si>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</si>
  <si>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</si>
  <si>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</si>
  <si>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One-Time and</t>
  </si>
  <si>
    <t>wo Interest for</t>
  </si>
  <si>
    <t>for Current</t>
  </si>
  <si>
    <t>Current Month</t>
  </si>
  <si>
    <t>See Note 8</t>
  </si>
  <si>
    <t>See Note 9</t>
  </si>
  <si>
    <t>See Note 10</t>
  </si>
  <si>
    <t>=C3 + C4</t>
  </si>
  <si>
    <t>See Note 11</t>
  </si>
  <si>
    <t>=C5 + C6</t>
  </si>
  <si>
    <t>= - C4</t>
  </si>
  <si>
    <t>Received (+)/</t>
  </si>
  <si>
    <t>Amortization</t>
  </si>
  <si>
    <t>Returned (-)</t>
  </si>
  <si>
    <t>Total Amortization in Rate Effective Period (See Instruction #4):</t>
  </si>
  <si>
    <t>Shortfall or Excess Revenue in Prior Year:</t>
  </si>
  <si>
    <t>TRR AAF</t>
  </si>
  <si>
    <t>See Note 13</t>
  </si>
  <si>
    <t>Enter with the same sign as in previous Informational Update.  If there is no Previous Period True Up Adjustment, then enter $0 in these cells.</t>
  </si>
  <si>
    <t>SCE shall also include that difference in the True Up Adjustment, including interest, at the first opportunity, in accordance with tariff protocols.</t>
  </si>
  <si>
    <t>Actual Retail Base Transmission Revenues for any months not included in True Up Period.</t>
  </si>
  <si>
    <t>3) "Actual Retail Base Transmission Revenues" are SCE retail transmission revenues attributable to this formula transmission rate.</t>
  </si>
  <si>
    <t>4) The "Previous Period True Up Adjustment" are the values of the "True Up Adjustment Received/Returned" in the previous Informational Filing (Same sign).</t>
  </si>
  <si>
    <t>6) "Cumulative Excess (-) or Shortfall (+) in Revenue wo Interest for Current Month" is: 1) in month 1, the amount in Column 5;</t>
  </si>
  <si>
    <t>and 2) in subsequent months is the amount in Column 9 for previous month plus the current month amount in Column 5.</t>
  </si>
  <si>
    <t>7) Interest for Current Month is calculated on average of beginning and ending balances (Column 9 previous month and Column 7 current month).</t>
  </si>
  <si>
    <t>(First month average is 1/2 of ending balance).</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</si>
  <si>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</si>
  <si>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</si>
  <si>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</si>
  <si>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</si>
  <si>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</si>
  <si>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</si>
  <si>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</si>
  <si>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</si>
  <si>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Total Acct 252</t>
  </si>
  <si>
    <t>FF-1 total for Acct 252 - Customer Advances for Construction 
 (Must equal Line 3)</t>
  </si>
  <si>
    <t>FF-1 total for Acct 252 - Customer Advances for Construction 
(Must equal Line 7)</t>
  </si>
  <si>
    <t>FF1 113.56c</t>
  </si>
  <si>
    <t>Average Outstanding Network Upgrade Credits Beginning and End of Year</t>
  </si>
  <si>
    <t>Interest On Network Upgrade Credits Recorded in FERC Acct 242</t>
  </si>
  <si>
    <t>Acct 242 Other</t>
  </si>
  <si>
    <t>Total Acct 242</t>
  </si>
  <si>
    <t>FF-1 total for Acct 242 - Miscellaneous Current and Accrued Liabilities
(Must equal Line 12)</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</si>
  <si>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</si>
  <si>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</si>
  <si>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</si>
  <si>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</si>
  <si>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</si>
  <si>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</si>
  <si>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</si>
  <si>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</si>
  <si>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</si>
  <si>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</si>
  <si>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</si>
  <si>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</si>
  <si>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</si>
  <si>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</si>
  <si>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</si>
  <si>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</si>
  <si>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</si>
  <si>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</si>
  <si>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</si>
  <si>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</si>
  <si>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</si>
  <si>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</si>
  <si>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</si>
  <si>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</si>
  <si>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</si>
  <si>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</si>
  <si>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</si>
  <si>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</si>
  <si>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</si>
  <si>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</si>
  <si>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</si>
  <si>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</si>
  <si>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</si>
  <si>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</si>
  <si>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</si>
  <si>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</si>
  <si>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</si>
  <si>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</si>
  <si>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in accordance with the tariff protocols.  Accordingly, any amount different than the authorized PBOPs</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</si>
  <si>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</si>
  <si>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</si>
  <si>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</si>
  <si>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</si>
  <si>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</si>
  <si>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</si>
  <si>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</si>
  <si>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</si>
  <si>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</si>
  <si>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</si>
  <si>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</si>
  <si>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</si>
  <si>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</si>
  <si>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</si>
  <si>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</si>
  <si>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</si>
  <si>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</si>
  <si>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</si>
  <si>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</si>
  <si>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</si>
  <si>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</si>
  <si>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</si>
  <si>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</si>
  <si>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</si>
  <si>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</si>
  <si>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</si>
  <si>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</si>
  <si>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</si>
  <si>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</si>
  <si>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</si>
  <si>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</si>
  <si>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</si>
  <si>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</si>
  <si>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</si>
  <si>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</si>
  <si>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</si>
  <si>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</si>
  <si>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</si>
  <si>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</si>
  <si>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</si>
  <si>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</si>
  <si>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</si>
  <si>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</si>
  <si>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</si>
  <si>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</si>
  <si>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</si>
  <si>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</si>
  <si>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Amortization of Net Gain (Loss)  From Purchases and Tender Offers</t>
  </si>
  <si>
    <t>Amortization Issuance Costs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</si>
  <si>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</si>
  <si>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</si>
  <si>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</si>
  <si>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</si>
  <si>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</si>
  <si>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</si>
  <si>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</si>
  <si>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</si>
  <si>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</si>
  <si>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</si>
  <si>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</si>
  <si>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</si>
  <si>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</si>
  <si>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</si>
  <si>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</si>
  <si>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</si>
  <si>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</si>
  <si>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</si>
  <si>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</si>
  <si>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</si>
  <si>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</si>
  <si>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</si>
  <si>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13a</t>
  </si>
  <si>
    <t>Note 11</t>
  </si>
  <si>
    <t>Energy Charge - $/kWh</t>
  </si>
  <si>
    <t>Rate Schedules in each CPUC Rate Group:</t>
  </si>
  <si>
    <t>Rate Schedules included in Each Rate Group in the Rate Effective Period</t>
  </si>
  <si>
    <t>Recorded 12-CP Load Data by Rate Group (MW)</t>
  </si>
  <si>
    <t>Line losses</t>
  </si>
  <si>
    <t>28e</t>
  </si>
  <si>
    <t>28f</t>
  </si>
  <si>
    <t>Calculation of Plant Held for Future Use</t>
  </si>
  <si>
    <t>Plant In Service</t>
  </si>
  <si>
    <t>13-Mo. Avg:</t>
  </si>
  <si>
    <t>Sum C2 - C4</t>
  </si>
  <si>
    <t>Average:</t>
  </si>
  <si>
    <t>G&amp;I Plant</t>
  </si>
  <si>
    <t>c) Any refunds attributable to SCE's previous CWIP TRR cases (Docket Nos. ER08-375, ER09-187, ER10-160, and ER11-1952), not previously returned to customers.</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</si>
  <si>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</si>
  <si>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</si>
  <si>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</si>
  <si>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</si>
  <si>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</si>
  <si>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</si>
  <si>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</si>
  <si>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</si>
  <si>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</si>
  <si>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</si>
  <si>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</si>
  <si>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</si>
  <si>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Initial Prior Year?:</t>
  </si>
  <si>
    <t>If Initial Prior Year, enter "Yes", else "No"</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</si>
  <si>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</si>
  <si>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</si>
  <si>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</si>
  <si>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</si>
  <si>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</si>
  <si>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</si>
  <si>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</si>
  <si>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</si>
  <si>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</si>
  <si>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</si>
  <si>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</si>
  <si>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</si>
  <si>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</si>
  <si>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</si>
  <si>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</si>
  <si>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</si>
  <si>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</si>
  <si>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</si>
  <si>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</si>
  <si>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Effective State</t>
  </si>
  <si>
    <t>Tax Rate</t>
  </si>
  <si>
    <t>Ratio of SCE</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</si>
  <si>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</si>
  <si>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</si>
  <si>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</si>
  <si>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</si>
  <si>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</si>
  <si>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</si>
  <si>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</si>
  <si>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</si>
  <si>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</si>
  <si>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</si>
  <si>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</si>
  <si>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</si>
  <si>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</si>
  <si>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</si>
  <si>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</si>
  <si>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</si>
  <si>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</si>
  <si>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</si>
  <si>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</si>
  <si>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</si>
  <si>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</si>
  <si>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</si>
  <si>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</si>
  <si>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</si>
  <si>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</si>
  <si>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</si>
  <si>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</si>
  <si>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</si>
  <si>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</si>
  <si>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</si>
  <si>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</si>
  <si>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</si>
  <si>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Eldorado Ivanpah:</t>
  </si>
  <si>
    <t>Lugo-Pisgah:</t>
  </si>
  <si>
    <t>Red Bluff:</t>
  </si>
  <si>
    <t>Whirlwind Sub Expansion:</t>
  </si>
  <si>
    <t>Colorado River Sub Expansion:</t>
  </si>
  <si>
    <t>South of Kramer:</t>
  </si>
  <si>
    <t>West of Devers:</t>
  </si>
  <si>
    <t>PY Total Return, Taxes, Incentive:</t>
  </si>
  <si>
    <t>Total without FF&amp;U:</t>
  </si>
  <si>
    <t>Total Contribution of CWIP to Retail Base TRR:</t>
  </si>
  <si>
    <t>Transmission Revenues: (Note 12)</t>
  </si>
  <si>
    <t>13) Only include Base Transmission Revenue attributable to this formula transmission rate.</t>
  </si>
  <si>
    <t>14) Other Transmission Revenue includes the following:</t>
  </si>
  <si>
    <t>12) Only provide if formula was in effect during Prior Year.</t>
  </si>
  <si>
    <t>See Note 14</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</si>
  <si>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</si>
  <si>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</si>
  <si>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</si>
  <si>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</si>
  <si>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</si>
  <si>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</si>
  <si>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</si>
  <si>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</si>
  <si>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</si>
  <si>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</si>
  <si>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</si>
  <si>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</si>
  <si>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</si>
  <si>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</si>
  <si>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Operations Engineering</t>
  </si>
  <si>
    <t>560 - Sylmar/Palo Verde</t>
  </si>
  <si>
    <t>561.000 Load Dispatching</t>
  </si>
  <si>
    <t>561.100 Load Dispatch-Reliability</t>
  </si>
  <si>
    <t>561.200 Load Dispatch Monitor and Operate Trans. System</t>
  </si>
  <si>
    <t>561.400 Scheduling, System Control and Dispatch Services</t>
  </si>
  <si>
    <t>561.500 Reliability, Planning and Standards Development</t>
  </si>
  <si>
    <t>562 - MOGS Station Expense</t>
  </si>
  <si>
    <t>562 - Operating Transmission Stations</t>
  </si>
  <si>
    <t>562 - Routine Testing and Inspection</t>
  </si>
  <si>
    <t>562 - Sylmar/Palo Verde</t>
  </si>
  <si>
    <t>563 - Inspect and Patrol Line</t>
  </si>
  <si>
    <t>564 - Underground Line Expense</t>
  </si>
  <si>
    <t>565 - Wheeling Costs</t>
  </si>
  <si>
    <t>565 - WAPA Transmission for Remote Service</t>
  </si>
  <si>
    <t>565 - Transmission for Four Corners</t>
  </si>
  <si>
    <t>566 - ISO/RSBA/TSP Balancing Accounts</t>
  </si>
  <si>
    <t>566 - NERC/CIP Compliance</t>
  </si>
  <si>
    <t>566 - Transmission Regulatory Policy</t>
  </si>
  <si>
    <t>566 - FERC Regulation &amp; Contracts</t>
  </si>
  <si>
    <t>566 - Grid Contract Management</t>
  </si>
  <si>
    <t>566 - Sylmar/Palo Verde/Other General Functions</t>
  </si>
  <si>
    <t>567 - Line Rents</t>
  </si>
  <si>
    <t>567 - Morongo Lease</t>
  </si>
  <si>
    <t>567 - Eldorado</t>
  </si>
  <si>
    <t>567 - Sylmar/Palo Verde</t>
  </si>
  <si>
    <t>568 - Maintenance Supervision and Engineering</t>
  </si>
  <si>
    <t>568 - Sylmar/Palo Verde</t>
  </si>
  <si>
    <t>569 - Maintenance of Structures</t>
  </si>
  <si>
    <t>569 - Sylmar/Palo Verde</t>
  </si>
  <si>
    <t>570 - Maintenance of Power Transformers</t>
  </si>
  <si>
    <t>570 - Maintenance of Transmission Circuit Breakers</t>
  </si>
  <si>
    <t>570 - Maintenance of Transmission Voltage Equipment</t>
  </si>
  <si>
    <t>570 - Maintenance of Miscellaneous Transmission Equipment</t>
  </si>
  <si>
    <t>570 - Sylmar/Palo Verde</t>
  </si>
  <si>
    <t>571 - Poles and Structures</t>
  </si>
  <si>
    <t>571 - Insulators and Conductors</t>
  </si>
  <si>
    <t xml:space="preserve">571 - Transmission Line Rights of Way </t>
  </si>
  <si>
    <t>571 - Sylmar/Palo Verde</t>
  </si>
  <si>
    <t>572 - Maintenance of Underground Transmission Lines</t>
  </si>
  <si>
    <t>572 - Sylmar/Palo Verde</t>
  </si>
  <si>
    <t>573 - Provision for Property Damage Expense to Trans. Fac.</t>
  </si>
  <si>
    <t>Total Transmission O&amp;M</t>
  </si>
  <si>
    <t>Distribution Accounts</t>
  </si>
  <si>
    <t>582 - Operation and Relay Protection of Distribution Substations</t>
  </si>
  <si>
    <t>582 - Testing and Inspecting Distribution Substation Equipment</t>
  </si>
  <si>
    <t>590 - Maintenance Supervision and Engineering</t>
  </si>
  <si>
    <t>591 - Maintenance of Structures</t>
  </si>
  <si>
    <t>592 - Maintenance of Distribution Transformers</t>
  </si>
  <si>
    <t>592 - Maintenance of Distribution Circuit Breakers</t>
  </si>
  <si>
    <t>592 - Maintenance of Distribution Voltage Control Equipment</t>
  </si>
  <si>
    <t>592 - Maintenance of Miscellaneous Distribution Equipment</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</si>
  <si>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</si>
  <si>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</si>
  <si>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</si>
  <si>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</si>
  <si>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</si>
  <si>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</si>
  <si>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</si>
  <si>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</si>
  <si>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</si>
  <si>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</si>
  <si>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</si>
  <si>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</si>
  <si>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</si>
  <si>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</si>
  <si>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</si>
  <si>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</si>
  <si>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</si>
  <si>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</si>
  <si>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3) Input most recent available ratios based on</t>
  </si>
  <si>
    <t xml:space="preserve">      taxable income from state return filings.</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</si>
  <si>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</si>
  <si>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</si>
  <si>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</si>
  <si>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</si>
  <si>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</si>
  <si>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</si>
  <si>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</si>
  <si>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</si>
  <si>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</si>
  <si>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</si>
  <si>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</si>
  <si>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</si>
  <si>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</si>
  <si>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</si>
  <si>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</si>
  <si>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</si>
  <si>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</si>
  <si>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</si>
  <si>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</si>
  <si>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</si>
  <si>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</si>
  <si>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</si>
  <si>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</si>
  <si>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</si>
  <si>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 with</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</si>
  <si>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</si>
  <si>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</si>
  <si>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</si>
  <si>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</si>
  <si>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</si>
  <si>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</si>
  <si>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</si>
  <si>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</si>
  <si>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</si>
  <si>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</si>
  <si>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</si>
  <si>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</si>
  <si>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</si>
  <si>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</si>
  <si>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</si>
  <si>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</si>
  <si>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</si>
  <si>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</si>
  <si>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</si>
  <si>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</si>
  <si>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</si>
  <si>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</si>
  <si>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</si>
  <si>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</si>
  <si>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</si>
  <si>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</si>
  <si>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</si>
  <si>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</si>
  <si>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</si>
  <si>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</si>
  <si>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</si>
  <si>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</si>
  <si>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</si>
  <si>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</si>
  <si>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</si>
  <si>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</si>
  <si>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</si>
  <si>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</si>
  <si>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</si>
  <si>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</si>
  <si>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</si>
  <si>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</si>
  <si>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</si>
  <si>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</si>
  <si>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</si>
  <si>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</si>
  <si>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</si>
  <si>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Low Voltage Wheeling Access Charge =</t>
  </si>
  <si>
    <t>High Voltage Utility-Specific Rate =</t>
  </si>
  <si>
    <t>HV Wholesale TRR =</t>
  </si>
  <si>
    <t>Sum of Monthly Peak Demands:</t>
  </si>
  <si>
    <t>HV Existing Contracts Access Charge:</t>
  </si>
  <si>
    <t>LV Wholesale TRR =</t>
  </si>
  <si>
    <t>LV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</si>
  <si>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</si>
  <si>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</si>
  <si>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</si>
  <si>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</si>
  <si>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</si>
  <si>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</si>
  <si>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</si>
  <si>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</si>
  <si>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</si>
  <si>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</si>
  <si>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</si>
  <si>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</si>
  <si>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</si>
  <si>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</si>
  <si>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</si>
  <si>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</si>
  <si>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</si>
  <si>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</si>
  <si>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</si>
  <si>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</si>
  <si>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</si>
  <si>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</si>
  <si>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</si>
  <si>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</si>
  <si>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</si>
  <si>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</si>
  <si>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</si>
  <si>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</si>
  <si>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</si>
  <si>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</si>
  <si>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</si>
  <si>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</si>
  <si>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</si>
  <si>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</si>
  <si>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</si>
  <si>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</si>
  <si>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3) The True Up Adjustment for the initial Base TRR is $0.</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</si>
  <si>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</si>
  <si>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</si>
  <si>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</si>
  <si>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</si>
  <si>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</si>
  <si>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</si>
  <si>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</si>
  <si>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</si>
  <si>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</si>
  <si>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</si>
  <si>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 xml:space="preserve">the formula shall be weighted by the number of days each such rate was in effect.  For example, a 35% rate </t>
  </si>
  <si>
    <t xml:space="preserve"> ((.3500 x 120) + (.4000 x 245))/365 = .3836.</t>
  </si>
  <si>
    <t xml:space="preserve">in effect for 120 days superseded by a 40% rate in effect for the remainder of the year will be calculated as: </t>
  </si>
  <si>
    <t>1) In the event that statutory marginal tax rates change during the Prior Year, the effective tax rate used in</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</si>
  <si>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</si>
  <si>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</si>
  <si>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</si>
  <si>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</si>
  <si>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</si>
  <si>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</si>
  <si>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</si>
  <si>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</si>
  <si>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</si>
  <si>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</si>
  <si>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</si>
  <si>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</si>
  <si>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State Taxable</t>
  </si>
  <si>
    <t>Income to SCE</t>
  </si>
  <si>
    <t>Taxable Income</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</si>
  <si>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</si>
  <si>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</si>
  <si>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</si>
  <si>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</si>
  <si>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</si>
  <si>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</si>
  <si>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</si>
  <si>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</si>
  <si>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</si>
  <si>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</si>
  <si>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</si>
  <si>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</si>
  <si>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</si>
  <si>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571 - Transmission Work Order Related Expense</t>
  </si>
  <si>
    <t>Unamortized Issuance Costs</t>
  </si>
  <si>
    <t>Minus Net Gain (Loss) From Purchase and Tender Offers</t>
  </si>
  <si>
    <t>Less Unappropriated Undist. Sub. Earnings -- Acct. 216.1</t>
  </si>
  <si>
    <t>Less Accumulated Other Comprehensive Loss -- Account 219</t>
  </si>
  <si>
    <t>Calculation of Preferred Stock Amount</t>
  </si>
  <si>
    <t>Calculation of Cost of Preferred Stock</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</si>
  <si>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</si>
  <si>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</si>
  <si>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</si>
  <si>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</si>
  <si>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</si>
  <si>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</si>
  <si>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</si>
  <si>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</si>
  <si>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</si>
  <si>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</si>
  <si>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</si>
  <si>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</si>
  <si>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</si>
  <si>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</si>
  <si>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</si>
  <si>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</si>
  <si>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</si>
  <si>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</si>
  <si>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</si>
  <si>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a) Attribute True Up TRR to months in the Prior Year (see Note #1) to determine "Monthly 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</si>
  <si>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</si>
  <si>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</si>
  <si>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</si>
  <si>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</si>
  <si>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 xml:space="preserve">b) In the event that a Commission Order revises SCE's True Up TRR for a previous Prior Year, </t>
  </si>
  <si>
    <t xml:space="preserve">8) If true up period is less than entire calendar year, then adjust calculation accordingly by including $0 Monthly True Up TRR and for </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</si>
  <si>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</si>
  <si>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</si>
  <si>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</si>
  <si>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</si>
  <si>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</si>
  <si>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</si>
  <si>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</si>
  <si>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</si>
  <si>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</si>
  <si>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</si>
  <si>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</si>
  <si>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</si>
  <si>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</si>
  <si>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</si>
  <si>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</si>
  <si>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</si>
  <si>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</si>
  <si>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</si>
  <si>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</si>
  <si>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</si>
  <si>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</si>
  <si>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</si>
  <si>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</si>
  <si>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</si>
  <si>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</si>
  <si>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</si>
  <si>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</si>
  <si>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</si>
  <si>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</si>
  <si>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</si>
  <si>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</si>
  <si>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</si>
  <si>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</si>
  <si>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</si>
  <si>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</si>
  <si>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</si>
  <si>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</si>
  <si>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</si>
  <si>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</si>
  <si>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</si>
  <si>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</si>
  <si>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</si>
  <si>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</si>
  <si>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</si>
  <si>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11) Interest for Current Month is calculated on average of beginning and end balances (wo interest) in Columns 3 and 5.</t>
  </si>
  <si>
    <t>Balances for Transmission Plant - ISO during the Prior Year, including December of previous year (See Note 1):</t>
  </si>
  <si>
    <t>Transmission Activity Used to Determine Monthly Transmission Plant - ISO Balances</t>
  </si>
  <si>
    <t>1) Total Transmission Activity by Account (See Note 3)</t>
  </si>
  <si>
    <t>4) Calculation of change in Non-Incentive ISO Plant:</t>
  </si>
  <si>
    <t>A) Change in ISO Plant Balance December to December (See Note 6)</t>
  </si>
  <si>
    <t>B) Change in Incentive ISO Plant (See Note 7)</t>
  </si>
  <si>
    <t>C) Change in Non-Incentive ISO Plant (See Note 8)</t>
  </si>
  <si>
    <t>3) General and Intangible Depreciation Reserve</t>
  </si>
  <si>
    <t>Transmission Activity Used to Determine Monthly Transmission Depreciation Reserve - ISO Balances</t>
  </si>
  <si>
    <t>4) Calculation of Other Transmission Activity</t>
  </si>
  <si>
    <t>Balances for Transmission Depreciation Reserve - ISO during the Prior Year, including December of previous year (See Note 1):</t>
  </si>
  <si>
    <t>2) Distribution Depreciation Reserve - ISO (See Note 2)</t>
  </si>
  <si>
    <t>3) Total Transmission Activity by Account represents accumulated depreciation changes for all Transmission plant.</t>
  </si>
  <si>
    <t>2) Depreciation Expense (See Note 4)</t>
  </si>
  <si>
    <t>3) Total Transmission Activity less Depreciation Expense (See Note 5)</t>
  </si>
  <si>
    <t>A) Change in Depreciation Reserve - ISO (See Note 6)</t>
  </si>
  <si>
    <t>B) Total Depreciation Expense (See Note 7)</t>
  </si>
  <si>
    <t>C) Other Activity (See Note 8)</t>
  </si>
  <si>
    <t>5) Other Transmission Activity (See Note 9)</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</si>
  <si>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</si>
  <si>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</si>
  <si>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</si>
  <si>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</si>
  <si>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</si>
  <si>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</si>
  <si>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</si>
  <si>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</si>
  <si>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</si>
  <si>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</si>
  <si>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</si>
  <si>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</si>
  <si>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</si>
  <si>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</si>
  <si>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</si>
  <si>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</si>
  <si>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</si>
  <si>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</si>
  <si>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</si>
  <si>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</si>
  <si>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</si>
  <si>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</si>
  <si>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</si>
  <si>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Average BOY/EOY ADIT:</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</si>
  <si>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</si>
  <si>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</si>
  <si>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</si>
  <si>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</si>
  <si>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</si>
  <si>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</si>
  <si>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</si>
  <si>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</si>
  <si>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</si>
  <si>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</si>
  <si>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</si>
  <si>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</si>
  <si>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</si>
  <si>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</si>
  <si>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</si>
  <si>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</si>
  <si>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</si>
  <si>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</si>
  <si>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</si>
  <si>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</si>
  <si>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</si>
  <si>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</si>
  <si>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</si>
  <si>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</si>
  <si>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</si>
  <si>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</si>
  <si>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</si>
  <si>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</si>
  <si>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</si>
  <si>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</si>
  <si>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</si>
  <si>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</si>
  <si>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</si>
  <si>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</si>
  <si>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</si>
  <si>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</si>
  <si>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</si>
  <si>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</si>
  <si>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</si>
  <si>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</si>
  <si>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</si>
  <si>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</si>
  <si>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</si>
  <si>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</si>
  <si>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</si>
  <si>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</si>
  <si>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</si>
  <si>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</si>
  <si>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</si>
  <si>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</si>
  <si>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</si>
  <si>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</si>
  <si>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</si>
  <si>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</si>
  <si>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CWIP in Rate Effective Period</t>
  </si>
  <si>
    <t>In Service Additions in Rate Effective Period:</t>
  </si>
  <si>
    <t>Low Voltage</t>
  </si>
  <si>
    <t>13-Month Averages:</t>
  </si>
  <si>
    <t>LV Allocation Factor)</t>
  </si>
  <si>
    <t>13-month avg.</t>
  </si>
  <si>
    <t>Face</t>
  </si>
  <si>
    <t>Issuance</t>
  </si>
  <si>
    <t>Issue</t>
  </si>
  <si>
    <t>Date</t>
  </si>
  <si>
    <t>Total Account 282</t>
  </si>
  <si>
    <t>Allocation Factors (Plant and Wages)</t>
  </si>
  <si>
    <t>Total Account 190 ADIT</t>
  </si>
  <si>
    <t>Total Account 282 ADIT</t>
  </si>
  <si>
    <t>(Sum of amounts in Columns 4 to 6)</t>
  </si>
  <si>
    <t>Total Account 283 ADIT</t>
  </si>
  <si>
    <t>570 - Substation Work Order Related Expense</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</si>
  <si>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</si>
  <si>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</si>
  <si>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</si>
  <si>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</si>
  <si>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</si>
  <si>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FF1 263.1 (see note to left)</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</si>
  <si>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</si>
  <si>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</si>
  <si>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</si>
  <si>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</si>
  <si>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</si>
  <si>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</si>
  <si>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</si>
  <si>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</si>
  <si>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</si>
  <si>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</si>
  <si>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</si>
  <si>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Other Long Term Debt -- Account 224 (Note 3):</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</si>
  <si>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</si>
  <si>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</si>
  <si>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</si>
  <si>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</si>
  <si>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</si>
  <si>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</si>
  <si>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</si>
  <si>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</si>
  <si>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</si>
  <si>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</si>
  <si>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</si>
  <si>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</si>
  <si>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</si>
  <si>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</si>
  <si>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</si>
  <si>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</si>
  <si>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</si>
  <si>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</si>
  <si>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</si>
  <si>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</si>
  <si>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</si>
  <si>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</si>
  <si>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</si>
  <si>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</si>
  <si>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</si>
  <si>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</si>
  <si>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</si>
  <si>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</si>
  <si>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</si>
  <si>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</si>
  <si>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</si>
  <si>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</si>
  <si>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</si>
  <si>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</si>
  <si>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</si>
  <si>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</si>
  <si>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Costs</t>
  </si>
  <si>
    <t>Event</t>
  </si>
  <si>
    <t>Issue/Event</t>
  </si>
  <si>
    <t xml:space="preserve">1) </t>
  </si>
  <si>
    <t>FERC Form 1 Acct. 165 Recorded Amount:</t>
  </si>
  <si>
    <t>BOY Prepayments Amount:</t>
  </si>
  <si>
    <t>Supplies Balances</t>
  </si>
  <si>
    <t>Total Materials and</t>
  </si>
  <si>
    <t>Calculation of True Up TRR</t>
  </si>
  <si>
    <t>Calculation of True Up Adjustment Component of TRR</t>
  </si>
  <si>
    <t>Prior Period Adjustment:</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</si>
  <si>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</si>
  <si>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</si>
  <si>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</si>
  <si>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</si>
  <si>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</si>
  <si>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</si>
  <si>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</si>
  <si>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</si>
  <si>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</si>
  <si>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</si>
  <si>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</si>
  <si>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</si>
  <si>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</si>
  <si>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</si>
  <si>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Abandoned Plant (EOY)</t>
  </si>
  <si>
    <t>See Notes 1 and 2 below</t>
  </si>
  <si>
    <t>1) For High Voltage Column, sum of EOY HV Abandoned Plant for all Projects on Schedule 12 for EOY of Prior Year</t>
  </si>
  <si>
    <t>2) For Low Voltage Column, Sum of EOY Abandoned Plant less HV Abandoned Plant for all Projects on Schedule 12 for EOY of Prior Year.</t>
  </si>
  <si>
    <t>Instruction 1</t>
  </si>
  <si>
    <t>1) Use weighted average (by time) of the Return on Equity in effect during the Prior Year in determining the "Cost of Capital Rate" on Line 18</t>
  </si>
  <si>
    <t>and the "Equity Rate of Return Including Preferred Stock" on Line 22 in the event that the ROE is revised during the Prior Year.  In this event,</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</si>
  <si>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</si>
  <si>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</si>
  <si>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</si>
  <si>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</si>
  <si>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</si>
  <si>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</si>
  <si>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</si>
  <si>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</si>
  <si>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</si>
  <si>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</si>
  <si>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</si>
  <si>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</si>
  <si>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</si>
  <si>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</si>
  <si>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</si>
  <si>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</si>
  <si>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</si>
  <si>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</si>
  <si>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</si>
  <si>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</si>
  <si>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</si>
  <si>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</si>
  <si>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Operating Miscellaneous Land &amp; Facilities</t>
  </si>
  <si>
    <t>ECS - Infrastructure Leasing</t>
  </si>
  <si>
    <t>EOY Prepayments Amount:</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</si>
  <si>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</si>
  <si>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</si>
  <si>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</si>
  <si>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</si>
  <si>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</si>
  <si>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</si>
  <si>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</si>
  <si>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</si>
  <si>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</si>
  <si>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2) ISO Incentive Plant Activity (See Note 4)</t>
  </si>
  <si>
    <t>3) Total Transmission Activity Not Including Incentive Plant Activity (See Note 5):</t>
  </si>
  <si>
    <t>5) Other ISO Transmission Activity without Incentive Plant Activity (See Note 9):</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</si>
  <si>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</si>
  <si>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</si>
  <si>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</si>
  <si>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</si>
  <si>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</si>
  <si>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</si>
  <si>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t>to a Section 205 or 206 filing.</t>
  </si>
  <si>
    <r>
      <rPr>
        <b/>
        <sz val="10"/>
        <rFont val="Arial"/>
        <family val="2"/>
      </rPr>
      <t>Notes:</t>
    </r>
    <r>
      <rPr>
        <sz val="10"/>
        <rFont val="Arial"/>
        <family val="2"/>
      </rPr>
      <t xml:space="preserve"> 1) Depreciation rates may only be revised as approved by the Commission pursuant</t>
    </r>
  </si>
  <si>
    <t>Resulting Percentage is:</t>
  </si>
  <si>
    <t>Percent ISO</t>
  </si>
  <si>
    <t>Percent ISO for this acccount is equal to the total ISO labor in accounts 562 and 570 (Column 7) divided by total labor in this same account (Column 3).</t>
  </si>
  <si>
    <t>Percent ISO for this acccount is equal to the total ISO labor in accounts listed below (Column 7) divided by total labor in these same accounts (Column 3).</t>
  </si>
  <si>
    <t>expense is excluded from account 926 (see note 3).  Docket or Decision approving authorized PBOPs amount:</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</si>
  <si>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</si>
  <si>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</si>
  <si>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</si>
  <si>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</si>
  <si>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</si>
  <si>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</si>
  <si>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</si>
  <si>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</si>
  <si>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</si>
  <si>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</si>
  <si>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</si>
  <si>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</si>
  <si>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</si>
  <si>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</si>
  <si>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</si>
  <si>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</si>
  <si>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</si>
  <si>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for each state.  See Notes 1 and 3.</t>
  </si>
  <si>
    <t>b) New Mexico</t>
  </si>
  <si>
    <t>c) Arizona</t>
  </si>
  <si>
    <t>d) District of Columbia</t>
  </si>
  <si>
    <t>a) California:</t>
  </si>
  <si>
    <t>2) Federal Source Statute:</t>
  </si>
  <si>
    <t>3) State Source Statues (Enter Reference to each State Marginal Tax Rate Statute below):</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</si>
  <si>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</si>
  <si>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</si>
  <si>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</si>
  <si>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</si>
  <si>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</si>
  <si>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</si>
  <si>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</si>
  <si>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</si>
  <si>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</si>
  <si>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3) Amount in Column 2 from FF1 112.21d, amount in Column 14 from FF1 112.21c,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</si>
  <si>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</si>
  <si>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</si>
  <si>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</si>
  <si>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</si>
  <si>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</si>
  <si>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</si>
  <si>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</si>
  <si>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Note 1, f</t>
  </si>
  <si>
    <t xml:space="preserve">2) In the event that depreciation rates stated on Schedule 18 to be applied to Distribution Plant - ISO are revised mid-year, calculate Depreciation Expense for </t>
  </si>
  <si>
    <t>See Instructions 2b, 3, and Note 2</t>
  </si>
  <si>
    <t>Calculation of FITR for Prior Year:</t>
  </si>
  <si>
    <t>FITR</t>
  </si>
  <si>
    <t>Days</t>
  </si>
  <si>
    <t>Note</t>
  </si>
  <si>
    <t>Input FITR in effect for first part of year and number of days</t>
  </si>
  <si>
    <t>Input FITR in effect for second part of year and number of days</t>
  </si>
  <si>
    <t>FITR:</t>
  </si>
  <si>
    <t>(Col 2)</t>
  </si>
  <si>
    <t>(Col 1)</t>
  </si>
  <si>
    <t>Note 1, c Column 2, see also Note 2</t>
  </si>
  <si>
    <t>= ((Line a, C1)*(Line a, C2)+ (Line b, C1)*(Line b, C2))/365</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</si>
  <si>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</si>
  <si>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</si>
  <si>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</si>
  <si>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</si>
  <si>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</si>
  <si>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</si>
  <si>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</si>
  <si>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</si>
  <si>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</si>
  <si>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Note 1, c</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</si>
  <si>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</si>
  <si>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</si>
  <si>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</si>
  <si>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</si>
  <si>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</si>
  <si>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</si>
  <si>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</si>
  <si>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</si>
  <si>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</si>
  <si>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</si>
  <si>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566 - Training</t>
  </si>
  <si>
    <t>566 - Other</t>
  </si>
  <si>
    <t>Gen. and Int.</t>
  </si>
  <si>
    <t>=C4+C5</t>
  </si>
  <si>
    <t>FF1 219.28c and 200.21c for previous year</t>
  </si>
  <si>
    <t>FF1 219.28c and 200.21c</t>
  </si>
  <si>
    <t>(Years)</t>
  </si>
  <si>
    <t>List associated securities and event, Event Date, Amortization Amount, Amortization Period, and Annual Amortization:</t>
  </si>
  <si>
    <t>Total Annual Amortization (sum of "Issues/Events" listed above)</t>
  </si>
  <si>
    <t>Total Annual Amortization (sum of "Issues" listed above)</t>
  </si>
  <si>
    <t>List associated securities, Face Amount, Issuance Date, Issuance Costs, Amortization Period, and Annual Amortization:</t>
  </si>
  <si>
    <t>a) Outages</t>
  </si>
  <si>
    <t>ISO Outages</t>
  </si>
  <si>
    <t>Non-ISO Outages</t>
  </si>
  <si>
    <t>Total Outages</t>
  </si>
  <si>
    <t>Values</t>
  </si>
  <si>
    <t>Applied to Accounts</t>
  </si>
  <si>
    <t>b) Circuits</t>
  </si>
  <si>
    <t>ISO Circuits</t>
  </si>
  <si>
    <t>Non-ISO Circuits</t>
  </si>
  <si>
    <t>Total Circuits</t>
  </si>
  <si>
    <t>Outages Percent ISO</t>
  </si>
  <si>
    <t>Circuits Percent ISO</t>
  </si>
  <si>
    <t>c) Relay Routines</t>
  </si>
  <si>
    <t>ISO Relay Routines</t>
  </si>
  <si>
    <t>Total Relay Routines</t>
  </si>
  <si>
    <t>Relay Routines Percent ISO</t>
  </si>
  <si>
    <t>ISO Line Miles</t>
  </si>
  <si>
    <t>Non-ISO Line Miles</t>
  </si>
  <si>
    <t>Non-ISO Relay Routines</t>
  </si>
  <si>
    <t>Total Line Miles</t>
  </si>
  <si>
    <t>Line MIles Percent ISO</t>
  </si>
  <si>
    <t>d) Line Miles</t>
  </si>
  <si>
    <t>e) Underground Line Miles</t>
  </si>
  <si>
    <t>ISO Underground Line Miles</t>
  </si>
  <si>
    <t>Non-ISO Underground Line Miles</t>
  </si>
  <si>
    <t>Total Undergound Line Miles</t>
  </si>
  <si>
    <t>Underground Line MIles Percent ISO</t>
  </si>
  <si>
    <t>ISO Line Rent Costs</t>
  </si>
  <si>
    <t>Non-ISO Line Rent Costs</t>
  </si>
  <si>
    <t>Total Line Rent Costs</t>
  </si>
  <si>
    <t>Line Rent Costs Percent ISO</t>
  </si>
  <si>
    <t>ISO Morongo Acres</t>
  </si>
  <si>
    <t>Non-ISO Morongo Acres</t>
  </si>
  <si>
    <t>Total Morongo Acres</t>
  </si>
  <si>
    <t>Morongo Acres Percent ISO</t>
  </si>
  <si>
    <t>ISO Transformers</t>
  </si>
  <si>
    <t>Non-ISO Transformers</t>
  </si>
  <si>
    <t>Total Transformers</t>
  </si>
  <si>
    <t>Transformers Percent ISO</t>
  </si>
  <si>
    <t>ISO Circuit Breakers</t>
  </si>
  <si>
    <t>Non-ISO Breakers</t>
  </si>
  <si>
    <t>Total Circuit Breakers</t>
  </si>
  <si>
    <t>Circuit Breakers Percent ISO</t>
  </si>
  <si>
    <t>ISO Voltage Control Equipment</t>
  </si>
  <si>
    <t>Non-ISO Voltage Control Equipment</t>
  </si>
  <si>
    <t>Total Voltage Control Equipment</t>
  </si>
  <si>
    <t>Voltage Control Equipment Percent ISO</t>
  </si>
  <si>
    <t>ISO Substation Work Order Costs</t>
  </si>
  <si>
    <t>Non-ISO Substation Work Order Costs</t>
  </si>
  <si>
    <t>Total Substation Work Order Costs</t>
  </si>
  <si>
    <t>Substation Work Order Costs Percent ISO</t>
  </si>
  <si>
    <t>ISO Transmission Work Order Costs</t>
  </si>
  <si>
    <t>Non-ISO Transmission Work Order Costs</t>
  </si>
  <si>
    <t>Total Transmission Work Order Costs</t>
  </si>
  <si>
    <t>Transmission Work Order Costs Percent ISO</t>
  </si>
  <si>
    <t>ISO Transmission Fac. Property Damage</t>
  </si>
  <si>
    <t>Non-ISO Transmission Fac. Property Damage</t>
  </si>
  <si>
    <t>Total Transmission Facility Property Damage</t>
  </si>
  <si>
    <t>Trans. Fac. Property Damage Percent ISO</t>
  </si>
  <si>
    <t>ISO Distribution Transformers</t>
  </si>
  <si>
    <t>Non-ISO Distribution Transformers</t>
  </si>
  <si>
    <t>Total Distribution Transformers</t>
  </si>
  <si>
    <t>Distribution Transformers Percent ISO</t>
  </si>
  <si>
    <t>Non-ISO Distribution Circuit Breakers</t>
  </si>
  <si>
    <t>Total Distribution Circuit Breakers</t>
  </si>
  <si>
    <t>ISO Distribution Circuit Breakers</t>
  </si>
  <si>
    <t>Distribution Circuit Breakers Percent ISO</t>
  </si>
  <si>
    <t>ISO Distribution Voltage Control Equipment</t>
  </si>
  <si>
    <t>Total Distribution Voltage Control Equipment</t>
  </si>
  <si>
    <t>Distribution Voltage Control Equip. Pct. ISO</t>
  </si>
  <si>
    <t>Non-ISO Distribution Voltage Control Equip.</t>
  </si>
  <si>
    <t>Capitalization Rate (Note 4)</t>
  </si>
  <si>
    <t>4) Capitalization Rate approved in:</t>
  </si>
  <si>
    <t>For the following Prior Years:</t>
  </si>
  <si>
    <t>Certain "Percent ISO percentages are calculable based on other "Percent ISO" amounts, as follows:</t>
  </si>
  <si>
    <t>Note 6, a</t>
  </si>
  <si>
    <t>6) "Percent ISO" percentages are calculated in accordance with the method set forth in SCE's TO Tariff protocols.  See Column 9 for references to source of each  Percent ISO.</t>
  </si>
  <si>
    <t>100% per Protocols</t>
  </si>
  <si>
    <t>0% per Protocols</t>
  </si>
  <si>
    <t>Note 6, b</t>
  </si>
  <si>
    <t>Note 6, c</t>
  </si>
  <si>
    <t>Note 6, d</t>
  </si>
  <si>
    <t>a) Accounts 560 - Operations Engineering, 566 - Training, 566-Other, 569.100 Hardware, 569.200 Software, and 569.300 Comunication:</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</si>
  <si>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</si>
  <si>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</si>
  <si>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</si>
  <si>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</si>
  <si>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</si>
  <si>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 xml:space="preserve">Percent ISO for these accounts is equal to total ISO labor in accounts 561, 562, 563, 564, 566 (except Training and Other), 570, 571, and 572 (Column 7) </t>
  </si>
  <si>
    <t>divided by total labor in this same account (Column 3).</t>
  </si>
  <si>
    <t xml:space="preserve">Percent ISO for these acccounts is equal to the total ISO labor in account 592, exclusive of Maintenance of Miscellaneous Distribution Equipment (Column 7) </t>
  </si>
  <si>
    <t>Order approving revised ROE:</t>
  </si>
  <si>
    <t>In the event that the Return on Common Equity is revised from the initial value, enter cite to Commission Order approving the revised ROE on following line.</t>
  </si>
  <si>
    <t>b) Account 569 - Maintenance of Structures</t>
  </si>
  <si>
    <t>d) Accounts 582, 590, 591, and 592 - Maintenance of Miscellaneous Distribution Equipment</t>
  </si>
  <si>
    <t>c) Account 570 - Maintenance of Miscellaneous Transmission Equipment and Account 568 -Maintenance Supervision and Engineering</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</si>
  <si>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</si>
  <si>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</si>
  <si>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</si>
  <si>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</si>
  <si>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Amortization of Excess Deferred Tax Liability</t>
  </si>
  <si>
    <t>Investment Tax Credit Flowed Through</t>
  </si>
  <si>
    <t>South Georgia Income Tax Adjustment</t>
  </si>
  <si>
    <t>2) No change in "Credits and Other" terms will be made absent a filing at the Commission</t>
  </si>
  <si>
    <t>compared to the Retail Base TRR.  This difference is attributable to differences in the following six items,</t>
  </si>
  <si>
    <t>These six items may affect the Base TRR by affecting Rate Base, or affecting an annual expense (amortization).</t>
  </si>
  <si>
    <t>EPRI Expenses</t>
  </si>
  <si>
    <t>d) Total Expense Difference</t>
  </si>
  <si>
    <t>Partial Year True Up Allocation Factors calculated based on three years (2008-2010) of monthly SCE retail base transmission revenues.</t>
  </si>
  <si>
    <t xml:space="preserve">2) Beginning with the True Up Adjustment calculation for 2012 utilizing the True Up TRR for 2012, exclude from CWIP recovery the capital cost of </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</si>
  <si>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</si>
  <si>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</si>
  <si>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</si>
  <si>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 xml:space="preserve"> Long Term Debt Advances from Associated Companies (Note 2a):</t>
  </si>
  <si>
    <t>Long Term Debt Advances from Associated Companies -- Account 223</t>
  </si>
  <si>
    <t>Interest on Debt to Associated Companies -- Account 430</t>
  </si>
  <si>
    <t>FF1 117.67c</t>
  </si>
  <si>
    <t xml:space="preserve">2a) Amount in Column 2 from FF1 112.20d, amount in Column 14 from FF1 112.20c, amounts in columns 3-13 from SCE internal records. </t>
  </si>
  <si>
    <t xml:space="preserve">facilities that were purchased for the portion of Tehachapi Segment 8 near the Chino Airport, but due to the April 25, 2011 Notice of Presumed </t>
  </si>
  <si>
    <t xml:space="preserve">Hazard issued to SCE by the FAA are not used in the construction of Tehachapi or in any other CWIP incentive project.  Additionally, </t>
  </si>
  <si>
    <t xml:space="preserve">construction of any SCE transmission project. </t>
  </si>
  <si>
    <t>SCE will permanently exclude from Plant In Service, Rate Base, and transmission rates these capital costs if the facilities are not used in the</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</si>
  <si>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</si>
  <si>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</si>
  <si>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</si>
  <si>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</si>
  <si>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</si>
  <si>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</si>
  <si>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</si>
  <si>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</si>
  <si>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</si>
  <si>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</si>
  <si>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</si>
  <si>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</si>
  <si>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</si>
  <si>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</si>
  <si>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</si>
  <si>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</si>
  <si>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</si>
  <si>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</si>
  <si>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</si>
  <si>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</si>
  <si>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</si>
  <si>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</si>
  <si>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the formula to calculate the correct value in that cell, which can be accomplished in Excel using the Goal Seek function.</t>
  </si>
  <si>
    <t xml:space="preserve">1) Any amount of "Provision for Doubtful Accounts" costs. </t>
  </si>
  <si>
    <t>2) Any amount of "Accounting Suspense" costs.</t>
  </si>
  <si>
    <t>g) Exclude the following costs included in any account 920-935:</t>
  </si>
  <si>
    <t>3) Any penalties of fines.</t>
  </si>
  <si>
    <t>4) Any amount of costs recovered 100% through California Public Utilities Commission ("CPUC") rates.</t>
  </si>
  <si>
    <t>h) Exclude the following amounts of employee incentive compensation from any account 920-935:</t>
  </si>
  <si>
    <t>1) Any Long Term Incentive Compensation ("LTI") costs.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</si>
  <si>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</si>
  <si>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</si>
  <si>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</si>
  <si>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</si>
  <si>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</si>
  <si>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a) Other ISO Transmission Activity without Incentive Plant Activity on Lines 70-81 for the same month;</t>
  </si>
  <si>
    <t xml:space="preserve">c) The previous month balance of the Transmission Plant - ISO amounts on Lines 1-13.  </t>
  </si>
  <si>
    <t>b) ISO Incentive Plant Activity on Lines 41 to 52 for the same month; and</t>
  </si>
  <si>
    <t xml:space="preserve">For instance, the amount for May of the Prior Year (on Line 6) for Account 353 (Column 5) is the sum of the following values: </t>
  </si>
  <si>
    <t>a) the "Other ISO Transmission Activity without Incentive Plant Activity" for May of the Prior Year (on Line 74, Column 5);</t>
  </si>
  <si>
    <t>b) the "ISO Incentive Plant Activity" for May of the Prior Year (on Line 45, Column 5),</t>
  </si>
  <si>
    <t>c) and the "Transmission Plant - ISO" amount for April of the Prior Year (on Line 5, Column 5)."</t>
  </si>
  <si>
    <t>The amounts for each month on the remaining lines are calculated by summing the following values:</t>
  </si>
  <si>
    <t xml:space="preserve">b) Other Transmission Activity (on Lines 69 to 80) for the same month; and </t>
  </si>
  <si>
    <t>c) Balances for Transmission Depreciation Reserve (on Lines 1 to 13) for the previous month.</t>
  </si>
  <si>
    <t>For instance, the amount for May of the Prior Year (on Line 6) for Account 353 (Column 5) is the sum of the following values:</t>
  </si>
  <si>
    <t>a) Depreciaiton Expense for May of the Prior Year (on Line 44, Column 5);</t>
  </si>
  <si>
    <t xml:space="preserve">b) Other Transmission Activity for May of the Prior Year (on Line 73, Column 5); and </t>
  </si>
  <si>
    <t>c) The balances for Transmission Depreciation Reserve for April of the Prior Yeaer (on Line 5, column 5).</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</si>
  <si>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</si>
  <si>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</si>
  <si>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</si>
  <si>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</si>
  <si>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</si>
  <si>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</si>
  <si>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((L1 FF Factor * L1 Days) + (L2 FF Factor * L2 Days))/365</t>
  </si>
  <si>
    <t>((L3 U Factor * L3 Days) + (L4 U Factor * L4 Days))/365</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</si>
  <si>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</si>
  <si>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</si>
  <si>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</si>
  <si>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</si>
  <si>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</si>
  <si>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</si>
  <si>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</si>
  <si>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</si>
  <si>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</si>
  <si>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</si>
  <si>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f) Line Rents Costs</t>
  </si>
  <si>
    <t>g) Morongo Acres</t>
  </si>
  <si>
    <t>h) Transformers</t>
  </si>
  <si>
    <t>i) Circuit Breakers</t>
  </si>
  <si>
    <t>j) Voltage Control Equipment</t>
  </si>
  <si>
    <t>k) Substation Work Order Cost</t>
  </si>
  <si>
    <t>l) Transmission Work Order Cost</t>
  </si>
  <si>
    <t>m) Transmission Facility Property Damage</t>
  </si>
  <si>
    <t>n) Distribution Transformers</t>
  </si>
  <si>
    <t>o) Distribution Circuit Breakers</t>
  </si>
  <si>
    <t>p) Distribution Voltage Control Equipment</t>
  </si>
  <si>
    <t>Amounts on Line 1 must match corresponding account Schedule 7, Column 2 for previous year.</t>
  </si>
  <si>
    <t xml:space="preserve">1) Amounts on Line 13 based on current year Plant Study.  Amounts on Line 1 shall be based previous year Plant Study, and </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</si>
  <si>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</si>
  <si>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</si>
  <si>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</si>
  <si>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</si>
  <si>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</si>
  <si>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</si>
  <si>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</si>
  <si>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</si>
  <si>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</si>
  <si>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</si>
  <si>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</si>
  <si>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</si>
  <si>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</si>
  <si>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</si>
  <si>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</si>
  <si>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</si>
  <si>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</si>
  <si>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</si>
  <si>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</si>
  <si>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</si>
  <si>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</si>
  <si>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</si>
  <si>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</si>
  <si>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</si>
  <si>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</si>
  <si>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</si>
  <si>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</si>
  <si>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</si>
  <si>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</si>
  <si>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</si>
  <si>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</si>
  <si>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</si>
  <si>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</si>
  <si>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</si>
  <si>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</si>
  <si>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</si>
  <si>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</si>
  <si>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</si>
  <si>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</si>
  <si>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</si>
  <si>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</si>
  <si>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</si>
  <si>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</si>
  <si>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</si>
  <si>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</si>
  <si>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</si>
  <si>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</si>
  <si>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</si>
  <si>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</si>
  <si>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</si>
  <si>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</si>
  <si>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</si>
  <si>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</si>
  <si>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</si>
  <si>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</si>
  <si>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</si>
  <si>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</si>
  <si>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</si>
  <si>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</si>
  <si>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</si>
  <si>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</si>
  <si>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</si>
  <si>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</si>
  <si>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</si>
  <si>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</si>
  <si>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</si>
  <si>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</si>
  <si>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</si>
  <si>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</si>
  <si>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</si>
  <si>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</si>
  <si>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</si>
  <si>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</si>
  <si>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</si>
  <si>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</si>
  <si>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</si>
  <si>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</si>
  <si>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add additional projects below this line (See Instruction 3)</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</si>
  <si>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</si>
  <si>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</si>
  <si>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</si>
  <si>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</si>
  <si>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</si>
  <si>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</si>
  <si>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</si>
  <si>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</si>
  <si>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</si>
  <si>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 Prior Month C9
 + C8</t>
  </si>
  <si>
    <t>3) Non-Incentive Plant Forecast (See Note 1)</t>
  </si>
  <si>
    <t>= Prior Month C2
+C2+C5+C6</t>
  </si>
  <si>
    <t>December Prior Year plant balances and accrual rates are as shown on Schedule 17 Depreciation</t>
  </si>
  <si>
    <t>Check of above-described condition:</t>
  </si>
  <si>
    <t>Years</t>
  </si>
  <si>
    <t>Absolute Value of sum of a and b:</t>
  </si>
  <si>
    <t>20% of Two-Year Forecast PBOPs Expenses</t>
  </si>
  <si>
    <t xml:space="preserve">Is Filing Necessary? </t>
  </si>
  <si>
    <t>Amount of PBOPs Expenses that SCE must</t>
  </si>
  <si>
    <t>(C1)</t>
  </si>
  <si>
    <t>(C2)</t>
  </si>
  <si>
    <t>(C3)</t>
  </si>
  <si>
    <t>file for if filing is necessary:</t>
  </si>
  <si>
    <t xml:space="preserve">50% of </t>
  </si>
  <si>
    <t xml:space="preserve">Filing </t>
  </si>
  <si>
    <t xml:space="preserve">PBOPs </t>
  </si>
  <si>
    <t>Recovery</t>
  </si>
  <si>
    <t>Expenses</t>
  </si>
  <si>
    <t>Current Authorized PBOPs Expense Amount:</t>
  </si>
  <si>
    <t>Over (-) or</t>
  </si>
  <si>
    <t>Under (+)</t>
  </si>
  <si>
    <t xml:space="preserve">First Year currently-effective </t>
  </si>
  <si>
    <t xml:space="preserve">Sum of above </t>
  </si>
  <si>
    <t xml:space="preserve">b) The sum of SCE's PBOPs Expense amount to be recovered under its Formula Rate for the current year </t>
  </si>
  <si>
    <t>and the next year at the current Authorized PBOPs Expense Amount ("Projected Recovery").</t>
  </si>
  <si>
    <t>Projected Expense:</t>
  </si>
  <si>
    <t>Sum of first two years of Forecast PBOPs Expenses</t>
  </si>
  <si>
    <t>Projected Recovery:</t>
  </si>
  <si>
    <t>Projected Expense less Projected Recovery</t>
  </si>
  <si>
    <t>Five Year Forecast PBOPs Expenses:</t>
  </si>
  <si>
    <t>Rate Year and Immediately succeeding Rate Year:</t>
  </si>
  <si>
    <t>PBOPs Filing Determination</t>
  </si>
  <si>
    <t>Determination of PBOPs Filing Requirement and PBOPs Filing Amounts</t>
  </si>
  <si>
    <t>If amount on Line 3 is greater than amount on Line 4, then SCE must make filing.</t>
  </si>
  <si>
    <t>If (L3&gt;L4) then "Yes", else "No"</t>
  </si>
  <si>
    <t>Pursuant to Section 8.b of the formula rate protocols, SCE must make a filing to adjust the current Authorized PBOPs Expense Amount</t>
  </si>
  <si>
    <t>Note 2, Line i</t>
  </si>
  <si>
    <t>(d+e) * 0.2</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</si>
  <si>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</si>
  <si>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</si>
  <si>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</si>
  <si>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</si>
  <si>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</si>
  <si>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</si>
  <si>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</si>
  <si>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</si>
  <si>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</si>
  <si>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</si>
  <si>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</si>
  <si>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</si>
  <si>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</si>
  <si>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</si>
  <si>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</si>
  <si>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</si>
  <si>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</si>
  <si>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</si>
  <si>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</si>
  <si>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</si>
  <si>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</si>
  <si>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</si>
  <si>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</si>
  <si>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</si>
  <si>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f) EPRI and EEI Expenses</t>
  </si>
  <si>
    <t>c) Calculation of EPRI and EEI Expense Exclusion</t>
  </si>
  <si>
    <t>EEI Expenses</t>
  </si>
  <si>
    <t>EPRI and EEI Expense Exclusion</t>
  </si>
  <si>
    <t>Sum of EPRI and EEI Expenses</t>
  </si>
  <si>
    <t>5) EPRI and EEI Expense Exclusion</t>
  </si>
  <si>
    <t xml:space="preserve">50% of the total balance in Column 1, plus an amount equal to the "Labor Percentage Gas, Generation, or Other" shown on Line E of Instruction 1 times 50% of the total balance in Column 1. </t>
  </si>
  <si>
    <t>The remaining amount shall be included in Column 6 "Labor Related".</t>
  </si>
  <si>
    <t>Preferred Stock Amount -- Account 204 (Note 8):</t>
  </si>
  <si>
    <t xml:space="preserve">8) Amount in Column 2 from FF1 112.3d, amount in Column 14 from FF1 112.3c, amounts in columns 3-13 from SCE internal records. </t>
  </si>
  <si>
    <t>9) Amounts in columns 2-14 are from SCE internal records.</t>
  </si>
  <si>
    <t>10) Amounts in columns 2-14 are from SCE internal records.</t>
  </si>
  <si>
    <t>Net Gain (Loss) From Purchase and Tender Offers Note 10):</t>
  </si>
  <si>
    <t>Total Proprietary Capital (Note 11):</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</si>
  <si>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</si>
  <si>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</si>
  <si>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</si>
  <si>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Note 2, d-h</t>
  </si>
  <si>
    <t>Calculation for Columns 2 and 3</t>
  </si>
  <si>
    <t>C2 = L1 * 0.5, C3 = C1 + C2</t>
  </si>
  <si>
    <t>C2 NA, C3 =Avg of L7,L8,L9, C1</t>
  </si>
  <si>
    <t>Absolute Value (Sum of L1 and L2)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</si>
  <si>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</si>
  <si>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</si>
  <si>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</si>
  <si>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</si>
  <si>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</si>
  <si>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</si>
  <si>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 xml:space="preserve">5) </t>
  </si>
  <si>
    <t>Not Used</t>
  </si>
  <si>
    <t>NOT USED</t>
  </si>
  <si>
    <t xml:space="preserve">4) </t>
  </si>
  <si>
    <t>Remaining A&amp;G after exclusions &amp; NOIC Adjustment:</t>
  </si>
  <si>
    <t>NOIC</t>
  </si>
  <si>
    <t xml:space="preserve">Note 2: Non-Officer Incentive Compensation ("NOIC") Adjustment </t>
  </si>
  <si>
    <t>(NOIC includes Results Sharing, Management Incentive Program, and Non-Officer Executive Incentive Compensation).</t>
  </si>
  <si>
    <t xml:space="preserve">Adjust NOIC by excluding accrued NOIC Amount and replacing with the </t>
  </si>
  <si>
    <t>Accrued NOIC Amount:</t>
  </si>
  <si>
    <t>Actual A&amp;G NOIC payout:</t>
  </si>
  <si>
    <t>2) Fill out "Itemization of Exclusions" table for all input cells. NOIC amount in</t>
  </si>
  <si>
    <t xml:space="preserve">2) Beginning with Prior Year 2012, any amount of Officer Executive Incentive Compensation ("OEIC")  in excess of the amount </t>
  </si>
  <si>
    <t xml:space="preserve">    authorized by the CPUC in Decision D.12-11-051 or subsequent decision.</t>
  </si>
  <si>
    <t xml:space="preserve">3) Beginning with Prior Year 2012, any amount of Supplemental Executive Retirement Plan ("SERP") in excess of the amount </t>
  </si>
  <si>
    <t>4) Beginning with Prior Year 2012, any amount of NOIC in excess of the amount authorized by the CPUC in Decision D.12-11-051 or subsequent decision.</t>
  </si>
  <si>
    <t>5) Any Spot Bonus costs.</t>
  </si>
  <si>
    <t>6) Any Awards to Celebrate Excellence  ("ACE") costs.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</si>
  <si>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</si>
  <si>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</si>
  <si>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</si>
  <si>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</si>
  <si>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</si>
  <si>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</si>
  <si>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</si>
  <si>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</si>
  <si>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</si>
  <si>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</si>
  <si>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</si>
  <si>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</si>
  <si>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</si>
  <si>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</si>
  <si>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</si>
  <si>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</si>
  <si>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</si>
  <si>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</si>
  <si>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</si>
  <si>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</si>
  <si>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</si>
  <si>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</si>
  <si>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</si>
  <si>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</si>
  <si>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</si>
  <si>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</si>
  <si>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</si>
  <si>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</si>
  <si>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</si>
  <si>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</si>
  <si>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</si>
  <si>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</si>
  <si>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</si>
  <si>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</si>
  <si>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</si>
  <si>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1) Depreciation rates on Lines 17a-17m input from Schedule 18.  However, in the event of a mid-year change in depreciation rates approved by the Commission,</t>
  </si>
  <si>
    <t xml:space="preserve">the rates stated on Schedule 18 will represent end of Prior Year rates.  To correctly calculate depreciation expense for Transmission Plant - ISO for the entire  </t>
  </si>
  <si>
    <t xml:space="preserve">Prior Year, input depreciation rates from Schedule 18 only for those months during which the new rates were in effect, and input previous </t>
  </si>
  <si>
    <t>effective rates in the months for which they were in effect.</t>
  </si>
  <si>
    <t xml:space="preserve">5) Enter any One Time Adjustments on Column 4, Line 11 (or other appropriate).  If SCE is owed enter as positive, if SCE is to return to customers enter as negative.  </t>
  </si>
  <si>
    <t>c) Reliability Services Revenue.</t>
  </si>
  <si>
    <t>b) Transmission Access Charge Balancing Account Adjustment.</t>
  </si>
  <si>
    <t xml:space="preserve">a) Transmission Revenue Balancing Account Adjustment revenue. </t>
  </si>
  <si>
    <t>1) Not Used</t>
  </si>
  <si>
    <t>2) Not Used</t>
  </si>
  <si>
    <t xml:space="preserve">6) </t>
  </si>
  <si>
    <t xml:space="preserve">7) </t>
  </si>
  <si>
    <t xml:space="preserve">2) </t>
  </si>
  <si>
    <t>3) Update notes 9 and 10 as necessary.</t>
  </si>
  <si>
    <t>a) Depreciation Expense (on Lines 40 to 51) for the same month;</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</si>
  <si>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</si>
  <si>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</si>
  <si>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3) Includes recorded Transmission Plant-In-Service additions, retirements, transfers and adjustments.  From SCE internal acounting records.</t>
  </si>
  <si>
    <t>3) Total annual amortization associated with events listed in note 10 on 5-ROR-2.</t>
  </si>
  <si>
    <t>4) Total annual amortization associated with preferred equity issues listed in note 9 on 5-ROR-2.</t>
  </si>
  <si>
    <t>Sum of Column D, Line 43 and Column G, Line 32</t>
  </si>
  <si>
    <t xml:space="preserve">Instruction 3: For any balances in account 190 relating to "Executive Incentive Comp" or "Executive Incentive Plan", the amount included in Column 3 "Gas, Generation or Other Related" shall be </t>
  </si>
  <si>
    <t>Instruction 4: Classify any ADIT line items relating to refunding and retirement of debt as Plant related (Column 5).</t>
  </si>
  <si>
    <t>Instruction 5: For any balances in account 190 relating to stock options, the entire amount is included in Column 3 “Gas, Generation or Other Related.”</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</si>
  <si>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</si>
  <si>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</si>
  <si>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</si>
  <si>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</si>
  <si>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</si>
  <si>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</si>
  <si>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</si>
  <si>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</si>
  <si>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</si>
  <si>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</si>
  <si>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</si>
  <si>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</si>
  <si>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</si>
  <si>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</si>
  <si>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</si>
  <si>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</si>
  <si>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</si>
  <si>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</si>
  <si>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</si>
  <si>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</si>
  <si>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</si>
  <si>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</si>
  <si>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</si>
  <si>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</si>
  <si>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</si>
  <si>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</si>
  <si>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</si>
  <si>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</si>
  <si>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</si>
  <si>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</si>
  <si>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</si>
  <si>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3) Amortization of December balance over Rate Effective Period:</t>
  </si>
  <si>
    <t>1) Enter applicable years on Column 1, Lines 11-34 and 43-54.</t>
  </si>
  <si>
    <t>2) Enter Previous Period True Up Adjustment (if any) on Column 4, Lines 23-34.  See Note 4 for definition of Previous Period True Up Adjustment.</t>
  </si>
  <si>
    <t>18 C.F.R. §35.19a on lines 11 to 34, Column 6.  If interest rate for any months not known, use most recent known month.</t>
  </si>
  <si>
    <t>4) Enter "Total Amortization" amount on Line 57, column 6 to set September Month Ending Balance Column 7, Line 54 equal to $0.  Iterate if necessary to solve.</t>
  </si>
  <si>
    <t>(i.e., so that the Month Beginning Balance in Column 3, Line 43 is completely amortized away by the Amortization amounts in Column 4).</t>
  </si>
  <si>
    <t>6) Fill in matrix of all retail revenues from Prior Year in table on lines 95 to 106.</t>
  </si>
  <si>
    <t>7) Enter Total Sales to Ultimate Consumers on line 109 and verify that it equals the total on line 107.</t>
  </si>
  <si>
    <t>These are the 12 monthly values of the "True Up Adjustment Received/Returned" in Column 8, Lines 43 -54 from the previous Informational Filing,</t>
  </si>
  <si>
    <t>They are input into Column 4, lines 23-34 of this current Informational Filing, corresponding to the Rate Effective Period of the previous Informational Filing.</t>
  </si>
  <si>
    <t>8) The Interest Rate in Rate Effective Period is equal to average of interest rates in previous 12 months (lines 23-34).</t>
  </si>
  <si>
    <t>9) The "Month Beginning Balance"  is Month Ending Balance from previous month in Column 7 (January is from Column 9, Line 34).</t>
  </si>
  <si>
    <t>10) Amortization equals amount in Line 57 divided by 12 each month.  See Instruction #4 also for further detail.</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</si>
  <si>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</si>
  <si>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</si>
  <si>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</si>
  <si>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</si>
  <si>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</si>
  <si>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</si>
  <si>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</si>
  <si>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</si>
  <si>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</si>
  <si>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</si>
  <si>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</si>
  <si>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Column 8, Line 55</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</si>
  <si>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</si>
  <si>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</si>
  <si>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</si>
  <si>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</si>
  <si>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</si>
  <si>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</si>
  <si>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</si>
  <si>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</si>
  <si>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</si>
  <si>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</si>
  <si>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</si>
  <si>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</si>
  <si>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</si>
  <si>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</si>
  <si>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</si>
  <si>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</si>
  <si>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</si>
  <si>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</si>
  <si>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</si>
  <si>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</si>
  <si>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</si>
  <si>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</si>
  <si>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</si>
  <si>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</si>
  <si>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</si>
  <si>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</si>
  <si>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</si>
  <si>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</si>
  <si>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</si>
  <si>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</si>
  <si>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</si>
  <si>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</si>
  <si>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</si>
  <si>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</si>
  <si>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</si>
  <si>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</si>
  <si>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</si>
  <si>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</si>
  <si>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</si>
  <si>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</si>
  <si>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</si>
  <si>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</si>
  <si>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</si>
  <si>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</si>
  <si>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</si>
  <si>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</si>
  <si>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</si>
  <si>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</si>
  <si>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</si>
  <si>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</si>
  <si>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</si>
  <si>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</si>
  <si>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</si>
  <si>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</si>
  <si>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</si>
  <si>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</si>
  <si>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</si>
  <si>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</si>
  <si>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</si>
  <si>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</si>
  <si>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</si>
  <si>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</si>
  <si>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</si>
  <si>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</si>
  <si>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</si>
  <si>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</si>
  <si>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</si>
  <si>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</si>
  <si>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</si>
  <si>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</si>
  <si>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</si>
  <si>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</si>
  <si>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</si>
  <si>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</si>
  <si>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</si>
  <si>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</si>
  <si>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</si>
  <si>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</si>
  <si>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</si>
  <si>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</si>
  <si>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</si>
  <si>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</si>
  <si>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</si>
  <si>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</si>
  <si>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</si>
  <si>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</si>
  <si>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</si>
  <si>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</si>
  <si>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</si>
  <si>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</si>
  <si>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H:  Excludes shareholder funded costs.</t>
  </si>
  <si>
    <t>In the event that the Formula Rate timelines in effect during the previous Informational Filing differ from this Informational Filing, enter the Previous Period True Up Adjustment</t>
  </si>
  <si>
    <t>in this Informational Filing on the lines corrresponding to the Rate Effective Period from the previous Informational Filing.</t>
  </si>
  <si>
    <t>4) Cost Adjustment may be included as provided in the Tariff protocols.</t>
  </si>
  <si>
    <t>1/16 (O&amp;M + A&amp;G)</t>
  </si>
  <si>
    <t>Beginning of Year Amount</t>
  </si>
  <si>
    <t>End of Year Amount</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</si>
  <si>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</si>
  <si>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</si>
  <si>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</si>
  <si>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</si>
  <si>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</si>
  <si>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</si>
  <si>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</si>
  <si>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</si>
  <si>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</si>
  <si>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</si>
  <si>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</si>
  <si>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divided by total labor in these same accounts (column 3):</t>
  </si>
  <si>
    <t>Straddle Subs (Cross 200 kV boundary):</t>
  </si>
  <si>
    <t>G: Exclude any amount of ACE awards or Spot Bonuses in O&amp;M accounts 560-592.</t>
  </si>
  <si>
    <t>F:  Exclude amount of costs transfered to account from A&amp;G Account 920 pursuant to Order 668.</t>
  </si>
  <si>
    <t>E: Add NOIC annual payout.</t>
  </si>
  <si>
    <t>569.100 - Hardware</t>
  </si>
  <si>
    <t>569.200 - Software</t>
  </si>
  <si>
    <t>569.300 - Communication</t>
  </si>
  <si>
    <t>Gross Plant that can directly be determined to be HV or LV:</t>
  </si>
  <si>
    <t>B) Return on Capital</t>
  </si>
  <si>
    <t>C) Income Taxes</t>
  </si>
  <si>
    <t>D) True Up TRR Calculation</t>
  </si>
  <si>
    <t>E) Calculation of final True Up TRR with Franchise Fees and Uncollectibles Expenses</t>
  </si>
  <si>
    <t xml:space="preserve">1) No change in Return on Common Equity will be made absent a Section 205 filing at the Commission. </t>
  </si>
  <si>
    <t>AFCRCWIP = CLTD  + (COS * (1/(1 - CTR)))</t>
  </si>
  <si>
    <t xml:space="preserve">Year </t>
  </si>
  <si>
    <t>= Sum (Cols. 2-14)/13</t>
  </si>
  <si>
    <t>Reacquired Bonds -- Account 222 (Note 2): enter - of FF1</t>
  </si>
  <si>
    <t xml:space="preserve">Unamortized Issuance Costs (Note 9): enter negative </t>
  </si>
  <si>
    <t>Unappropriated Undist. Sub. Earnings -- Acct. 216.1 (Note 12): enter - of FF1</t>
  </si>
  <si>
    <t>Accumulated Other Comprehensive Loss -- Account 219 (Note 13):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</si>
  <si>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</si>
  <si>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</si>
  <si>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</si>
  <si>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</si>
  <si>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</si>
  <si>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</si>
  <si>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</si>
  <si>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</si>
  <si>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</si>
  <si>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</si>
  <si>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</si>
  <si>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</si>
  <si>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</si>
  <si>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Includes Schedules D, D-CARE, D-FERA,TOU-D-T, TOU-EV-1, TOU-D-TEV, DE, D-SDP, D-SDP-O, DM, DMS-1, DMS-2, DMS-3, and DS.</t>
  </si>
  <si>
    <t>Includes Schedules TC-1, Wi-Fi-1, and WTR.</t>
  </si>
  <si>
    <t>Includes Schedules  PA-1, PA-2, TOU-PA-ICE, and TOU-PA-2 (Option A, B, RTP, SOP-1, SOP-2, CPP, Standby, and AP-I).</t>
  </si>
  <si>
    <t>Includes Schedules  TOU-PA-3-CPP, and TOU-PA-3 (Option A, B, RTP, SOP-1, SOP-2, Standby, and AP-I).</t>
  </si>
  <si>
    <t>4o</t>
  </si>
  <si>
    <t>Conn-Charge - Residential</t>
  </si>
  <si>
    <t>4p</t>
  </si>
  <si>
    <t>Conn-Charge - Non-Residential</t>
  </si>
  <si>
    <t>4q</t>
  </si>
  <si>
    <t>Conn-Charge - At Pole</t>
  </si>
  <si>
    <t>Includes Schedules GS-1, TOU-EV-3, and TOU-GS-1 (Option A, B, RTP, CPP, Standby, GS-APS, GS-APS-E, and ME).</t>
  </si>
  <si>
    <t xml:space="preserve">Includes Schedules GS-2, TOU-EV-4, and TOU-GS-2 (Option A, B, R, RTP, CPP, Standby, GS-APS, GS-APS-E, and ME). </t>
  </si>
  <si>
    <t>Includes Schedules TOU-GS-3-CPP, and TOU-GS-3 (Option A, B, R, RTP, SOP, Standby, TOU-BIP, GS-APS, GS-APS-E, and ME).</t>
  </si>
  <si>
    <t>Includes Schedules TOU-8-Standby (Option B, RTP, TOU-BIP, GS-APS, GS-APS-E, and ME).</t>
  </si>
  <si>
    <t>6-PlantInService Line 15.</t>
  </si>
  <si>
    <t>6-PlantInService Line 16.</t>
  </si>
  <si>
    <r>
      <t xml:space="preserve">Complete Lines 1-9 of this Schedule every other Annual Update beginning with the </t>
    </r>
    <r>
      <rPr>
        <sz val="10"/>
        <rFont val="Arial"/>
        <family val="2"/>
      </rPr>
      <t>Annual Update submitted in 2014 (for Rate Year 2015).</t>
    </r>
  </si>
  <si>
    <t>Complete Lines 10-14 every Annual Update beginning with the Annual Update submitted in 2014 (for Rate Year 2015).</t>
  </si>
  <si>
    <t>if the absolute value of the sum of the Cumulative PBOPs Recovery Difference and the Future PBOPs Recovery Difference is greater</t>
  </si>
  <si>
    <t>than 20% of the sum of SCE's forecast PBOPs expense for the current year and the following year.</t>
  </si>
  <si>
    <t>Cumulative PBOPs Recovery Difference</t>
  </si>
  <si>
    <t>Future PBOPs Recovery Difference</t>
  </si>
  <si>
    <t>Calculation of PBOPs True Up TRR Adjustment (See Note 3):</t>
  </si>
  <si>
    <t>Authorized PBOPs Expense Amount for Prior Year:</t>
  </si>
  <si>
    <t>Note 1 for Prior Year</t>
  </si>
  <si>
    <t>Sch. 20 Note 3, Line a</t>
  </si>
  <si>
    <t>Reduction from previous year:</t>
  </si>
  <si>
    <t>Wages and Salaries Allocation Factor:</t>
  </si>
  <si>
    <t>PBOPs True Up TRR Adjustment:</t>
  </si>
  <si>
    <t xml:space="preserve">1) The Cumulative PBOPs Recovery Difference is the cumulative over-recovery or under-recovery of SCE’s PBOPs expense amount </t>
  </si>
  <si>
    <t xml:space="preserve">during the period beginning on the date the currently-effective Authorized PBOB Expense Amounts became effective and </t>
  </si>
  <si>
    <t>ending on December 31 of the immediately preceding year (“Prior PBOPs Recovery Period”)</t>
  </si>
  <si>
    <t>Decision</t>
  </si>
  <si>
    <t>Current Authorized PBOPs Expense Amounts:</t>
  </si>
  <si>
    <t>(See Instruction 1)</t>
  </si>
  <si>
    <r>
      <t>Calculation of Cumulative PBOPs Recovery Difference (see Instruction 2</t>
    </r>
    <r>
      <rPr>
        <sz val="10"/>
        <rFont val="Arial"/>
        <family val="2"/>
      </rPr>
      <t>):</t>
    </r>
  </si>
  <si>
    <t>(C4)</t>
  </si>
  <si>
    <t>(C5)</t>
  </si>
  <si>
    <t>= C2 - C3</t>
  </si>
  <si>
    <t>= C1 - C4</t>
  </si>
  <si>
    <t>Adjusted</t>
  </si>
  <si>
    <t>PBOPs Amounts became effective:</t>
  </si>
  <si>
    <t>Cumulative PBOPs Recovery Difference:</t>
  </si>
  <si>
    <t>2) The Future PBOPs Recovery Difference is the difference between:</t>
  </si>
  <si>
    <t>a) The sum of SCE's Forecast PBOPs Expense for the current year and next year ("Projected Expense"); and</t>
  </si>
  <si>
    <t>Calculation of Future PBOPs Recovery Difference:</t>
  </si>
  <si>
    <t>Sum from Note 1 for current and next year.</t>
  </si>
  <si>
    <t>Future PBOPs Recovery Difference:</t>
  </si>
  <si>
    <t>Forecast PBOPs</t>
  </si>
  <si>
    <t>Twenty Percent of sum of forecast PBOPs Expense for current</t>
  </si>
  <si>
    <t>3) The PBOPs True Up TRR Adjustment determines the amount by which the True Up TRR for the Prior Year should be adjusted in order to correctly reflect the</t>
  </si>
  <si>
    <t>Authorized PBOPs Expense Amount that was in effect for the Prior Year (rather than the stated amount that is in effect for the current year as shown on</t>
  </si>
  <si>
    <t>Schedule 20, Note 3, Line a).</t>
  </si>
  <si>
    <t>1) "Current Authorized PBOPs Expense Amounts" in Note 1 are the amounts in effect beginning the first year these amounts were authorized.</t>
  </si>
  <si>
    <t>This schedule is to be filled out (if required by the protocols) utilizing the amounts in effect at that time.  If a filing to revise the Authorized</t>
  </si>
  <si>
    <t>PBOPs Expense Amounts is required, SCE shall make such filing after the Draft Annual Update is posted.</t>
  </si>
  <si>
    <t>SCE shall request that the Commission make the revised Authorized PBOPs Expense Amounts (as determined on Lines 5-9) effective beginning on</t>
  </si>
  <si>
    <t>January 1 of the filing year.</t>
  </si>
  <si>
    <t xml:space="preserve">If the Commission approves SCE's filing, the Authorized PBOPs Expense Amount on Schedule 20, Note 3, Line a for the subsequent </t>
  </si>
  <si>
    <t>Annual Update shall then correspond to the first "Filing PBOPs Expense" in Column 3, Line 5 above.  Absent another filing, subsequent Authorized</t>
  </si>
  <si>
    <t>PBOPs Expense Amounts in subsequent Annual Updates will correspond to the amounts in lines 6-9.</t>
  </si>
  <si>
    <t>2) Fill out table through the year immediately preceeding the current calendar year in which the Annual Update is filed.</t>
  </si>
  <si>
    <t>Enter in C1 "PBOPs Expenses" for each year equal to SCE's actual PBOPs expenses.</t>
  </si>
  <si>
    <t>Enter in C2 PBOPs Recovery based on Commission-approved amounts from most recent PBOPs filing for each year in Prior PBOPs Recovery Period.</t>
  </si>
  <si>
    <t>Enter in C3 "Previous Over (-) or Under (+) Recovery" from previous filing to revise PBOPs amounts (Lines 5 and 6, C2), if any.  Enter with same sign,</t>
  </si>
  <si>
    <t>and corresponding to the years over which it was amortized.</t>
  </si>
  <si>
    <t xml:space="preserve">C4 "Adjusted PBOPs Recovery" represents PBOPs Recovery with the previous period over or undercollection removed. </t>
  </si>
  <si>
    <t>27a</t>
  </si>
  <si>
    <t>PBOPs True Up TRR Adjustment</t>
  </si>
  <si>
    <t xml:space="preserve"> and the American Reinvestment Recovery Act for the Tehachapi Wind Energy Storage Project.</t>
  </si>
  <si>
    <t>d) Amounts resulting from input errors impacting the True Up TRR in a previous Formula Rate filing pursuant to Protocol Section 3(d)(8).</t>
  </si>
  <si>
    <t>One Time True Up Adjustment amounts (see Instruction #5) attributable to a previous Prior Year are entered on Column 4, Line 11 (or other appropriate).</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</si>
  <si>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</si>
  <si>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</si>
  <si>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</si>
  <si>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</si>
  <si>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</si>
  <si>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</si>
  <si>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</si>
  <si>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</si>
  <si>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</si>
  <si>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</si>
  <si>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</si>
  <si>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</si>
  <si>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</si>
  <si>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</si>
  <si>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</si>
  <si>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</si>
  <si>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</si>
  <si>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</si>
  <si>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 xml:space="preserve">  D (Option CPP), D-CARE (Option CPP), TOU-D-Option A, TOU-D-Option B, TOU-D-3</t>
  </si>
  <si>
    <t>Includes Schedules TOU-8-CPP, TOU-8-RBU, and TOU-8 (Option A, B, R, RTP, TOU-BIP, GS-APS, GS-APS-E, Backup-B, and ME).</t>
  </si>
  <si>
    <t>Includes Schedules TOU-8-Standby (Option A, A2, B, RTP, TOU-BIP, GS-APS, GS-APS-E, and ME).</t>
  </si>
  <si>
    <t>Includes Schedules AL-2, AL-2-B, DWL, LS-1, LS-2, LS-3, LS-3-B, and OL-1.</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</si>
  <si>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</si>
  <si>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</si>
  <si>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</si>
  <si>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</si>
  <si>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</si>
  <si>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</si>
  <si>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</si>
  <si>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</si>
  <si>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</si>
  <si>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</si>
  <si>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</si>
  <si>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</si>
  <si>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</si>
  <si>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</si>
  <si>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</si>
  <si>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</si>
  <si>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</si>
  <si>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</si>
  <si>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</si>
  <si>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</si>
  <si>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</si>
  <si>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</si>
  <si>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</si>
  <si>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</si>
  <si>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</si>
  <si>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</si>
  <si>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</si>
  <si>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</si>
  <si>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</si>
  <si>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</si>
  <si>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</si>
  <si>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</si>
  <si>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</si>
  <si>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</si>
  <si>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</si>
  <si>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</si>
  <si>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</si>
  <si>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</si>
  <si>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</si>
  <si>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</si>
  <si>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</si>
  <si>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</si>
  <si>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</si>
  <si>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</si>
  <si>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</si>
  <si>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</si>
  <si>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</si>
  <si>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</si>
  <si>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</si>
  <si>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</si>
  <si>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</si>
  <si>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</si>
  <si>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</si>
  <si>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</si>
  <si>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Present</t>
  </si>
  <si>
    <t>Schedule 28 - Workpaper, Line 3</t>
  </si>
  <si>
    <t>Schedule 28 - Workpaper, Line 4</t>
  </si>
  <si>
    <t>Dec 2016</t>
  </si>
  <si>
    <t>Settlement in ER11-3697</t>
  </si>
  <si>
    <t>2015-2016</t>
  </si>
  <si>
    <t>2017-2018</t>
  </si>
  <si>
    <t>FF1 322.156b</t>
  </si>
  <si>
    <t>2015-2017</t>
  </si>
  <si>
    <t>CPUC D. 15-11-021</t>
  </si>
  <si>
    <t>ER16-2433, Order dated September 28, 2016</t>
  </si>
  <si>
    <t>Rent Billed to Non-Utility Affiliates</t>
  </si>
  <si>
    <t>Line 17, column 3</t>
  </si>
  <si>
    <t>10aa</t>
  </si>
  <si>
    <t>10bb</t>
  </si>
  <si>
    <t>Rent Rev NU-NonBRRBA</t>
  </si>
  <si>
    <t>Fac Cost N/U-BRRBA</t>
  </si>
  <si>
    <t>12eee</t>
  </si>
  <si>
    <t>12fff</t>
  </si>
  <si>
    <t>12ggg</t>
  </si>
  <si>
    <t>12hhh</t>
  </si>
  <si>
    <t>12iii</t>
  </si>
  <si>
    <t>Intercon One Time</t>
  </si>
  <si>
    <t>EV Charging Revenue</t>
  </si>
  <si>
    <t>Energy Reltd Srv-TSP</t>
  </si>
  <si>
    <t>N/U Labor Mrkp-BRRBA</t>
  </si>
  <si>
    <t>24p</t>
  </si>
  <si>
    <t>ECS - Instrastate End User Revenue</t>
  </si>
  <si>
    <t>24q</t>
  </si>
  <si>
    <t>ECS - Intrastate End User Fees</t>
  </si>
  <si>
    <t>4188720</t>
  </si>
  <si>
    <t>LCFS CR 411.8</t>
  </si>
  <si>
    <t>4198132</t>
  </si>
  <si>
    <t>15t</t>
  </si>
  <si>
    <t>15u</t>
  </si>
  <si>
    <t>15v</t>
  </si>
  <si>
    <t>4198134</t>
  </si>
  <si>
    <t>4188716</t>
  </si>
  <si>
    <t>Radial Line Agreement-Base-Mojave Solr</t>
  </si>
  <si>
    <t>Radial Line Agreement-O&amp;M-Mojave Solr</t>
  </si>
  <si>
    <t>ISO Non-Refundable Interconnection Deposit</t>
  </si>
  <si>
    <t>Series E Pref., 6.250%</t>
  </si>
  <si>
    <t>Series G Pref., 5.100%</t>
  </si>
  <si>
    <t>Series H, Pref., 5.75%</t>
  </si>
  <si>
    <t>Series J., Pref., 5.375%</t>
  </si>
  <si>
    <t>Series K Pref., 5.45%</t>
  </si>
  <si>
    <t>8.540% Preferred, premium</t>
  </si>
  <si>
    <t>November 1985</t>
  </si>
  <si>
    <t>Net gain from open-market purchase of 67,400 shares in November 1985</t>
  </si>
  <si>
    <t>12.000% Preferred, redemption</t>
  </si>
  <si>
    <t>February 1986</t>
  </si>
  <si>
    <t>Redemption premium paid to holders (so loss to company)</t>
  </si>
  <si>
    <t>Initial issue discount</t>
  </si>
  <si>
    <t>Series A</t>
  </si>
  <si>
    <t>Fully amortized</t>
  </si>
  <si>
    <t>Series B</t>
  </si>
  <si>
    <t>Redeemed by Series G</t>
  </si>
  <si>
    <t>Series C</t>
  </si>
  <si>
    <t>Series D</t>
  </si>
  <si>
    <t>Redeemed by Series K</t>
  </si>
  <si>
    <t>12jjj</t>
  </si>
  <si>
    <t>Miscellaneous Revenues - ISO</t>
  </si>
  <si>
    <t>2018 TRBAA</t>
  </si>
  <si>
    <t>ER18-154</t>
  </si>
  <si>
    <t>FF1 263.1, Row 30, Column i</t>
  </si>
  <si>
    <t>FF1 263, Row 6, Column i</t>
  </si>
  <si>
    <t>FF1 263, Row 7, Column i</t>
  </si>
  <si>
    <t>FF1 263, Row 8, Column i</t>
  </si>
  <si>
    <t>FF1 263, Row 21, Column i</t>
  </si>
  <si>
    <t>FF1 263, Row 9, Column i</t>
  </si>
  <si>
    <t>FF1 263.1, Row 1, Column i</t>
  </si>
  <si>
    <t>FF1 263, Row 39, Column i</t>
  </si>
  <si>
    <t>Jan 2017</t>
  </si>
  <si>
    <t>Feb 2017</t>
  </si>
  <si>
    <t>Mar 2017</t>
  </si>
  <si>
    <t>Apr 2017</t>
  </si>
  <si>
    <t>May 2017</t>
  </si>
  <si>
    <t>Jun 2017</t>
  </si>
  <si>
    <t>Jul 2017</t>
  </si>
  <si>
    <t>Aug 2017</t>
  </si>
  <si>
    <t>Sep 2017</t>
  </si>
  <si>
    <t>Oct 2017</t>
  </si>
  <si>
    <t>Nov 2017</t>
  </si>
  <si>
    <t>Dec 2017</t>
  </si>
  <si>
    <t>Mesa</t>
  </si>
  <si>
    <t>Alberhill</t>
  </si>
  <si>
    <t>ELM</t>
  </si>
  <si>
    <t>Series Caps</t>
  </si>
  <si>
    <t>ELM Series Capacitors</t>
  </si>
  <si>
    <t>3k) Project:</t>
  </si>
  <si>
    <t>3) South of Kramer</t>
  </si>
  <si>
    <t>4) West of Devers</t>
  </si>
  <si>
    <t>8) Mesa</t>
  </si>
  <si>
    <t>9) Alberhill</t>
  </si>
  <si>
    <t>10) ELM Series Caps</t>
  </si>
  <si>
    <t>d) South of Kramer</t>
  </si>
  <si>
    <t>e) West of Devers</t>
  </si>
  <si>
    <t>i) Mesa</t>
  </si>
  <si>
    <t>j) Alberhill</t>
  </si>
  <si>
    <t>E) South of Kramer Incentives Received:</t>
  </si>
  <si>
    <t>F) West of Devers Incentives Received:</t>
  </si>
  <si>
    <t>J) Mesa</t>
  </si>
  <si>
    <t>161 FERC ¶ 61,107 at P35</t>
  </si>
  <si>
    <t>K) Alberhill</t>
  </si>
  <si>
    <t>161 FERC ¶ 61,107 at P 21</t>
  </si>
  <si>
    <t>L) ELM Series Caps</t>
  </si>
  <si>
    <t>M) Future Incentive Projects</t>
  </si>
  <si>
    <t>k) ELM Series Caps</t>
  </si>
  <si>
    <t>Mesa:</t>
  </si>
  <si>
    <t>Alberhill:</t>
  </si>
  <si>
    <t>ELM Series Caps:</t>
  </si>
  <si>
    <t xml:space="preserve">Alberhill </t>
  </si>
  <si>
    <t>Sub</t>
  </si>
  <si>
    <t xml:space="preserve"> SCE records</t>
  </si>
  <si>
    <t>ER16-2433</t>
  </si>
  <si>
    <t>Series L Pref., 5.00%</t>
  </si>
  <si>
    <t>Six months of amortization in 2017.</t>
  </si>
  <si>
    <t>Series F</t>
  </si>
  <si>
    <t>Redeemed by Series L. Five months of amortization in 2017</t>
  </si>
  <si>
    <t>Excess Deferred Tax Liability - 2017 TCAJA</t>
  </si>
  <si>
    <t>G&amp;H</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</si>
  <si>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</si>
  <si>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</si>
  <si>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</si>
  <si>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</si>
  <si>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</si>
  <si>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</si>
  <si>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</si>
  <si>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</si>
  <si>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</si>
  <si>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</si>
  <si>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</si>
  <si>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</si>
  <si>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</si>
  <si>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</si>
  <si>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</si>
  <si>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</si>
  <si>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</si>
  <si>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</si>
  <si>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</si>
  <si>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</si>
  <si>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</si>
  <si>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</si>
  <si>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</si>
  <si>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</si>
  <si>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</si>
  <si>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</si>
  <si>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Temp - Other/Non-ISO - Gas</t>
  </si>
  <si>
    <t>Gas Related Costs</t>
  </si>
  <si>
    <t>Net Operating Losses DTA - Gas</t>
  </si>
  <si>
    <t>Other Non-ISO Related Costs</t>
  </si>
  <si>
    <t>Temp - Other/Non-ISO - Other</t>
  </si>
  <si>
    <t>Net Operating Losses DTA - Other</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</si>
  <si>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</si>
  <si>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</si>
  <si>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</si>
  <si>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</si>
  <si>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</si>
  <si>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</si>
  <si>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</si>
  <si>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</si>
  <si>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</si>
  <si>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</si>
  <si>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to all Regulated Electric Property</t>
  </si>
  <si>
    <t>Refunding &amp; Retirement of Debt</t>
  </si>
  <si>
    <t>Health Care - IBNR</t>
  </si>
  <si>
    <t>Capitalized Software</t>
  </si>
  <si>
    <t>Non-Rate Base FAS 109 Tax Flow-Thru</t>
  </si>
  <si>
    <t>California Rev. &amp; Tax. Cd. § 23151</t>
  </si>
  <si>
    <t>New Mexico Statutes, ¶12,300 Rates in general</t>
  </si>
  <si>
    <t>Arizona Rev. Stat.Ann. Statute, § 43-1111</t>
  </si>
  <si>
    <t>DC Code Ann. §47-1807.02</t>
  </si>
  <si>
    <t>Internal Revenue Code Section 11(b)(1)(D)</t>
  </si>
  <si>
    <t>FF1 278.9, Row 1, Column e (Act 254)</t>
  </si>
  <si>
    <t>G&amp;I</t>
  </si>
  <si>
    <t>I:  Exclude EEI &amp; EPRI Dues Re-Mapped to FERC Account 930.2 Miscellaneous general expenses.</t>
  </si>
  <si>
    <t>NEM 2.0</t>
  </si>
  <si>
    <t>10cc</t>
  </si>
  <si>
    <t>Power Quality C&amp;I Customer Program</t>
  </si>
  <si>
    <t>12kkk</t>
  </si>
  <si>
    <t>ECS - Interstate End User Tax Exempt</t>
  </si>
  <si>
    <t>ECS- EU USAC E-Rate</t>
  </si>
  <si>
    <t>24r</t>
  </si>
  <si>
    <t>24s</t>
  </si>
  <si>
    <t>Jan 1, 2017</t>
  </si>
  <si>
    <t>Dec 31,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</si>
</sst>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
    <numFmt numFmtId="173" formatCode="0.00000%"/>
    <numFmt numFmtId="174" formatCode="&quot;$&quot;#,##0.00000"/>
    <numFmt numFmtId="175" formatCode="0.0000"/>
    <numFmt numFmtId="176" formatCode="_(&quot;$&quot;* #,##0.00_);_(&quot;$&quot;* \(#,##0.00\);_(&quot;$&quot;* &quot;-&quot;_);_(@_)"/>
    <numFmt numFmtId="177" formatCode="_-* #,##0.00\ _D_M_-;\-* #,##0.00\ _D_M_-;_-* &quot;-&quot;??\ _D_M_-;_-@_-"/>
    <numFmt numFmtId="178" formatCode="_-* #,##0\ _D_M_-;\-* #,##0\ _D_M_-;_-* &quot;-&quot;??\ _D_M_-;_-@_-"/>
    <numFmt numFmtId="179" formatCode="_(&quot;$&quot;* #,##0_);_(&quot;$&quot;* \(#,##0\);_(&quot;$&quot;* &quot;-&quot;??_);_(@_)"/>
    <numFmt numFmtId="180" formatCode="#,##0.0_);[Red]\(#,##0.0\)"/>
    <numFmt numFmtId="181" formatCode="m/d/yy;@"/>
    <numFmt numFmtId="182" formatCode="&quot;$&quot;#,##0.000000"/>
    <numFmt numFmtId="183" formatCode="0_);\(0\)"/>
    <numFmt numFmtId="184" formatCode="[$-409]mmm\-yy;@"/>
    <numFmt numFmtId="185" formatCode="[$-409]mmmm\ d\,\ yyyy;@"/>
    <numFmt numFmtId="186" formatCode="[$-409]d\-mmm;@"/>
    <numFmt numFmtId="187" formatCode="_([$€-2]* #,##0.00_);_([$€-2]* \(#,##0.00\);_([$€-2]* &quot;-&quot;??_)"/>
    <numFmt numFmtId="188" formatCode="0.000000"/>
    <numFmt numFmtId="189" formatCode="[$-409]d\-mmm\-yy;@"/>
    <numFmt numFmtId="190" formatCode="m\-d\-yy"/>
    <numFmt numFmtId="191" formatCode="yymmmmdd"/>
    <numFmt numFmtId="192" formatCode="0.0%;;"/>
    <numFmt numFmtId="193" formatCode="0.000\ \¢"/>
    <numFmt numFmtId="194" formatCode="&quot;$&quot;.00;;"/>
    <numFmt numFmtId="195" formatCode="_-* #,##0.00\ &quot;DM&quot;_-;\-* #,##0.00\ &quot;DM&quot;_-;_-* &quot;-&quot;??\ &quot;DM&quot;_-;_-@_-"/>
    <numFmt numFmtId="196" formatCode="&quot;$&quot;#,##0.00;\-&quot;$&quot;#,##0.00"/>
    <numFmt numFmtId="197" formatCode="_-* #,##0.0_-;\-* #,##0.0_-;_-* &quot;-&quot;??_-;_-@_-"/>
    <numFmt numFmtId="198" formatCode="General_)"/>
    <numFmt numFmtId="199" formatCode="#,##0.00&quot; $&quot;;\-#,##0.00&quot; $&quot;"/>
    <numFmt numFmtId="200" formatCode=";;;"/>
    <numFmt numFmtId="201" formatCode="#,##0;;"/>
    <numFmt numFmtId="202" formatCode="0.00_)"/>
    <numFmt numFmtId="203" formatCode="&quot;$&quot;#,##0_);[Red]\(&quot;$&quot;#,##0\);&quot;-&quot;???"/>
    <numFmt numFmtId="204" formatCode="[$-409]mmmm\-yy;@"/>
    <numFmt numFmtId="205" formatCode="0.0"/>
    <numFmt numFmtId="206" formatCode="0.0%_);[Red]\(0.0%\)"/>
    <numFmt numFmtId="207" formatCode="mm/dd/yy"/>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1"/>
      <color theme="1"/>
      <name val="Arial"/>
      <family val="2"/>
    </font>
    <font>
      <sz val="11"/>
      <color theme="1"/>
      <name val="Arial"/>
      <family val="2"/>
    </font>
    <font>
      <u/>
      <sz val="11"/>
      <color rgb="FFFF0000"/>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u/>
      <sz val="11"/>
      <color theme="1"/>
      <name val="Arial"/>
      <family val="2"/>
    </font>
    <font>
      <b/>
      <sz val="11"/>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57">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s>
  <cellStyleXfs count="53892">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19" fillId="0" borderId="0"/>
    <xf numFmtId="0" fontId="19" fillId="0" borderId="0"/>
    <xf numFmtId="177"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3" fillId="0" borderId="0"/>
    <xf numFmtId="0" fontId="13" fillId="0" borderId="0"/>
    <xf numFmtId="0" fontId="13"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2" fillId="0" borderId="0"/>
    <xf numFmtId="0" fontId="73" fillId="0" borderId="0"/>
    <xf numFmtId="0" fontId="21" fillId="0" borderId="0"/>
    <xf numFmtId="0" fontId="21" fillId="0" borderId="0"/>
    <xf numFmtId="0" fontId="8"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4" fontId="4" fillId="0" borderId="0"/>
    <xf numFmtId="43" fontId="38" fillId="0" borderId="0" applyFont="0" applyFill="0" applyBorder="0" applyAlignment="0" applyProtection="0"/>
    <xf numFmtId="0" fontId="89" fillId="0" borderId="0"/>
    <xf numFmtId="185" fontId="89" fillId="0" borderId="0"/>
    <xf numFmtId="186" fontId="89" fillId="0" borderId="0"/>
    <xf numFmtId="187" fontId="89" fillId="0" borderId="0"/>
    <xf numFmtId="185" fontId="89" fillId="0" borderId="0"/>
    <xf numFmtId="186" fontId="89" fillId="0" borderId="0"/>
    <xf numFmtId="186" fontId="89" fillId="0" borderId="0"/>
    <xf numFmtId="186" fontId="89" fillId="0" borderId="0"/>
    <xf numFmtId="0" fontId="89" fillId="0" borderId="0"/>
    <xf numFmtId="185" fontId="89" fillId="0" borderId="0"/>
    <xf numFmtId="186" fontId="89" fillId="0" borderId="0"/>
    <xf numFmtId="187" fontId="89" fillId="0" borderId="0"/>
    <xf numFmtId="185" fontId="89" fillId="0" borderId="0"/>
    <xf numFmtId="186" fontId="89" fillId="0" borderId="0"/>
    <xf numFmtId="186" fontId="89" fillId="0" borderId="0"/>
    <xf numFmtId="186" fontId="89" fillId="0" borderId="0"/>
    <xf numFmtId="185" fontId="90" fillId="0" borderId="0" applyNumberFormat="0" applyFill="0" applyBorder="0" applyAlignment="0" applyProtection="0">
      <alignment vertical="top"/>
    </xf>
    <xf numFmtId="186" fontId="90" fillId="0" borderId="0" applyNumberFormat="0" applyFill="0" applyBorder="0" applyAlignment="0" applyProtection="0">
      <alignment vertical="top"/>
    </xf>
    <xf numFmtId="185" fontId="91" fillId="0" borderId="0" applyNumberFormat="0" applyFill="0" applyBorder="0" applyAlignment="0" applyProtection="0">
      <alignment vertical="top"/>
    </xf>
    <xf numFmtId="186" fontId="91" fillId="0" borderId="0" applyNumberFormat="0" applyFill="0" applyBorder="0" applyAlignment="0" applyProtection="0">
      <alignment vertical="top"/>
    </xf>
    <xf numFmtId="185" fontId="21" fillId="0" borderId="0" applyNumberFormat="0" applyFill="0" applyBorder="0" applyAlignment="0" applyProtection="0"/>
    <xf numFmtId="185" fontId="21" fillId="0" borderId="0" applyNumberFormat="0" applyFill="0" applyBorder="0" applyAlignment="0" applyProtection="0"/>
    <xf numFmtId="186" fontId="21" fillId="0" borderId="0" applyNumberFormat="0" applyFill="0" applyBorder="0" applyAlignment="0" applyProtection="0"/>
    <xf numFmtId="186" fontId="21" fillId="0" borderId="0" applyNumberFormat="0" applyFill="0" applyBorder="0" applyAlignment="0" applyProtection="0"/>
    <xf numFmtId="185" fontId="92" fillId="0" borderId="0" applyNumberFormat="0" applyFill="0" applyBorder="0" applyAlignment="0" applyProtection="0">
      <alignment vertical="top"/>
    </xf>
    <xf numFmtId="186" fontId="92" fillId="0" borderId="0" applyNumberFormat="0" applyFill="0" applyBorder="0" applyAlignment="0" applyProtection="0">
      <alignment vertical="top"/>
    </xf>
    <xf numFmtId="185" fontId="93" fillId="0" borderId="29" applyBorder="0">
      <alignment horizontal="left"/>
    </xf>
    <xf numFmtId="186" fontId="93" fillId="0" borderId="29" applyBorder="0">
      <alignment horizontal="left"/>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0" fontId="38" fillId="70" borderId="0" applyNumberFormat="0" applyBorder="0" applyAlignment="0" applyProtection="0"/>
    <xf numFmtId="189" fontId="41" fillId="27" borderId="0" applyNumberFormat="0" applyBorder="0" applyAlignment="0" applyProtection="0"/>
    <xf numFmtId="186" fontId="41" fillId="27"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0"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0"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0"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0"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8" fillId="70"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6" fontId="4" fillId="46" borderId="0" applyNumberFormat="0" applyBorder="0" applyAlignment="0" applyProtection="0"/>
    <xf numFmtId="184" fontId="4" fillId="46" borderId="0" applyNumberFormat="0" applyBorder="0" applyAlignment="0" applyProtection="0"/>
    <xf numFmtId="0" fontId="38" fillId="2" borderId="0" applyNumberFormat="0" applyBorder="0" applyAlignment="0" applyProtection="0"/>
    <xf numFmtId="189" fontId="41" fillId="4" borderId="0" applyNumberFormat="0" applyBorder="0" applyAlignment="0" applyProtection="0"/>
    <xf numFmtId="186" fontId="41" fillId="4"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0"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8" fillId="2"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6" fontId="4" fillId="50" borderId="0" applyNumberFormat="0" applyBorder="0" applyAlignment="0" applyProtection="0"/>
    <xf numFmtId="184" fontId="4" fillId="50" borderId="0" applyNumberFormat="0" applyBorder="0" applyAlignment="0" applyProtection="0"/>
    <xf numFmtId="0" fontId="38" fillId="71" borderId="0" applyNumberFormat="0" applyBorder="0" applyAlignment="0" applyProtection="0"/>
    <xf numFmtId="189" fontId="41" fillId="26" borderId="0" applyNumberFormat="0" applyBorder="0" applyAlignment="0" applyProtection="0"/>
    <xf numFmtId="186" fontId="41" fillId="26"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0"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0"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0"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0"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8" fillId="71"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6" fontId="4" fillId="54" borderId="0" applyNumberFormat="0" applyBorder="0" applyAlignment="0" applyProtection="0"/>
    <xf numFmtId="184" fontId="4" fillId="54" borderId="0" applyNumberFormat="0" applyBorder="0" applyAlignment="0" applyProtection="0"/>
    <xf numFmtId="0" fontId="38" fillId="72" borderId="0" applyNumberFormat="0" applyBorder="0" applyAlignment="0" applyProtection="0"/>
    <xf numFmtId="189" fontId="41" fillId="32" borderId="0" applyNumberFormat="0" applyBorder="0" applyAlignment="0" applyProtection="0"/>
    <xf numFmtId="186" fontId="41" fillId="3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0"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0"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0"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0"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8" fillId="7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6" fontId="4" fillId="58" borderId="0" applyNumberFormat="0" applyBorder="0" applyAlignment="0" applyProtection="0"/>
    <xf numFmtId="184" fontId="4" fillId="58" borderId="0" applyNumberFormat="0" applyBorder="0" applyAlignment="0" applyProtection="0"/>
    <xf numFmtId="0" fontId="38" fillId="73" borderId="0" applyNumberFormat="0" applyBorder="0" applyAlignment="0" applyProtection="0"/>
    <xf numFmtId="189" fontId="41" fillId="3" borderId="0" applyNumberFormat="0" applyBorder="0" applyAlignment="0" applyProtection="0"/>
    <xf numFmtId="186" fontId="41" fillId="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0"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0"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0"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0"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8" fillId="7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6" fontId="4" fillId="62" borderId="0" applyNumberFormat="0" applyBorder="0" applyAlignment="0" applyProtection="0"/>
    <xf numFmtId="184" fontId="4" fillId="62" borderId="0" applyNumberFormat="0" applyBorder="0" applyAlignment="0" applyProtection="0"/>
    <xf numFmtId="0" fontId="38" fillId="74" borderId="0" applyNumberFormat="0" applyBorder="0" applyAlignment="0" applyProtection="0"/>
    <xf numFmtId="189" fontId="41" fillId="2" borderId="0" applyNumberFormat="0" applyBorder="0" applyAlignment="0" applyProtection="0"/>
    <xf numFmtId="186" fontId="41" fillId="2"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0"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0"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0"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0"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8" fillId="74"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6" fontId="4" fillId="66" borderId="0" applyNumberFormat="0" applyBorder="0" applyAlignment="0" applyProtection="0"/>
    <xf numFmtId="184" fontId="4" fillId="66" borderId="0" applyNumberFormat="0" applyBorder="0" applyAlignment="0" applyProtection="0"/>
    <xf numFmtId="0" fontId="38" fillId="3" borderId="0" applyNumberFormat="0" applyBorder="0" applyAlignment="0" applyProtection="0"/>
    <xf numFmtId="189" fontId="41" fillId="31" borderId="0" applyNumberFormat="0" applyBorder="0" applyAlignment="0" applyProtection="0"/>
    <xf numFmtId="186" fontId="41" fillId="31"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0"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8" fillId="3"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6" fontId="4" fillId="47" borderId="0" applyNumberFormat="0" applyBorder="0" applyAlignment="0" applyProtection="0"/>
    <xf numFmtId="184" fontId="4" fillId="47" borderId="0" applyNumberFormat="0" applyBorder="0" applyAlignment="0" applyProtection="0"/>
    <xf numFmtId="0" fontId="38" fillId="4" borderId="0" applyNumberFormat="0" applyBorder="0" applyAlignment="0" applyProtection="0"/>
    <xf numFmtId="189" fontId="41" fillId="4" borderId="0" applyNumberFormat="0" applyBorder="0" applyAlignment="0" applyProtection="0"/>
    <xf numFmtId="186" fontId="41"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0"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8"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6" fontId="4" fillId="51" borderId="0" applyNumberFormat="0" applyBorder="0" applyAlignment="0" applyProtection="0"/>
    <xf numFmtId="184" fontId="4" fillId="51" borderId="0" applyNumberFormat="0" applyBorder="0" applyAlignment="0" applyProtection="0"/>
    <xf numFmtId="0" fontId="38" fillId="5" borderId="0" applyNumberFormat="0" applyBorder="0" applyAlignment="0" applyProtection="0"/>
    <xf numFmtId="189" fontId="41" fillId="15" borderId="0" applyNumberFormat="0" applyBorder="0" applyAlignment="0" applyProtection="0"/>
    <xf numFmtId="186" fontId="41" fillId="1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0"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8" fillId="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 fillId="55" borderId="0" applyNumberFormat="0" applyBorder="0" applyAlignment="0" applyProtection="0"/>
    <xf numFmtId="184" fontId="4" fillId="55" borderId="0" applyNumberFormat="0" applyBorder="0" applyAlignment="0" applyProtection="0"/>
    <xf numFmtId="0" fontId="38" fillId="72" borderId="0" applyNumberFormat="0" applyBorder="0" applyAlignment="0" applyProtection="0"/>
    <xf numFmtId="189" fontId="41" fillId="75" borderId="0" applyNumberFormat="0" applyBorder="0" applyAlignment="0" applyProtection="0"/>
    <xf numFmtId="186" fontId="41" fillId="75"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0"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0"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0"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0"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8" fillId="72"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6" fontId="4" fillId="59" borderId="0" applyNumberFormat="0" applyBorder="0" applyAlignment="0" applyProtection="0"/>
    <xf numFmtId="184" fontId="4" fillId="59" borderId="0" applyNumberFormat="0" applyBorder="0" applyAlignment="0" applyProtection="0"/>
    <xf numFmtId="0" fontId="38" fillId="3" borderId="0" applyNumberFormat="0" applyBorder="0" applyAlignment="0" applyProtection="0"/>
    <xf numFmtId="189" fontId="41" fillId="31" borderId="0" applyNumberFormat="0" applyBorder="0" applyAlignment="0" applyProtection="0"/>
    <xf numFmtId="186" fontId="41" fillId="31"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0"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8" fillId="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6" fontId="4" fillId="63" borderId="0" applyNumberFormat="0" applyBorder="0" applyAlignment="0" applyProtection="0"/>
    <xf numFmtId="184" fontId="4" fillId="63" borderId="0" applyNumberFormat="0" applyBorder="0" applyAlignment="0" applyProtection="0"/>
    <xf numFmtId="0" fontId="38" fillId="6" borderId="0" applyNumberFormat="0" applyBorder="0" applyAlignment="0" applyProtection="0"/>
    <xf numFmtId="189" fontId="41" fillId="74" borderId="0" applyNumberFormat="0" applyBorder="0" applyAlignment="0" applyProtection="0"/>
    <xf numFmtId="186" fontId="41" fillId="74"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0"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0"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0"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0"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8" fillId="6"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6" fontId="4" fillId="67" borderId="0" applyNumberFormat="0" applyBorder="0" applyAlignment="0" applyProtection="0"/>
    <xf numFmtId="184" fontId="4" fillId="67" borderId="0" applyNumberFormat="0" applyBorder="0" applyAlignment="0" applyProtection="0"/>
    <xf numFmtId="0" fontId="39" fillId="76" borderId="0" applyNumberFormat="0" applyBorder="0" applyAlignment="0" applyProtection="0"/>
    <xf numFmtId="186" fontId="39" fillId="76" borderId="0" applyNumberFormat="0" applyBorder="0" applyAlignment="0" applyProtection="0"/>
    <xf numFmtId="0"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7"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7" fontId="39" fillId="76"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6" fontId="39" fillId="76" borderId="0" applyNumberFormat="0" applyBorder="0" applyAlignment="0" applyProtection="0"/>
    <xf numFmtId="189" fontId="94" fillId="31" borderId="0" applyNumberFormat="0" applyBorder="0" applyAlignment="0" applyProtection="0"/>
    <xf numFmtId="0" fontId="39" fillId="76" borderId="0" applyNumberFormat="0" applyBorder="0" applyAlignment="0" applyProtection="0"/>
    <xf numFmtId="186" fontId="39" fillId="76" borderId="0" applyNumberFormat="0" applyBorder="0" applyAlignment="0" applyProtection="0"/>
    <xf numFmtId="186" fontId="94" fillId="31" borderId="0" applyNumberFormat="0" applyBorder="0" applyAlignment="0" applyProtection="0"/>
    <xf numFmtId="0" fontId="39" fillId="76"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7"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0" fontId="39" fillId="76"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7"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0" fontId="39" fillId="76"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7" fontId="39" fillId="76"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6" fontId="39" fillId="76" borderId="0" applyNumberFormat="0" applyBorder="0" applyAlignment="0" applyProtection="0"/>
    <xf numFmtId="186" fontId="39" fillId="76"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88" fillId="48" borderId="0" applyNumberFormat="0" applyBorder="0" applyAlignment="0" applyProtection="0"/>
    <xf numFmtId="184" fontId="88" fillId="48"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0"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7"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0"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0"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9" fontId="94"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186" fontId="94" fillId="4" borderId="0" applyNumberFormat="0" applyBorder="0" applyAlignment="0" applyProtection="0"/>
    <xf numFmtId="0" fontId="39"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7"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0" fontId="39" fillId="4"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7"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0"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6" fontId="88" fillId="52" borderId="0" applyNumberFormat="0" applyBorder="0" applyAlignment="0" applyProtection="0"/>
    <xf numFmtId="184" fontId="88" fillId="52"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0"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7"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0"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0"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9" fontId="94" fillId="1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186" fontId="94" fillId="15" borderId="0" applyNumberFormat="0" applyBorder="0" applyAlignment="0" applyProtection="0"/>
    <xf numFmtId="0" fontId="39" fillId="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7"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0" fontId="39" fillId="5"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7"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0"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6" fontId="88" fillId="56" borderId="0" applyNumberFormat="0" applyBorder="0" applyAlignment="0" applyProtection="0"/>
    <xf numFmtId="184" fontId="88" fillId="56"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0"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7"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0"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0"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9" fontId="94" fillId="75"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94" fillId="75" borderId="0" applyNumberFormat="0" applyBorder="0" applyAlignment="0" applyProtection="0"/>
    <xf numFmtId="0" fontId="39" fillId="77"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7"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0" fontId="39" fillId="77"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7"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6" fontId="88" fillId="60" borderId="0" applyNumberFormat="0" applyBorder="0" applyAlignment="0" applyProtection="0"/>
    <xf numFmtId="184" fontId="88" fillId="60"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0"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7"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9" fontId="94" fillId="3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94" fillId="31" borderId="0" applyNumberFormat="0" applyBorder="0" applyAlignment="0" applyProtection="0"/>
    <xf numFmtId="0" fontId="39" fillId="78"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7"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0" fontId="39" fillId="78"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7"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88" fillId="64" borderId="0" applyNumberFormat="0" applyBorder="0" applyAlignment="0" applyProtection="0"/>
    <xf numFmtId="184" fontId="88" fillId="64" borderId="0" applyNumberFormat="0" applyBorder="0" applyAlignment="0" applyProtection="0"/>
    <xf numFmtId="0" fontId="39" fillId="7" borderId="0" applyNumberFormat="0" applyBorder="0" applyAlignment="0" applyProtection="0"/>
    <xf numFmtId="186" fontId="39" fillId="7" borderId="0" applyNumberFormat="0" applyBorder="0" applyAlignment="0" applyProtection="0"/>
    <xf numFmtId="0"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7"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0"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0"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7" fontId="39" fillId="7"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6" fontId="39" fillId="7" borderId="0" applyNumberFormat="0" applyBorder="0" applyAlignment="0" applyProtection="0"/>
    <xf numFmtId="189" fontId="94" fillId="74" borderId="0" applyNumberFormat="0" applyBorder="0" applyAlignment="0" applyProtection="0"/>
    <xf numFmtId="0" fontId="39" fillId="7" borderId="0" applyNumberFormat="0" applyBorder="0" applyAlignment="0" applyProtection="0"/>
    <xf numFmtId="186" fontId="39" fillId="7" borderId="0" applyNumberFormat="0" applyBorder="0" applyAlignment="0" applyProtection="0"/>
    <xf numFmtId="186" fontId="94" fillId="74" borderId="0" applyNumberFormat="0" applyBorder="0" applyAlignment="0" applyProtection="0"/>
    <xf numFmtId="0" fontId="39" fillId="7"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7"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0" fontId="39" fillId="7"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7"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0" fontId="39" fillId="7"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7" fontId="39" fillId="7"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6" fontId="39" fillId="7" borderId="0" applyNumberFormat="0" applyBorder="0" applyAlignment="0" applyProtection="0"/>
    <xf numFmtId="186" fontId="39" fillId="7"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6" fontId="88" fillId="68" borderId="0" applyNumberFormat="0" applyBorder="0" applyAlignment="0" applyProtection="0"/>
    <xf numFmtId="184" fontId="88" fillId="68" borderId="0" applyNumberFormat="0" applyBorder="0" applyAlignment="0" applyProtection="0"/>
    <xf numFmtId="186" fontId="38" fillId="8"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79" borderId="0" applyNumberFormat="0" applyBorder="0" applyAlignment="0" applyProtection="0"/>
    <xf numFmtId="185" fontId="38" fillId="79" borderId="0" applyNumberFormat="0" applyBorder="0" applyAlignment="0" applyProtection="0"/>
    <xf numFmtId="185" fontId="38" fillId="79" borderId="0" applyNumberFormat="0" applyBorder="0" applyAlignment="0" applyProtection="0"/>
    <xf numFmtId="186" fontId="38" fillId="79" borderId="0" applyNumberFormat="0" applyBorder="0" applyAlignment="0" applyProtection="0"/>
    <xf numFmtId="186" fontId="38" fillId="79" borderId="0" applyNumberFormat="0" applyBorder="0" applyAlignment="0" applyProtection="0"/>
    <xf numFmtId="0" fontId="38" fillId="79" borderId="0" applyNumberFormat="0" applyBorder="0" applyAlignment="0" applyProtection="0"/>
    <xf numFmtId="186" fontId="38" fillId="79" borderId="0" applyNumberFormat="0" applyBorder="0" applyAlignment="0" applyProtection="0"/>
    <xf numFmtId="186" fontId="38" fillId="79"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6" fontId="38" fillId="9"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4" fontId="39" fillId="80" borderId="0" applyNumberFormat="0" applyBorder="0" applyAlignment="0" applyProtection="0"/>
    <xf numFmtId="0"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187"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10" borderId="0" applyNumberFormat="0" applyBorder="0" applyAlignment="0" applyProtection="0"/>
    <xf numFmtId="187"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189"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186"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4" fontId="39" fillId="81" borderId="0" applyNumberFormat="0" applyBorder="0" applyAlignment="0" applyProtection="0"/>
    <xf numFmtId="0"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7"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9" fontId="39" fillId="81"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7"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9" fontId="39" fillId="81"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0"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7"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9"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8" fillId="12"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0" fontId="38" fillId="83" borderId="0" applyNumberFormat="0" applyBorder="0" applyAlignment="0" applyProtection="0"/>
    <xf numFmtId="185" fontId="38" fillId="83" borderId="0" applyNumberFormat="0" applyBorder="0" applyAlignment="0" applyProtection="0"/>
    <xf numFmtId="185"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9"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9"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6" fontId="38" fillId="13"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4" fontId="39" fillId="1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9"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186"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4" fontId="39" fillId="84" borderId="0" applyNumberFormat="0" applyBorder="0" applyAlignment="0" applyProtection="0"/>
    <xf numFmtId="0"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7"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9" fontId="39" fillId="84"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7"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9" fontId="39" fillId="84"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0"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7"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9"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8" fillId="16"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85" borderId="0" applyNumberFormat="0" applyBorder="0" applyAlignment="0" applyProtection="0"/>
    <xf numFmtId="185" fontId="38" fillId="85" borderId="0" applyNumberFormat="0" applyBorder="0" applyAlignment="0" applyProtection="0"/>
    <xf numFmtId="185" fontId="38" fillId="85" borderId="0" applyNumberFormat="0" applyBorder="0" applyAlignment="0" applyProtection="0"/>
    <xf numFmtId="186" fontId="38" fillId="85" borderId="0" applyNumberFormat="0" applyBorder="0" applyAlignment="0" applyProtection="0"/>
    <xf numFmtId="186" fontId="38" fillId="85" borderId="0" applyNumberFormat="0" applyBorder="0" applyAlignment="0" applyProtection="0"/>
    <xf numFmtId="0" fontId="38" fillId="85" borderId="0" applyNumberFormat="0" applyBorder="0" applyAlignment="0" applyProtection="0"/>
    <xf numFmtId="186" fontId="38" fillId="85" borderId="0" applyNumberFormat="0" applyBorder="0" applyAlignment="0" applyProtection="0"/>
    <xf numFmtId="186" fontId="38" fillId="85"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9"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9"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6" fontId="38" fillId="17"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86" borderId="0" applyNumberFormat="0" applyBorder="0" applyAlignment="0" applyProtection="0"/>
    <xf numFmtId="185" fontId="38" fillId="86" borderId="0" applyNumberFormat="0" applyBorder="0" applyAlignment="0" applyProtection="0"/>
    <xf numFmtId="185"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0"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4" fontId="39" fillId="87"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87" borderId="0" applyNumberFormat="0" applyBorder="0" applyAlignment="0" applyProtection="0"/>
    <xf numFmtId="185" fontId="39" fillId="87" borderId="0" applyNumberFormat="0" applyBorder="0" applyAlignment="0" applyProtection="0"/>
    <xf numFmtId="186" fontId="39" fillId="87" borderId="0" applyNumberFormat="0" applyBorder="0" applyAlignment="0" applyProtection="0"/>
    <xf numFmtId="186" fontId="39" fillId="87"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88" fillId="53" borderId="0" applyNumberFormat="0" applyBorder="0" applyAlignment="0" applyProtection="0"/>
    <xf numFmtId="186" fontId="88" fillId="53"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186"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4" fontId="39" fillId="88" borderId="0" applyNumberFormat="0" applyBorder="0" applyAlignment="0" applyProtection="0"/>
    <xf numFmtId="0"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7"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9" fontId="39" fillId="14"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9" fontId="39" fillId="14"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7"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0"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7"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9"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4" fontId="39" fillId="88"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8" fillId="17"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83" borderId="0" applyNumberFormat="0" applyBorder="0" applyAlignment="0" applyProtection="0"/>
    <xf numFmtId="185" fontId="38" fillId="83" borderId="0" applyNumberFormat="0" applyBorder="0" applyAlignment="0" applyProtection="0"/>
    <xf numFmtId="185"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8"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4" borderId="0" applyNumberFormat="0" applyBorder="0" applyAlignment="0" applyProtection="0"/>
    <xf numFmtId="185" fontId="38" fillId="14" borderId="0" applyNumberFormat="0" applyBorder="0" applyAlignment="0" applyProtection="0"/>
    <xf numFmtId="185" fontId="38" fillId="14" borderId="0" applyNumberFormat="0" applyBorder="0" applyAlignment="0" applyProtection="0"/>
    <xf numFmtId="186" fontId="38" fillId="14" borderId="0" applyNumberFormat="0" applyBorder="0" applyAlignment="0" applyProtection="0"/>
    <xf numFmtId="186" fontId="38" fillId="14" borderId="0" applyNumberFormat="0" applyBorder="0" applyAlignment="0" applyProtection="0"/>
    <xf numFmtId="0" fontId="38" fillId="14" borderId="0" applyNumberFormat="0" applyBorder="0" applyAlignment="0" applyProtection="0"/>
    <xf numFmtId="186" fontId="38" fillId="14" borderId="0" applyNumberFormat="0" applyBorder="0" applyAlignment="0" applyProtection="0"/>
    <xf numFmtId="186" fontId="38" fillId="14"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9"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9"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4" fontId="39" fillId="17"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88" fillId="57" borderId="0" applyNumberFormat="0" applyBorder="0" applyAlignment="0" applyProtection="0"/>
    <xf numFmtId="186" fontId="88" fillId="57"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186"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4" fontId="39" fillId="90" borderId="0" applyNumberFormat="0" applyBorder="0" applyAlignment="0" applyProtection="0"/>
    <xf numFmtId="0"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7"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9" fontId="39" fillId="89"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9" fontId="39" fillId="89"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7"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0"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7"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9" fontId="39" fillId="89" borderId="0" applyNumberFormat="0" applyBorder="0" applyAlignment="0" applyProtection="0"/>
    <xf numFmtId="0"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4" fontId="39" fillId="90"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8" fillId="8"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0"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4" fontId="38" fillId="9" borderId="0" applyNumberFormat="0" applyBorder="0" applyAlignment="0" applyProtection="0"/>
    <xf numFmtId="184" fontId="39" fillId="80" borderId="0" applyNumberFormat="0" applyBorder="0" applyAlignment="0" applyProtection="0"/>
    <xf numFmtId="0"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88" fillId="61" borderId="0" applyNumberFormat="0" applyBorder="0" applyAlignment="0" applyProtection="0"/>
    <xf numFmtId="186" fontId="88" fillId="61"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186"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4" fontId="39" fillId="80" borderId="0" applyNumberFormat="0" applyBorder="0" applyAlignment="0" applyProtection="0"/>
    <xf numFmtId="0"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7"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189" fontId="39" fillId="91" borderId="0" applyNumberFormat="0" applyBorder="0" applyAlignment="0" applyProtection="0"/>
    <xf numFmtId="186" fontId="39" fillId="91" borderId="0" applyNumberFormat="0" applyBorder="0" applyAlignment="0" applyProtection="0"/>
    <xf numFmtId="186" fontId="88" fillId="6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9" fontId="39" fillId="9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9" fontId="39" fillId="9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7"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0"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7"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9" fontId="39" fillId="91" borderId="0" applyNumberFormat="0" applyBorder="0" applyAlignment="0" applyProtection="0"/>
    <xf numFmtId="0"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4" fontId="39" fillId="80"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0" fontId="38" fillId="20" borderId="0" applyNumberFormat="0" applyBorder="0" applyAlignment="0" applyProtection="0"/>
    <xf numFmtId="186" fontId="38" fillId="20" borderId="0" applyNumberFormat="0" applyBorder="0" applyAlignment="0" applyProtection="0"/>
    <xf numFmtId="189"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0" fontId="38" fillId="20" borderId="0" applyNumberFormat="0" applyBorder="0" applyAlignment="0" applyProtection="0"/>
    <xf numFmtId="186" fontId="38" fillId="20" borderId="0" applyNumberFormat="0" applyBorder="0" applyAlignment="0" applyProtection="0"/>
    <xf numFmtId="189"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4" fontId="38" fillId="20" borderId="0" applyNumberFormat="0" applyBorder="0" applyAlignment="0" applyProtection="0"/>
    <xf numFmtId="186" fontId="38" fillId="13"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21" borderId="0" applyNumberFormat="0" applyBorder="0" applyAlignment="0" applyProtection="0"/>
    <xf numFmtId="185" fontId="38" fillId="21" borderId="0" applyNumberFormat="0" applyBorder="0" applyAlignment="0" applyProtection="0"/>
    <xf numFmtId="185" fontId="38" fillId="21" borderId="0" applyNumberFormat="0" applyBorder="0" applyAlignment="0" applyProtection="0"/>
    <xf numFmtId="186" fontId="38" fillId="21" borderId="0" applyNumberFormat="0" applyBorder="0" applyAlignment="0" applyProtection="0"/>
    <xf numFmtId="186" fontId="38" fillId="21" borderId="0" applyNumberFormat="0" applyBorder="0" applyAlignment="0" applyProtection="0"/>
    <xf numFmtId="0" fontId="38" fillId="21" borderId="0" applyNumberFormat="0" applyBorder="0" applyAlignment="0" applyProtection="0"/>
    <xf numFmtId="186" fontId="38" fillId="21" borderId="0" applyNumberFormat="0" applyBorder="0" applyAlignment="0" applyProtection="0"/>
    <xf numFmtId="186" fontId="38" fillId="21"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4" fontId="39" fillId="92" borderId="0" applyNumberFormat="0" applyBorder="0" applyAlignment="0" applyProtection="0"/>
    <xf numFmtId="0"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7"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92" borderId="0" applyNumberFormat="0" applyBorder="0" applyAlignment="0" applyProtection="0"/>
    <xf numFmtId="185" fontId="39" fillId="92" borderId="0" applyNumberFormat="0" applyBorder="0" applyAlignment="0" applyProtection="0"/>
    <xf numFmtId="186" fontId="39" fillId="92" borderId="0" applyNumberFormat="0" applyBorder="0" applyAlignment="0" applyProtection="0"/>
    <xf numFmtId="186" fontId="39" fillId="92" borderId="0" applyNumberFormat="0" applyBorder="0" applyAlignment="0" applyProtection="0"/>
    <xf numFmtId="186" fontId="39" fillId="21" borderId="0" applyNumberFormat="0" applyBorder="0" applyAlignment="0" applyProtection="0"/>
    <xf numFmtId="187"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9"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88" fillId="65" borderId="0" applyNumberFormat="0" applyBorder="0" applyAlignment="0" applyProtection="0"/>
    <xf numFmtId="186" fontId="88" fillId="65"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186"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4" fontId="39" fillId="94" borderId="0" applyNumberFormat="0" applyBorder="0" applyAlignment="0" applyProtection="0"/>
    <xf numFmtId="0"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7"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9" fontId="39" fillId="93"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9" fontId="39" fillId="93"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7"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0"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7"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9" fontId="39" fillId="93" borderId="0" applyNumberFormat="0" applyBorder="0" applyAlignment="0" applyProtection="0"/>
    <xf numFmtId="0"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4" fontId="39" fillId="94"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23" fillId="0" borderId="0" applyNumberFormat="0" applyAlignment="0"/>
    <xf numFmtId="0" fontId="23" fillId="0" borderId="0" applyNumberFormat="0" applyAlignment="0"/>
    <xf numFmtId="185" fontId="23" fillId="0" borderId="0" applyNumberFormat="0" applyAlignment="0"/>
    <xf numFmtId="186" fontId="23" fillId="0" borderId="0" applyNumberFormat="0" applyAlignment="0"/>
    <xf numFmtId="187" fontId="23" fillId="0" borderId="0" applyNumberFormat="0" applyAlignment="0"/>
    <xf numFmtId="185" fontId="23" fillId="0" borderId="0" applyNumberFormat="0" applyAlignment="0"/>
    <xf numFmtId="186" fontId="23" fillId="0" borderId="0" applyNumberFormat="0" applyAlignment="0"/>
    <xf numFmtId="186" fontId="23" fillId="0" borderId="0" applyNumberFormat="0" applyAlignment="0"/>
    <xf numFmtId="186" fontId="23" fillId="0" borderId="0" applyNumberFormat="0" applyAlignment="0"/>
    <xf numFmtId="187" fontId="23" fillId="0" borderId="0" applyNumberFormat="0" applyAlignment="0"/>
    <xf numFmtId="185" fontId="23" fillId="0" borderId="0" applyNumberFormat="0" applyAlignment="0"/>
    <xf numFmtId="186" fontId="23" fillId="0" borderId="0" applyNumberFormat="0" applyAlignment="0"/>
    <xf numFmtId="186" fontId="23" fillId="0" borderId="0" applyNumberFormat="0" applyAlignment="0"/>
    <xf numFmtId="185" fontId="23" fillId="0" borderId="0" applyNumberFormat="0" applyAlignment="0"/>
    <xf numFmtId="186" fontId="23" fillId="0" borderId="0" applyNumberFormat="0" applyAlignment="0"/>
    <xf numFmtId="189" fontId="23" fillId="0" borderId="0" applyNumberFormat="0" applyAlignment="0"/>
    <xf numFmtId="186" fontId="23" fillId="0" borderId="0" applyNumberFormat="0" applyAlignment="0"/>
    <xf numFmtId="186" fontId="23" fillId="0" borderId="0" applyNumberFormat="0" applyAlignment="0"/>
    <xf numFmtId="190" fontId="22" fillId="95" borderId="30">
      <alignment horizontal="center" vertical="center"/>
    </xf>
    <xf numFmtId="191" fontId="89" fillId="95" borderId="30">
      <alignment horizontal="center" vertical="center"/>
    </xf>
    <xf numFmtId="190"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7"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7"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7"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9"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4" fontId="96" fillId="20" borderId="0" applyNumberFormat="0" applyBorder="0" applyAlignment="0" applyProtection="0"/>
    <xf numFmtId="0"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7"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9" fontId="97" fillId="13" borderId="0" applyNumberFormat="0" applyBorder="0" applyAlignment="0" applyProtection="0"/>
    <xf numFmtId="186" fontId="97" fillId="13" borderId="0" applyNumberFormat="0" applyBorder="0" applyAlignment="0" applyProtection="0"/>
    <xf numFmtId="186" fontId="79" fillId="39" borderId="0" applyNumberFormat="0" applyBorder="0" applyAlignment="0" applyProtection="0"/>
    <xf numFmtId="0"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0"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0" fontId="96" fillId="20"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5" fontId="96" fillId="20" borderId="0" applyNumberFormat="0" applyBorder="0" applyAlignment="0" applyProtection="0"/>
    <xf numFmtId="186" fontId="96" fillId="20" borderId="0" applyNumberFormat="0" applyBorder="0" applyAlignment="0" applyProtection="0"/>
    <xf numFmtId="186" fontId="96" fillId="20"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7"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9" fontId="97" fillId="13" borderId="0" applyNumberFormat="0" applyBorder="0" applyAlignment="0" applyProtection="0"/>
    <xf numFmtId="0" fontId="95" fillId="2" borderId="0" applyNumberFormat="0" applyBorder="0" applyAlignment="0" applyProtection="0"/>
    <xf numFmtId="186" fontId="95" fillId="2" borderId="0" applyNumberFormat="0" applyBorder="0" applyAlignment="0" applyProtection="0"/>
    <xf numFmtId="186" fontId="97" fillId="13" borderId="0" applyNumberFormat="0" applyBorder="0" applyAlignment="0" applyProtection="0"/>
    <xf numFmtId="0" fontId="95" fillId="2"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7"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0" fontId="95" fillId="2"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7"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7"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7"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0"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4"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7"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87"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9"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4"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0" fontId="102" fillId="96" borderId="32" applyNumberFormat="0" applyAlignment="0" applyProtection="0"/>
    <xf numFmtId="186" fontId="102" fillId="96" borderId="32" applyNumberFormat="0" applyAlignment="0" applyProtection="0"/>
    <xf numFmtId="186" fontId="101" fillId="75" borderId="31" applyNumberFormat="0" applyAlignment="0" applyProtection="0"/>
    <xf numFmtId="184" fontId="102" fillId="96" borderId="32" applyNumberFormat="0" applyAlignment="0" applyProtection="0"/>
    <xf numFmtId="0"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7"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0"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2" fillId="96" borderId="32"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5" fontId="102" fillId="96" borderId="32" applyNumberFormat="0" applyAlignment="0" applyProtection="0"/>
    <xf numFmtId="185" fontId="102" fillId="96" borderId="32" applyNumberFormat="0" applyAlignment="0" applyProtection="0"/>
    <xf numFmtId="185"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9"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189"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1" fillId="75"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5" fontId="83" fillId="42" borderId="23" applyNumberFormat="0" applyAlignment="0" applyProtection="0"/>
    <xf numFmtId="186" fontId="83" fillId="42" borderId="23" applyNumberFormat="0" applyAlignment="0" applyProtection="0"/>
    <xf numFmtId="187"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0" fontId="101" fillId="75" borderId="31" applyNumberFormat="0" applyAlignment="0" applyProtection="0"/>
    <xf numFmtId="185" fontId="83" fillId="42" borderId="23" applyNumberFormat="0" applyAlignment="0" applyProtection="0"/>
    <xf numFmtId="186" fontId="83" fillId="42" borderId="23" applyNumberFormat="0" applyAlignment="0" applyProtection="0"/>
    <xf numFmtId="187"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0" fontId="101" fillId="75" borderId="31"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83" fillId="42" borderId="23" applyNumberFormat="0" applyAlignment="0" applyProtection="0"/>
    <xf numFmtId="186" fontId="83" fillId="42" borderId="23" applyNumberFormat="0" applyAlignment="0" applyProtection="0"/>
    <xf numFmtId="0" fontId="102" fillId="96" borderId="32" applyNumberFormat="0" applyAlignment="0" applyProtection="0"/>
    <xf numFmtId="186" fontId="102" fillId="96" borderId="32" applyNumberFormat="0" applyAlignment="0" applyProtection="0"/>
    <xf numFmtId="186" fontId="83" fillId="42" borderId="23" applyNumberFormat="0" applyAlignment="0" applyProtection="0"/>
    <xf numFmtId="0"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87"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92" fontId="104" fillId="0" borderId="0" applyNumberFormat="0" applyFont="0" applyFill="0" applyBorder="0" applyProtection="0">
      <alignment horizontal="centerContinuous" wrapText="1"/>
    </xf>
    <xf numFmtId="193" fontId="21" fillId="0" borderId="0"/>
    <xf numFmtId="0" fontId="105" fillId="98" borderId="33" applyNumberFormat="0" applyAlignment="0" applyProtection="0"/>
    <xf numFmtId="0"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4" fontId="105" fillId="90" borderId="33" applyNumberFormat="0" applyAlignment="0" applyProtection="0"/>
    <xf numFmtId="0"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7"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0"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0"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0" fontId="105" fillId="90" borderId="33" applyNumberFormat="0" applyAlignment="0" applyProtection="0"/>
    <xf numFmtId="185" fontId="105" fillId="14" borderId="33" applyNumberFormat="0" applyAlignment="0" applyProtection="0"/>
    <xf numFmtId="186" fontId="105" fillId="14" borderId="33" applyNumberFormat="0" applyAlignment="0" applyProtection="0"/>
    <xf numFmtId="185" fontId="105" fillId="90" borderId="33" applyNumberFormat="0" applyAlignment="0" applyProtection="0"/>
    <xf numFmtId="186" fontId="105" fillId="90" borderId="33" applyNumberFormat="0" applyAlignment="0" applyProtection="0"/>
    <xf numFmtId="186" fontId="105" fillId="90" borderId="33" applyNumberFormat="0" applyAlignment="0" applyProtection="0"/>
    <xf numFmtId="185" fontId="105" fillId="98" borderId="33" applyNumberFormat="0" applyAlignment="0" applyProtection="0"/>
    <xf numFmtId="186" fontId="105" fillId="98" borderId="33" applyNumberFormat="0" applyAlignment="0" applyProtection="0"/>
    <xf numFmtId="187" fontId="105" fillId="98" borderId="33" applyNumberFormat="0" applyAlignment="0" applyProtection="0"/>
    <xf numFmtId="185"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9" fontId="105" fillId="14" borderId="33" applyNumberFormat="0" applyAlignment="0" applyProtection="0"/>
    <xf numFmtId="0" fontId="105" fillId="98" borderId="33" applyNumberFormat="0" applyAlignment="0" applyProtection="0"/>
    <xf numFmtId="186" fontId="105" fillId="98" borderId="33" applyNumberFormat="0" applyAlignment="0" applyProtection="0"/>
    <xf numFmtId="186" fontId="105" fillId="14" borderId="33" applyNumberFormat="0" applyAlignment="0" applyProtection="0"/>
    <xf numFmtId="0" fontId="105" fillId="98" borderId="33" applyNumberFormat="0" applyAlignment="0" applyProtection="0"/>
    <xf numFmtId="185" fontId="105" fillId="14" borderId="33" applyNumberFormat="0" applyAlignment="0" applyProtection="0"/>
    <xf numFmtId="186" fontId="105" fillId="14" borderId="33" applyNumberFormat="0" applyAlignment="0" applyProtection="0"/>
    <xf numFmtId="185" fontId="85" fillId="43" borderId="26" applyNumberFormat="0" applyAlignment="0" applyProtection="0"/>
    <xf numFmtId="186" fontId="85" fillId="43" borderId="26" applyNumberFormat="0" applyAlignment="0" applyProtection="0"/>
    <xf numFmtId="187"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0" fontId="105" fillId="98" borderId="33" applyNumberFormat="0" applyAlignment="0" applyProtection="0"/>
    <xf numFmtId="185" fontId="85" fillId="43" borderId="26" applyNumberFormat="0" applyAlignment="0" applyProtection="0"/>
    <xf numFmtId="186" fontId="85" fillId="43" borderId="26" applyNumberFormat="0" applyAlignment="0" applyProtection="0"/>
    <xf numFmtId="187"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0" fontId="105" fillId="98" borderId="33" applyNumberFormat="0" applyAlignment="0" applyProtection="0"/>
    <xf numFmtId="185" fontId="105" fillId="98" borderId="33" applyNumberFormat="0" applyAlignment="0" applyProtection="0"/>
    <xf numFmtId="186" fontId="105" fillId="98" borderId="33" applyNumberFormat="0" applyAlignment="0" applyProtection="0"/>
    <xf numFmtId="187" fontId="105" fillId="98" borderId="33" applyNumberFormat="0" applyAlignment="0" applyProtection="0"/>
    <xf numFmtId="185"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0"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4" fontId="85"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7"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7"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7"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9"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94" fontId="99" fillId="0" borderId="3"/>
    <xf numFmtId="44" fontId="38"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6" fontId="107" fillId="0" borderId="0" applyFont="0" applyFill="0" applyBorder="0" applyAlignment="0" applyProtection="0"/>
    <xf numFmtId="6" fontId="108"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9" fillId="0" borderId="0">
      <protection locked="0"/>
    </xf>
    <xf numFmtId="4" fontId="110" fillId="0" borderId="0" applyFont="0" applyFill="0" applyBorder="0" applyAlignment="0" applyProtection="0"/>
    <xf numFmtId="184" fontId="40" fillId="99" borderId="0" applyNumberFormat="0" applyBorder="0" applyAlignment="0" applyProtection="0"/>
    <xf numFmtId="0"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187"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0" fontId="40" fillId="99" borderId="0" applyNumberFormat="0" applyBorder="0" applyAlignment="0" applyProtection="0"/>
    <xf numFmtId="185" fontId="40" fillId="99" borderId="0" applyNumberFormat="0" applyBorder="0" applyAlignment="0" applyProtection="0"/>
    <xf numFmtId="186" fontId="40" fillId="99" borderId="0" applyNumberFormat="0" applyBorder="0" applyAlignment="0" applyProtection="0"/>
    <xf numFmtId="186" fontId="40" fillId="99" borderId="0" applyNumberFormat="0" applyBorder="0" applyAlignment="0" applyProtection="0"/>
    <xf numFmtId="186" fontId="40" fillId="22" borderId="0" applyNumberFormat="0" applyBorder="0" applyAlignment="0" applyProtection="0"/>
    <xf numFmtId="187"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189"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184" fontId="40" fillId="100" borderId="0" applyNumberFormat="0" applyBorder="0" applyAlignment="0" applyProtection="0"/>
    <xf numFmtId="0"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187"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0" fontId="40" fillId="100" borderId="0" applyNumberFormat="0" applyBorder="0" applyAlignment="0" applyProtection="0"/>
    <xf numFmtId="185" fontId="40" fillId="100" borderId="0" applyNumberFormat="0" applyBorder="0" applyAlignment="0" applyProtection="0"/>
    <xf numFmtId="186" fontId="40" fillId="100" borderId="0" applyNumberFormat="0" applyBorder="0" applyAlignment="0" applyProtection="0"/>
    <xf numFmtId="186" fontId="40" fillId="100" borderId="0" applyNumberFormat="0" applyBorder="0" applyAlignment="0" applyProtection="0"/>
    <xf numFmtId="186" fontId="40" fillId="23" borderId="0" applyNumberFormat="0" applyBorder="0" applyAlignment="0" applyProtection="0"/>
    <xf numFmtId="187"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189"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0"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7"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7"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9"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4" fontId="40"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7"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7"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7"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9"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7"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0" fontId="112" fillId="0" borderId="0" applyNumberFormat="0" applyFill="0" applyBorder="0" applyAlignment="0" applyProtection="0"/>
    <xf numFmtId="186" fontId="112" fillId="0" borderId="0" applyNumberFormat="0" applyFill="0" applyBorder="0" applyAlignment="0" applyProtection="0"/>
    <xf numFmtId="0"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7"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7" fontId="112"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6" fontId="112" fillId="0" borderId="0" applyNumberFormat="0" applyFill="0" applyBorder="0" applyAlignment="0" applyProtection="0"/>
    <xf numFmtId="189" fontId="113" fillId="0" borderId="0" applyNumberFormat="0" applyFill="0" applyBorder="0" applyAlignment="0" applyProtection="0"/>
    <xf numFmtId="0" fontId="112" fillId="0" borderId="0" applyNumberFormat="0" applyFill="0" applyBorder="0" applyAlignment="0" applyProtection="0"/>
    <xf numFmtId="186" fontId="112" fillId="0" borderId="0" applyNumberFormat="0" applyFill="0" applyBorder="0" applyAlignment="0" applyProtection="0"/>
    <xf numFmtId="186" fontId="113" fillId="0" borderId="0" applyNumberFormat="0" applyFill="0" applyBorder="0" applyAlignment="0" applyProtection="0"/>
    <xf numFmtId="0" fontId="112"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7"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0" fontId="112"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7"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0" fontId="112"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7" fontId="112"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6" fontId="112" fillId="0" borderId="0" applyNumberFormat="0" applyFill="0" applyBorder="0" applyAlignment="0" applyProtection="0"/>
    <xf numFmtId="186" fontId="112"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6" fontId="87" fillId="0" borderId="0" applyNumberFormat="0" applyFill="0" applyBorder="0" applyAlignment="0" applyProtection="0"/>
    <xf numFmtId="184" fontId="87"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0" fontId="110" fillId="0" borderId="0" applyFont="0" applyFill="0" applyBorder="0" applyAlignment="0" applyProtection="0"/>
    <xf numFmtId="0"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0"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98" fontId="34" fillId="0" borderId="0"/>
    <xf numFmtId="0" fontId="114" fillId="71" borderId="0" applyNumberFormat="0" applyBorder="0" applyAlignment="0" applyProtection="0"/>
    <xf numFmtId="0"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4" fontId="38" fillId="86" borderId="0" applyNumberFormat="0" applyBorder="0" applyAlignment="0" applyProtection="0"/>
    <xf numFmtId="0"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7"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9" fontId="114" fillId="101" borderId="0" applyNumberFormat="0" applyBorder="0" applyAlignment="0" applyProtection="0"/>
    <xf numFmtId="186" fontId="114" fillId="101" borderId="0" applyNumberFormat="0" applyBorder="0" applyAlignment="0" applyProtection="0"/>
    <xf numFmtId="186" fontId="78" fillId="38" borderId="0" applyNumberFormat="0" applyBorder="0" applyAlignment="0" applyProtection="0"/>
    <xf numFmtId="0"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0"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0" fontId="38" fillId="86"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5" fontId="38" fillId="86" borderId="0" applyNumberFormat="0" applyBorder="0" applyAlignment="0" applyProtection="0"/>
    <xf numFmtId="185"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0"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7" fontId="114" fillId="71"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9" fontId="114" fillId="101" borderId="0" applyNumberFormat="0" applyBorder="0" applyAlignment="0" applyProtection="0"/>
    <xf numFmtId="0" fontId="114" fillId="71" borderId="0" applyNumberFormat="0" applyBorder="0" applyAlignment="0" applyProtection="0"/>
    <xf numFmtId="186" fontId="114" fillId="71" borderId="0" applyNumberFormat="0" applyBorder="0" applyAlignment="0" applyProtection="0"/>
    <xf numFmtId="186" fontId="114" fillId="101" borderId="0" applyNumberFormat="0" applyBorder="0" applyAlignment="0" applyProtection="0"/>
    <xf numFmtId="0" fontId="114" fillId="7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7"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0" fontId="114" fillId="71"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7"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0" fontId="114" fillId="71"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7" fontId="114" fillId="71"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0"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4" fontId="78"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5" fillId="0" borderId="0" applyNumberFormat="0" applyFill="0" applyBorder="0" applyAlignment="0" applyProtection="0"/>
    <xf numFmtId="187" fontId="115" fillId="0" borderId="0" applyNumberFormat="0" applyFill="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9"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7"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187"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9"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9" fontId="69" fillId="0" borderId="9">
      <alignment horizontal="left" vertical="center"/>
    </xf>
    <xf numFmtId="189" fontId="69" fillId="0" borderId="9">
      <alignment horizontal="left" vertical="center"/>
    </xf>
    <xf numFmtId="189" fontId="69" fillId="0" borderId="9">
      <alignment horizontal="left" vertical="center"/>
    </xf>
    <xf numFmtId="189"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7"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0"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0"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7" fontId="116" fillId="0" borderId="34"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9" fontId="117" fillId="0" borderId="35" applyNumberFormat="0" applyFill="0" applyAlignment="0" applyProtection="0"/>
    <xf numFmtId="0" fontId="116" fillId="0" borderId="34" applyNumberFormat="0" applyFill="0" applyAlignment="0" applyProtection="0"/>
    <xf numFmtId="186" fontId="116" fillId="0" borderId="34" applyNumberFormat="0" applyFill="0" applyAlignment="0" applyProtection="0"/>
    <xf numFmtId="186" fontId="117" fillId="0" borderId="35" applyNumberFormat="0" applyFill="0" applyAlignment="0" applyProtection="0"/>
    <xf numFmtId="0" fontId="116" fillId="0" borderId="34"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7"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0" fontId="116" fillId="0" borderId="34"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7"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0" fontId="116" fillId="0" borderId="34"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7" fontId="116" fillId="0" borderId="34"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0"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4"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4" fontId="119" fillId="0" borderId="37" applyNumberFormat="0" applyFill="0" applyAlignment="0" applyProtection="0"/>
    <xf numFmtId="0"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7"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0"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0"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0" fontId="119" fillId="0" borderId="37"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5" fontId="119" fillId="0" borderId="37" applyNumberFormat="0" applyFill="0" applyAlignment="0" applyProtection="0"/>
    <xf numFmtId="186" fontId="119" fillId="0" borderId="37" applyNumberFormat="0" applyFill="0" applyAlignment="0" applyProtection="0"/>
    <xf numFmtId="186" fontId="119" fillId="0" borderId="37"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7" fontId="118" fillId="0" borderId="36"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9" fontId="119" fillId="0" borderId="36" applyNumberFormat="0" applyFill="0" applyAlignment="0" applyProtection="0"/>
    <xf numFmtId="0" fontId="118" fillId="0" borderId="36" applyNumberFormat="0" applyFill="0" applyAlignment="0" applyProtection="0"/>
    <xf numFmtId="186" fontId="118" fillId="0" borderId="36" applyNumberFormat="0" applyFill="0" applyAlignment="0" applyProtection="0"/>
    <xf numFmtId="186" fontId="119" fillId="0" borderId="36" applyNumberFormat="0" applyFill="0" applyAlignment="0" applyProtection="0"/>
    <xf numFmtId="0" fontId="118"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7"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0" fontId="118" fillId="0" borderId="36"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7"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0" fontId="118" fillId="0" borderId="36"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7" fontId="118" fillId="0" borderId="36"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0"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4"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4" fontId="121" fillId="0" borderId="39" applyNumberFormat="0" applyFill="0" applyAlignment="0" applyProtection="0"/>
    <xf numFmtId="0"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7"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0"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0"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0" fontId="121" fillId="0" borderId="39"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5" fontId="121" fillId="0" borderId="39" applyNumberFormat="0" applyFill="0" applyAlignment="0" applyProtection="0"/>
    <xf numFmtId="186" fontId="121" fillId="0" borderId="39" applyNumberFormat="0" applyFill="0" applyAlignment="0" applyProtection="0"/>
    <xf numFmtId="186" fontId="121" fillId="0" borderId="39"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7" fontId="120" fillId="0" borderId="38"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9" fontId="121" fillId="0" borderId="40" applyNumberFormat="0" applyFill="0" applyAlignment="0" applyProtection="0"/>
    <xf numFmtId="0" fontId="120" fillId="0" borderId="38" applyNumberFormat="0" applyFill="0" applyAlignment="0" applyProtection="0"/>
    <xf numFmtId="186" fontId="120" fillId="0" borderId="38" applyNumberFormat="0" applyFill="0" applyAlignment="0" applyProtection="0"/>
    <xf numFmtId="186" fontId="121" fillId="0" borderId="40" applyNumberFormat="0" applyFill="0" applyAlignment="0" applyProtection="0"/>
    <xf numFmtId="0" fontId="120" fillId="0" borderId="38"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7"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0" fontId="120" fillId="0" borderId="38"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7"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0" fontId="120" fillId="0" borderId="38"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7" fontId="120" fillId="0" borderId="38"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0"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4"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7"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0"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9" fontId="121" fillId="0" borderId="0" applyNumberFormat="0" applyFill="0" applyBorder="0" applyAlignment="0" applyProtection="0"/>
    <xf numFmtId="0" fontId="120" fillId="0" borderId="0" applyNumberFormat="0" applyFill="0" applyBorder="0" applyAlignment="0" applyProtection="0"/>
    <xf numFmtId="186" fontId="120" fillId="0" borderId="0" applyNumberFormat="0" applyFill="0" applyBorder="0" applyAlignment="0" applyProtection="0"/>
    <xf numFmtId="186" fontId="121" fillId="0" borderId="0" applyNumberFormat="0" applyFill="0" applyBorder="0" applyAlignment="0" applyProtection="0"/>
    <xf numFmtId="0" fontId="120"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7"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20"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7"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0"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4" fontId="77" fillId="0" borderId="0" applyNumberFormat="0" applyFill="0" applyBorder="0" applyAlignment="0" applyProtection="0"/>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0" fontId="122" fillId="0" borderId="41">
      <alignment horizontal="center"/>
    </xf>
    <xf numFmtId="0" fontId="122" fillId="0" borderId="41">
      <alignment horizontal="center"/>
    </xf>
    <xf numFmtId="185" fontId="122" fillId="0" borderId="41">
      <alignment horizontal="center"/>
    </xf>
    <xf numFmtId="186" fontId="122" fillId="0" borderId="41">
      <alignment horizontal="center"/>
    </xf>
    <xf numFmtId="187" fontId="122" fillId="0" borderId="41">
      <alignment horizontal="center"/>
    </xf>
    <xf numFmtId="185" fontId="122" fillId="0" borderId="41">
      <alignment horizontal="center"/>
    </xf>
    <xf numFmtId="186" fontId="122" fillId="0" borderId="41">
      <alignment horizontal="center"/>
    </xf>
    <xf numFmtId="186" fontId="122" fillId="0" borderId="41">
      <alignment horizontal="center"/>
    </xf>
    <xf numFmtId="186" fontId="122" fillId="0" borderId="41">
      <alignment horizontal="center"/>
    </xf>
    <xf numFmtId="187" fontId="122" fillId="0" borderId="41">
      <alignment horizontal="center"/>
    </xf>
    <xf numFmtId="185" fontId="122" fillId="0" borderId="41">
      <alignment horizontal="center"/>
    </xf>
    <xf numFmtId="186" fontId="122" fillId="0" borderId="41">
      <alignment horizontal="center"/>
    </xf>
    <xf numFmtId="186" fontId="122" fillId="0" borderId="41">
      <alignment horizontal="center"/>
    </xf>
    <xf numFmtId="187" fontId="122" fillId="0" borderId="41">
      <alignment horizontal="center"/>
    </xf>
    <xf numFmtId="185" fontId="122" fillId="0" borderId="41">
      <alignment horizontal="center"/>
    </xf>
    <xf numFmtId="186" fontId="122" fillId="0" borderId="41">
      <alignment horizontal="center"/>
    </xf>
    <xf numFmtId="186" fontId="122" fillId="0" borderId="41">
      <alignment horizontal="center"/>
    </xf>
    <xf numFmtId="185" fontId="122" fillId="0" borderId="41">
      <alignment horizontal="center"/>
    </xf>
    <xf numFmtId="186" fontId="122" fillId="0" borderId="41">
      <alignment horizontal="center"/>
    </xf>
    <xf numFmtId="189" fontId="122" fillId="0" borderId="41">
      <alignment horizontal="center"/>
    </xf>
    <xf numFmtId="186" fontId="122" fillId="0" borderId="41">
      <alignment horizontal="center"/>
    </xf>
    <xf numFmtId="186" fontId="122" fillId="0" borderId="41">
      <alignment horizontal="center"/>
    </xf>
    <xf numFmtId="0" fontId="122" fillId="0" borderId="0">
      <alignment horizontal="center"/>
    </xf>
    <xf numFmtId="0" fontId="122" fillId="0" borderId="0">
      <alignment horizontal="center"/>
    </xf>
    <xf numFmtId="185" fontId="122" fillId="0" borderId="0">
      <alignment horizontal="center"/>
    </xf>
    <xf numFmtId="186" fontId="122" fillId="0" borderId="0">
      <alignment horizontal="center"/>
    </xf>
    <xf numFmtId="187" fontId="122" fillId="0" borderId="0">
      <alignment horizontal="center"/>
    </xf>
    <xf numFmtId="185" fontId="122" fillId="0" borderId="0">
      <alignment horizontal="center"/>
    </xf>
    <xf numFmtId="186" fontId="122" fillId="0" borderId="0">
      <alignment horizontal="center"/>
    </xf>
    <xf numFmtId="186" fontId="122" fillId="0" borderId="0">
      <alignment horizontal="center"/>
    </xf>
    <xf numFmtId="186" fontId="122" fillId="0" borderId="0">
      <alignment horizontal="center"/>
    </xf>
    <xf numFmtId="187" fontId="122" fillId="0" borderId="0">
      <alignment horizontal="center"/>
    </xf>
    <xf numFmtId="185" fontId="122" fillId="0" borderId="0">
      <alignment horizontal="center"/>
    </xf>
    <xf numFmtId="186" fontId="122" fillId="0" borderId="0">
      <alignment horizontal="center"/>
    </xf>
    <xf numFmtId="186" fontId="122" fillId="0" borderId="0">
      <alignment horizontal="center"/>
    </xf>
    <xf numFmtId="187" fontId="122" fillId="0" borderId="0">
      <alignment horizontal="center"/>
    </xf>
    <xf numFmtId="185" fontId="122" fillId="0" borderId="0">
      <alignment horizontal="center"/>
    </xf>
    <xf numFmtId="186" fontId="122" fillId="0" borderId="0">
      <alignment horizontal="center"/>
    </xf>
    <xf numFmtId="186" fontId="122" fillId="0" borderId="0">
      <alignment horizontal="center"/>
    </xf>
    <xf numFmtId="185" fontId="122" fillId="0" borderId="0">
      <alignment horizontal="center"/>
    </xf>
    <xf numFmtId="186" fontId="122" fillId="0" borderId="0">
      <alignment horizontal="center"/>
    </xf>
    <xf numFmtId="189" fontId="122" fillId="0" borderId="0">
      <alignment horizontal="center"/>
    </xf>
    <xf numFmtId="186" fontId="122" fillId="0" borderId="0">
      <alignment horizontal="center"/>
    </xf>
    <xf numFmtId="186" fontId="122" fillId="0" borderId="0">
      <alignment horizontal="center"/>
    </xf>
    <xf numFmtId="0" fontId="110" fillId="0" borderId="0" applyProtection="0">
      <alignment horizontal="right"/>
    </xf>
    <xf numFmtId="0" fontId="110" fillId="0" borderId="0" applyProtection="0">
      <alignment horizontal="right"/>
    </xf>
    <xf numFmtId="185" fontId="110" fillId="0" borderId="0" applyProtection="0">
      <alignment horizontal="right"/>
    </xf>
    <xf numFmtId="186" fontId="110" fillId="0" borderId="0" applyProtection="0">
      <alignment horizontal="right"/>
    </xf>
    <xf numFmtId="187" fontId="110" fillId="0" borderId="0" applyProtection="0">
      <alignment horizontal="right"/>
    </xf>
    <xf numFmtId="185" fontId="110" fillId="0" borderId="0" applyProtection="0">
      <alignment horizontal="right"/>
    </xf>
    <xf numFmtId="186" fontId="110" fillId="0" borderId="0" applyProtection="0">
      <alignment horizontal="right"/>
    </xf>
    <xf numFmtId="186" fontId="110" fillId="0" borderId="0" applyProtection="0">
      <alignment horizontal="right"/>
    </xf>
    <xf numFmtId="186" fontId="110" fillId="0" borderId="0" applyProtection="0">
      <alignment horizontal="right"/>
    </xf>
    <xf numFmtId="187" fontId="110" fillId="0" borderId="0" applyProtection="0">
      <alignment horizontal="right"/>
    </xf>
    <xf numFmtId="185" fontId="110" fillId="0" borderId="0" applyProtection="0">
      <alignment horizontal="right"/>
    </xf>
    <xf numFmtId="186" fontId="110" fillId="0" borderId="0" applyProtection="0">
      <alignment horizontal="right"/>
    </xf>
    <xf numFmtId="186" fontId="110" fillId="0" borderId="0" applyProtection="0">
      <alignment horizontal="right"/>
    </xf>
    <xf numFmtId="185" fontId="110" fillId="0" borderId="0" applyProtection="0">
      <alignment horizontal="right"/>
    </xf>
    <xf numFmtId="186" fontId="110" fillId="0" borderId="0" applyProtection="0">
      <alignment horizontal="right"/>
    </xf>
    <xf numFmtId="189" fontId="110" fillId="0" borderId="0" applyProtection="0">
      <alignment horizontal="right"/>
    </xf>
    <xf numFmtId="186" fontId="110" fillId="0" borderId="0" applyProtection="0">
      <alignment horizontal="right"/>
    </xf>
    <xf numFmtId="186" fontId="110" fillId="0" borderId="0" applyProtection="0">
      <alignment horizontal="right"/>
    </xf>
    <xf numFmtId="200" fontId="21" fillId="0" borderId="0" applyFont="0" applyFill="0" applyBorder="0" applyAlignment="0" applyProtection="0"/>
    <xf numFmtId="200" fontId="21" fillId="0" borderId="0" applyFont="0" applyFill="0" applyBorder="0" applyAlignment="0" applyProtection="0"/>
    <xf numFmtId="0" fontId="123" fillId="0" borderId="42" applyNumberFormat="0" applyFill="0" applyAlignment="0" applyProtection="0"/>
    <xf numFmtId="187" fontId="123" fillId="0" borderId="42" applyNumberFormat="0" applyFill="0" applyAlignment="0" applyProtection="0"/>
    <xf numFmtId="0"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7"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9"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5" fontId="124" fillId="0" borderId="0" applyFill="0" applyBorder="0" applyAlignment="0" applyProtection="0">
      <alignment horizontal="right"/>
    </xf>
    <xf numFmtId="186" fontId="124"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81" fillId="41" borderId="23" applyNumberFormat="0" applyAlignment="0" applyProtection="0"/>
    <xf numFmtId="186"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0" fontId="125" fillId="21" borderId="32" applyNumberFormat="0" applyAlignment="0" applyProtection="0"/>
    <xf numFmtId="186" fontId="125" fillId="21" borderId="32" applyNumberFormat="0" applyAlignment="0" applyProtection="0"/>
    <xf numFmtId="186" fontId="126" fillId="74" borderId="31" applyNumberFormat="0" applyAlignment="0" applyProtection="0"/>
    <xf numFmtId="184" fontId="125" fillId="21" borderId="32"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2"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9"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9" fontId="125" fillId="21" borderId="31" applyNumberFormat="0" applyAlignment="0" applyProtection="0"/>
    <xf numFmtId="189"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9" fontId="125" fillId="21" borderId="31" applyNumberFormat="0" applyAlignment="0" applyProtection="0"/>
    <xf numFmtId="189"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201" fontId="127" fillId="0" borderId="0" applyFont="0" applyFill="0" applyBorder="0" applyProtection="0">
      <alignment horizontal="center"/>
    </xf>
    <xf numFmtId="185" fontId="34" fillId="34" borderId="0" applyNumberFormat="0" applyFont="0" applyBorder="0" applyAlignment="0" applyProtection="0">
      <alignment horizontal="left"/>
    </xf>
    <xf numFmtId="186" fontId="34"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4" fontId="114" fillId="0" borderId="44" applyNumberFormat="0" applyFill="0" applyAlignment="0" applyProtection="0"/>
    <xf numFmtId="0"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7"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0"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0"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0" fontId="114" fillId="0" borderId="44"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5" fontId="114" fillId="0" borderId="44" applyNumberFormat="0" applyFill="0" applyAlignment="0" applyProtection="0"/>
    <xf numFmtId="186" fontId="114" fillId="0" borderId="44" applyNumberFormat="0" applyFill="0" applyAlignment="0" applyProtection="0"/>
    <xf numFmtId="186" fontId="114" fillId="0" borderId="44"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7" fontId="128" fillId="0" borderId="43"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9" fontId="129" fillId="0" borderId="45" applyNumberFormat="0" applyFill="0" applyAlignment="0" applyProtection="0"/>
    <xf numFmtId="0" fontId="128" fillId="0" borderId="43" applyNumberFormat="0" applyFill="0" applyAlignment="0" applyProtection="0"/>
    <xf numFmtId="186" fontId="128" fillId="0" borderId="43" applyNumberFormat="0" applyFill="0" applyAlignment="0" applyProtection="0"/>
    <xf numFmtId="186" fontId="129" fillId="0" borderId="45" applyNumberFormat="0" applyFill="0" applyAlignment="0" applyProtection="0"/>
    <xf numFmtId="0" fontId="128" fillId="0" borderId="43"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7"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0" fontId="128" fillId="0" borderId="43"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7"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0" fontId="128" fillId="0" borderId="43"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7" fontId="128" fillId="0" borderId="43"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0"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4" fontId="84" fillId="0" borderId="25" applyNumberFormat="0" applyFill="0" applyAlignment="0" applyProtection="0"/>
    <xf numFmtId="185" fontId="130" fillId="103" borderId="0">
      <alignment horizontal="right"/>
    </xf>
    <xf numFmtId="186"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4" fontId="114" fillId="21" borderId="0" applyNumberFormat="0" applyBorder="0" applyAlignment="0" applyProtection="0"/>
    <xf numFmtId="0"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9" fontId="132" fillId="21" borderId="0" applyNumberFormat="0" applyBorder="0" applyAlignment="0" applyProtection="0"/>
    <xf numFmtId="186" fontId="132" fillId="21" borderId="0" applyNumberFormat="0" applyBorder="0" applyAlignment="0" applyProtection="0"/>
    <xf numFmtId="186" fontId="80" fillId="40" borderId="0" applyNumberFormat="0" applyBorder="0" applyAlignment="0" applyProtection="0"/>
    <xf numFmtId="0"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7"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187"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0"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0" fontId="114"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5" fontId="114" fillId="21" borderId="0" applyNumberFormat="0" applyBorder="0" applyAlignment="0" applyProtection="0"/>
    <xf numFmtId="186" fontId="114" fillId="21" borderId="0" applyNumberFormat="0" applyBorder="0" applyAlignment="0" applyProtection="0"/>
    <xf numFmtId="186" fontId="114" fillId="21"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7" fontId="132" fillId="25"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9" fontId="80" fillId="40" borderId="0" applyNumberFormat="0" applyBorder="0" applyAlignment="0" applyProtection="0"/>
    <xf numFmtId="0" fontId="132" fillId="25" borderId="0" applyNumberFormat="0" applyBorder="0" applyAlignment="0" applyProtection="0"/>
    <xf numFmtId="186" fontId="132" fillId="25" borderId="0" applyNumberFormat="0" applyBorder="0" applyAlignment="0" applyProtection="0"/>
    <xf numFmtId="186" fontId="80" fillId="40" borderId="0" applyNumberFormat="0" applyBorder="0" applyAlignment="0" applyProtection="0"/>
    <xf numFmtId="0" fontId="132" fillId="25"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0" fontId="132" fillId="25"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0" fontId="132" fillId="25"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7" fontId="132" fillId="25"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7"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0"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4" fontId="80" fillId="40" borderId="0" applyNumberFormat="0" applyBorder="0" applyAlignment="0" applyProtection="0"/>
    <xf numFmtId="37" fontId="133" fillId="0" borderId="0"/>
    <xf numFmtId="202" fontId="134" fillId="0" borderId="0"/>
    <xf numFmtId="203" fontId="21" fillId="0" borderId="0"/>
    <xf numFmtId="203" fontId="21"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185" fontId="21" fillId="0" borderId="0"/>
    <xf numFmtId="186" fontId="21" fillId="0" borderId="0"/>
    <xf numFmtId="186" fontId="21" fillId="0" borderId="0"/>
    <xf numFmtId="189" fontId="4" fillId="0" borderId="0"/>
    <xf numFmtId="0"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3" fillId="104" borderId="0"/>
    <xf numFmtId="185" fontId="23" fillId="104" borderId="0"/>
    <xf numFmtId="186" fontId="23" fillId="104" borderId="0"/>
    <xf numFmtId="186" fontId="23" fillId="104" borderId="0"/>
    <xf numFmtId="189" fontId="23" fillId="104" borderId="0"/>
    <xf numFmtId="186" fontId="23" fillId="104" borderId="0"/>
    <xf numFmtId="186" fontId="4"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3" fillId="104" borderId="0"/>
    <xf numFmtId="185" fontId="23" fillId="104" borderId="0"/>
    <xf numFmtId="186" fontId="23" fillId="104" borderId="0"/>
    <xf numFmtId="186" fontId="23" fillId="104" borderId="0"/>
    <xf numFmtId="189"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3" fillId="104" borderId="0"/>
    <xf numFmtId="185" fontId="23" fillId="104" borderId="0"/>
    <xf numFmtId="186" fontId="23" fillId="104" borderId="0"/>
    <xf numFmtId="186" fontId="23" fillId="104" borderId="0"/>
    <xf numFmtId="189" fontId="23" fillId="104" borderId="0"/>
    <xf numFmtId="186" fontId="23" fillId="104" borderId="0"/>
    <xf numFmtId="186" fontId="4"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3" fillId="104"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0" fontId="23" fillId="104" borderId="0"/>
    <xf numFmtId="185" fontId="23" fillId="104" borderId="0"/>
    <xf numFmtId="186"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9"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3" fillId="104"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0" fontId="23" fillId="104" borderId="0"/>
    <xf numFmtId="185" fontId="23" fillId="104" borderId="0"/>
    <xf numFmtId="186"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6" fontId="23" fillId="104" borderId="0"/>
    <xf numFmtId="186" fontId="21" fillId="0" borderId="0"/>
    <xf numFmtId="184" fontId="23" fillId="104" borderId="0"/>
    <xf numFmtId="204" fontId="4" fillId="0" borderId="0"/>
    <xf numFmtId="0" fontId="4" fillId="0" borderId="0"/>
    <xf numFmtId="204"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189"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1" fillId="0" borderId="0"/>
    <xf numFmtId="186" fontId="21"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6" fontId="21" fillId="0" borderId="0"/>
    <xf numFmtId="186" fontId="21" fillId="0" borderId="0"/>
    <xf numFmtId="189" fontId="4" fillId="0" borderId="0"/>
    <xf numFmtId="0" fontId="21" fillId="0" borderId="0"/>
    <xf numFmtId="186" fontId="21" fillId="0" borderId="0"/>
    <xf numFmtId="186" fontId="4" fillId="0" borderId="0"/>
    <xf numFmtId="0" fontId="21" fillId="0" borderId="0"/>
    <xf numFmtId="186" fontId="21" fillId="0" borderId="0"/>
    <xf numFmtId="0"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6" fontId="21" fillId="0" borderId="0"/>
    <xf numFmtId="184" fontId="21" fillId="0" borderId="0"/>
    <xf numFmtId="204" fontId="4" fillId="0" borderId="0"/>
    <xf numFmtId="0" fontId="135"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135" fillId="0" borderId="0"/>
    <xf numFmtId="185" fontId="135" fillId="0" borderId="0"/>
    <xf numFmtId="186" fontId="135"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5" fillId="0" borderId="0"/>
    <xf numFmtId="187" fontId="135" fillId="0" borderId="0"/>
    <xf numFmtId="185" fontId="135" fillId="0" borderId="0"/>
    <xf numFmtId="185" fontId="135" fillId="0" borderId="0"/>
    <xf numFmtId="186" fontId="135" fillId="0" borderId="0"/>
    <xf numFmtId="0" fontId="4" fillId="0" borderId="0"/>
    <xf numFmtId="185" fontId="4" fillId="0" borderId="0"/>
    <xf numFmtId="186" fontId="4" fillId="0" borderId="0"/>
    <xf numFmtId="186" fontId="4" fillId="0" borderId="0"/>
    <xf numFmtId="186" fontId="135" fillId="0" borderId="0"/>
    <xf numFmtId="187" fontId="135" fillId="0" borderId="0"/>
    <xf numFmtId="185" fontId="135" fillId="0" borderId="0"/>
    <xf numFmtId="186" fontId="135" fillId="0" borderId="0"/>
    <xf numFmtId="186" fontId="135"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5" fillId="0" borderId="0"/>
    <xf numFmtId="0" fontId="135" fillId="0" borderId="0"/>
    <xf numFmtId="185" fontId="135" fillId="0" borderId="0"/>
    <xf numFmtId="186" fontId="135" fillId="0" borderId="0"/>
    <xf numFmtId="186" fontId="135" fillId="0" borderId="0"/>
    <xf numFmtId="186" fontId="135" fillId="0" borderId="0"/>
    <xf numFmtId="0"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21" fillId="0" borderId="0"/>
    <xf numFmtId="185" fontId="21" fillId="0" borderId="0"/>
    <xf numFmtId="186" fontId="21" fillId="0" borderId="0"/>
    <xf numFmtId="186" fontId="21" fillId="0" borderId="0"/>
    <xf numFmtId="189" fontId="21"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9" fontId="4" fillId="0" borderId="0"/>
    <xf numFmtId="186" fontId="4" fillId="0" borderId="0"/>
    <xf numFmtId="186" fontId="21" fillId="0" borderId="0"/>
    <xf numFmtId="204"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1" fillId="0" borderId="0"/>
    <xf numFmtId="186" fontId="21"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188" fontId="21" fillId="0" borderId="0">
      <alignment horizontal="left" wrapText="1"/>
    </xf>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8" fontId="21" fillId="0" borderId="0">
      <alignment horizontal="left" wrapText="1"/>
    </xf>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188" fontId="21" fillId="0" borderId="0">
      <alignment horizontal="left" wrapText="1"/>
    </xf>
    <xf numFmtId="0" fontId="23"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9" fontId="4" fillId="0" borderId="0"/>
    <xf numFmtId="186" fontId="4" fillId="0" borderId="0"/>
    <xf numFmtId="186" fontId="4" fillId="0" borderId="0"/>
    <xf numFmtId="204" fontId="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3" fillId="104" borderId="0"/>
    <xf numFmtId="0" fontId="23" fillId="104" borderId="0"/>
    <xf numFmtId="185" fontId="23" fillId="104" borderId="0"/>
    <xf numFmtId="186" fontId="23" fillId="104" borderId="0"/>
    <xf numFmtId="186" fontId="23" fillId="104" borderId="0"/>
    <xf numFmtId="0" fontId="23" fillId="104" borderId="0"/>
    <xf numFmtId="0" fontId="23" fillId="104" borderId="0"/>
    <xf numFmtId="185" fontId="23" fillId="104" borderId="0"/>
    <xf numFmtId="186" fontId="23" fillId="104" borderId="0"/>
    <xf numFmtId="186" fontId="23" fillId="104" borderId="0"/>
    <xf numFmtId="185" fontId="23" fillId="104" borderId="0"/>
    <xf numFmtId="186" fontId="23" fillId="104" borderId="0"/>
    <xf numFmtId="186" fontId="23" fillId="104" borderId="0"/>
    <xf numFmtId="0" fontId="4" fillId="0" borderId="0"/>
    <xf numFmtId="185" fontId="4" fillId="0" borderId="0"/>
    <xf numFmtId="186" fontId="4" fillId="0" borderId="0"/>
    <xf numFmtId="186" fontId="4" fillId="0" borderId="0"/>
    <xf numFmtId="185" fontId="23" fillId="104" borderId="0"/>
    <xf numFmtId="186" fontId="23" fillId="104" borderId="0"/>
    <xf numFmtId="186" fontId="23" fillId="104" borderId="0"/>
    <xf numFmtId="0"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186" fontId="21" fillId="0" borderId="0"/>
    <xf numFmtId="0"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186" fontId="21" fillId="0" borderId="0"/>
    <xf numFmtId="0"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186" fontId="21"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38" fillId="0" borderId="0"/>
    <xf numFmtId="189" fontId="4" fillId="0" borderId="0"/>
    <xf numFmtId="186" fontId="4" fillId="0" borderId="0"/>
    <xf numFmtId="186" fontId="21" fillId="0" borderId="0"/>
    <xf numFmtId="204" fontId="21" fillId="0" borderId="0"/>
    <xf numFmtId="184"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0" fontId="21" fillId="0" borderId="0"/>
    <xf numFmtId="185"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0" fontId="21" fillId="0" borderId="0"/>
    <xf numFmtId="0" fontId="21" fillId="0" borderId="0"/>
    <xf numFmtId="185"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185" fontId="4" fillId="0" borderId="0"/>
    <xf numFmtId="186" fontId="4" fillId="0" borderId="0"/>
    <xf numFmtId="185" fontId="4" fillId="0" borderId="0"/>
    <xf numFmtId="186" fontId="4" fillId="0" borderId="0"/>
    <xf numFmtId="185"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185" fontId="23" fillId="104" borderId="0"/>
    <xf numFmtId="186" fontId="23" fillId="104" borderId="0"/>
    <xf numFmtId="185" fontId="4" fillId="0" borderId="0"/>
    <xf numFmtId="186" fontId="4" fillId="0" borderId="0"/>
    <xf numFmtId="0" fontId="4" fillId="0" borderId="0"/>
    <xf numFmtId="186" fontId="4" fillId="0" borderId="0"/>
    <xf numFmtId="0" fontId="23" fillId="104" borderId="0"/>
    <xf numFmtId="186" fontId="23" fillId="104"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6" fontId="23" fillId="104" borderId="0"/>
    <xf numFmtId="0" fontId="54" fillId="0" borderId="0"/>
    <xf numFmtId="0" fontId="23" fillId="104" borderId="0"/>
    <xf numFmtId="186" fontId="23" fillId="104" borderId="0"/>
    <xf numFmtId="186" fontId="54" fillId="0" borderId="0"/>
    <xf numFmtId="0" fontId="23" fillId="104" borderId="0"/>
    <xf numFmtId="186" fontId="23" fillId="104"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0" fontId="21" fillId="0" borderId="0"/>
    <xf numFmtId="186" fontId="21" fillId="0" borderId="0"/>
    <xf numFmtId="0" fontId="23" fillId="104" borderId="0"/>
    <xf numFmtId="186" fontId="23" fillId="104"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6" fontId="23" fillId="104" borderId="0"/>
    <xf numFmtId="0" fontId="23" fillId="104" borderId="0"/>
    <xf numFmtId="186" fontId="23" fillId="104" borderId="0"/>
    <xf numFmtId="0" fontId="4" fillId="0" borderId="0"/>
    <xf numFmtId="186" fontId="4" fillId="0" borderId="0"/>
    <xf numFmtId="0" fontId="23" fillId="104" borderId="0"/>
    <xf numFmtId="186" fontId="23" fillId="104" borderId="0"/>
    <xf numFmtId="0" fontId="23" fillId="104" borderId="0"/>
    <xf numFmtId="186" fontId="23" fillId="104" borderId="0"/>
    <xf numFmtId="0" fontId="23" fillId="104" borderId="0"/>
    <xf numFmtId="186" fontId="23" fillId="104" borderId="0"/>
    <xf numFmtId="0" fontId="23" fillId="104" borderId="0"/>
    <xf numFmtId="186" fontId="23" fillId="104" borderId="0"/>
    <xf numFmtId="186" fontId="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3" fillId="104" borderId="0"/>
    <xf numFmtId="204" fontId="4" fillId="0" borderId="0"/>
    <xf numFmtId="204" fontId="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204" fontId="4" fillId="0" borderId="0"/>
    <xf numFmtId="204" fontId="4" fillId="0" borderId="0"/>
    <xf numFmtId="204" fontId="4" fillId="0" borderId="0"/>
    <xf numFmtId="204" fontId="4" fillId="0" borderId="0"/>
    <xf numFmtId="204" fontId="4" fillId="0" borderId="0"/>
    <xf numFmtId="185" fontId="4" fillId="0" borderId="0"/>
    <xf numFmtId="185" fontId="4" fillId="0" borderId="0"/>
    <xf numFmtId="185" fontId="4" fillId="0" borderId="0"/>
    <xf numFmtId="0" fontId="23" fillId="104" borderId="0"/>
    <xf numFmtId="0" fontId="23" fillId="104"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23" fillId="104" borderId="0"/>
    <xf numFmtId="0" fontId="4" fillId="0" borderId="0"/>
    <xf numFmtId="0" fontId="4" fillId="0" borderId="0"/>
    <xf numFmtId="204"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189"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0" fontId="4" fillId="0" borderId="0"/>
    <xf numFmtId="0" fontId="4" fillId="0" borderId="0"/>
    <xf numFmtId="0" fontId="23" fillId="104" borderId="0"/>
    <xf numFmtId="0" fontId="23" fillId="104" borderId="0"/>
    <xf numFmtId="0" fontId="4" fillId="0" borderId="0"/>
    <xf numFmtId="0" fontId="4" fillId="0" borderId="0"/>
    <xf numFmtId="0" fontId="4" fillId="0" borderId="0"/>
    <xf numFmtId="0"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0" fontId="4"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0" fontId="23" fillId="104" borderId="0"/>
    <xf numFmtId="0" fontId="23" fillId="104" borderId="0"/>
    <xf numFmtId="0" fontId="23" fillId="104" borderId="0"/>
    <xf numFmtId="0" fontId="4" fillId="0" borderId="0"/>
    <xf numFmtId="0" fontId="23" fillId="104" borderId="0"/>
    <xf numFmtId="0" fontId="23" fillId="104" borderId="0"/>
    <xf numFmtId="204" fontId="4" fillId="0" borderId="0"/>
    <xf numFmtId="204" fontId="4" fillId="0" borderId="0"/>
    <xf numFmtId="204"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38"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23" fillId="104" borderId="0"/>
    <xf numFmtId="185" fontId="23" fillId="104" borderId="0"/>
    <xf numFmtId="186" fontId="23" fillId="104" borderId="0"/>
    <xf numFmtId="186" fontId="23" fillId="104" borderId="0"/>
    <xf numFmtId="189"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38"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9"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98" fontId="21" fillId="0" borderId="0"/>
    <xf numFmtId="198"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4" fillId="105" borderId="0" applyBorder="0" applyAlignment="0">
      <alignment horizontal="left"/>
    </xf>
    <xf numFmtId="185" fontId="34" fillId="105" borderId="0" applyBorder="0" applyAlignment="0">
      <alignment horizontal="left"/>
    </xf>
    <xf numFmtId="186" fontId="34" fillId="105" borderId="0" applyBorder="0" applyAlignment="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0" fontId="4" fillId="44" borderId="27" applyNumberFormat="0" applyFont="0" applyAlignment="0" applyProtection="0"/>
    <xf numFmtId="186" fontId="4" fillId="44" borderId="27"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4"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1" fillId="20" borderId="46" applyNumberFormat="0" applyFont="0" applyAlignment="0" applyProtection="0"/>
    <xf numFmtId="189" fontId="21" fillId="20" borderId="46" applyNumberFormat="0" applyFont="0" applyAlignment="0" applyProtection="0"/>
    <xf numFmtId="189" fontId="21" fillId="20"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9" fontId="21" fillId="20"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1" fillId="26" borderId="46"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4" fontId="23" fillId="20" borderId="32"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38" fillId="26" borderId="46" applyNumberFormat="0" applyFont="0" applyAlignment="0" applyProtection="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4" fontId="4"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38" fillId="26" borderId="46"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0" fontId="38"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205" fontId="136" fillId="0" borderId="47" applyFont="0" applyFill="0" applyBorder="0" applyAlignment="0" applyProtection="0">
      <alignment horizontal="center"/>
      <protection locked="0"/>
    </xf>
    <xf numFmtId="205" fontId="136" fillId="0" borderId="47"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4" fontId="82" fillId="42" borderId="24" applyNumberFormat="0" applyAlignment="0" applyProtection="0"/>
    <xf numFmtId="0"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9"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0" fontId="137" fillId="96" borderId="48" applyNumberFormat="0" applyAlignment="0" applyProtection="0"/>
    <xf numFmtId="186" fontId="137" fillId="96" borderId="48" applyNumberFormat="0" applyAlignment="0" applyProtection="0"/>
    <xf numFmtId="186" fontId="137" fillId="75" borderId="48" applyNumberFormat="0" applyAlignment="0" applyProtection="0"/>
    <xf numFmtId="184" fontId="137" fillId="96" borderId="48" applyNumberFormat="0" applyAlignment="0" applyProtection="0"/>
    <xf numFmtId="0"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6"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5" fontId="137" fillId="96" borderId="48" applyNumberFormat="0" applyAlignment="0" applyProtection="0"/>
    <xf numFmtId="185" fontId="137" fillId="96" borderId="48" applyNumberFormat="0" applyAlignment="0" applyProtection="0"/>
    <xf numFmtId="185"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4" fillId="0" borderId="0"/>
    <xf numFmtId="185" fontId="4" fillId="0" borderId="0"/>
    <xf numFmtId="186" fontId="4" fillId="0" borderId="0"/>
    <xf numFmtId="186" fontId="4" fillId="0" borderId="0"/>
    <xf numFmtId="185"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137" fillId="96" borderId="48" applyNumberFormat="0" applyAlignment="0" applyProtection="0"/>
    <xf numFmtId="185" fontId="137" fillId="96" borderId="48" applyNumberFormat="0" applyAlignment="0" applyProtection="0"/>
    <xf numFmtId="185"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137" fillId="75" borderId="48"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82" fillId="42" borderId="24" applyNumberFormat="0" applyAlignment="0" applyProtection="0"/>
    <xf numFmtId="186" fontId="82" fillId="42" borderId="24" applyNumberFormat="0" applyAlignment="0" applyProtection="0"/>
    <xf numFmtId="0" fontId="137" fillId="96" borderId="48" applyNumberFormat="0" applyAlignment="0" applyProtection="0"/>
    <xf numFmtId="186" fontId="137" fillId="96" borderId="48" applyNumberFormat="0" applyAlignment="0" applyProtection="0"/>
    <xf numFmtId="186"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139" fillId="0" borderId="0" applyFont="0" applyFill="0" applyBorder="0" applyProtection="0">
      <alignment horizontal="center"/>
    </xf>
    <xf numFmtId="192" fontId="139" fillId="0" borderId="0" applyFont="0" applyFill="0" applyBorder="0" applyProtection="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1"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206" fontId="21" fillId="0" borderId="0" applyFont="0" applyFill="0" applyBorder="0" applyAlignment="0" applyProtection="0"/>
    <xf numFmtId="206"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13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3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185" fontId="4" fillId="0" borderId="0"/>
    <xf numFmtId="186" fontId="4" fillId="0" borderId="0"/>
    <xf numFmtId="186" fontId="4" fillId="0" borderId="0"/>
    <xf numFmtId="9" fontId="4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185" fontId="4" fillId="0" borderId="0"/>
    <xf numFmtId="186" fontId="4" fillId="0" borderId="0"/>
    <xf numFmtId="186" fontId="4" fillId="0" borderId="0"/>
    <xf numFmtId="9" fontId="4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4" fillId="0" borderId="0" applyFont="0" applyAlignment="0">
      <alignment horizontal="center" wrapText="1"/>
    </xf>
    <xf numFmtId="9" fontId="34" fillId="0" borderId="0" applyFont="0" applyAlignment="0">
      <alignment horizontal="center"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5"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2" fillId="106" borderId="0" applyNumberFormat="0" applyFont="0" applyBorder="0" applyAlignment="0">
      <alignment horizontal="center"/>
    </xf>
    <xf numFmtId="186" fontId="142" fillId="106" borderId="0" applyNumberFormat="0" applyFont="0" applyBorder="0" applyAlignment="0">
      <alignment horizontal="center"/>
    </xf>
    <xf numFmtId="0"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0"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0"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2" fillId="106" borderId="0" applyNumberFormat="0" applyFont="0" applyBorder="0" applyAlignment="0">
      <alignment horizontal="center"/>
    </xf>
    <xf numFmtId="186" fontId="142" fillId="106" borderId="0" applyNumberFormat="0" applyFont="0" applyBorder="0" applyAlignment="0">
      <alignment horizontal="center"/>
    </xf>
    <xf numFmtId="207" fontId="143" fillId="0" borderId="0" applyNumberFormat="0" applyFill="0" applyBorder="0" applyAlignment="0" applyProtection="0">
      <alignment horizontal="left"/>
    </xf>
    <xf numFmtId="207" fontId="143" fillId="0" borderId="0" applyNumberForma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6" fontId="21" fillId="0" borderId="0"/>
    <xf numFmtId="4" fontId="23" fillId="25" borderId="32" applyNumberFormat="0" applyProtection="0">
      <alignment vertical="center"/>
    </xf>
    <xf numFmtId="186"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4" fillId="0" borderId="0"/>
    <xf numFmtId="185" fontId="4" fillId="0" borderId="0"/>
    <xf numFmtId="186" fontId="4" fillId="0" borderId="0"/>
    <xf numFmtId="186" fontId="4"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3" fillId="25"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144" fillId="107" borderId="32" applyNumberFormat="0" applyProtection="0">
      <alignment vertical="center"/>
    </xf>
    <xf numFmtId="186" fontId="21" fillId="0" borderId="0"/>
    <xf numFmtId="4" fontId="45"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4" fillId="0" borderId="0"/>
    <xf numFmtId="185" fontId="4" fillId="0" borderId="0"/>
    <xf numFmtId="186" fontId="4" fillId="0" borderId="0"/>
    <xf numFmtId="186" fontId="4"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5" fillId="25"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6" fontId="21" fillId="0" borderId="0"/>
    <xf numFmtId="4" fontId="23" fillId="107" borderId="32" applyNumberFormat="0" applyProtection="0">
      <alignment horizontal="left" vertical="center" indent="1"/>
    </xf>
    <xf numFmtId="186"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4" fillId="0" borderId="0"/>
    <xf numFmtId="185" fontId="4" fillId="0" borderId="0"/>
    <xf numFmtId="186" fontId="4" fillId="0" borderId="0"/>
    <xf numFmtId="186" fontId="4"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3" fillId="25"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189" fontId="43" fillId="25" borderId="1" applyNumberFormat="0" applyProtection="0">
      <alignment horizontal="left" vertical="top" indent="1"/>
    </xf>
    <xf numFmtId="0" fontId="21" fillId="0" borderId="0"/>
    <xf numFmtId="186" fontId="21" fillId="0" borderId="0"/>
    <xf numFmtId="189"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21" fillId="0" borderId="0"/>
    <xf numFmtId="186" fontId="21" fillId="0" borderId="0"/>
    <xf numFmtId="0" fontId="21" fillId="0" borderId="0"/>
    <xf numFmtId="186" fontId="21" fillId="0" borderId="0"/>
    <xf numFmtId="0" fontId="145" fillId="25" borderId="1" applyNumberFormat="0" applyProtection="0">
      <alignment horizontal="left" vertical="top" indent="1"/>
    </xf>
    <xf numFmtId="186" fontId="145" fillId="25" borderId="1" applyNumberFormat="0" applyProtection="0">
      <alignment horizontal="left" vertical="top" indent="1"/>
    </xf>
    <xf numFmtId="186" fontId="21" fillId="0" borderId="0"/>
    <xf numFmtId="184" fontId="145"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145" fillId="25" borderId="1" applyNumberFormat="0" applyProtection="0">
      <alignment horizontal="left" vertical="top" indent="1"/>
    </xf>
    <xf numFmtId="185" fontId="145" fillId="25" borderId="1" applyNumberFormat="0" applyProtection="0">
      <alignment horizontal="left" vertical="top" indent="1"/>
    </xf>
    <xf numFmtId="185" fontId="145" fillId="25" borderId="1" applyNumberFormat="0" applyProtection="0">
      <alignment horizontal="left" vertical="top" indent="1"/>
    </xf>
    <xf numFmtId="185"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145" fillId="25" borderId="1" applyNumberFormat="0" applyProtection="0">
      <alignment horizontal="left" vertical="top" indent="1"/>
    </xf>
    <xf numFmtId="185" fontId="145" fillId="25" borderId="1" applyNumberFormat="0" applyProtection="0">
      <alignment horizontal="left" vertical="top" indent="1"/>
    </xf>
    <xf numFmtId="185"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6"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6" fontId="21" fillId="0" borderId="0"/>
    <xf numFmtId="4" fontId="23" fillId="2" borderId="32" applyNumberFormat="0" applyProtection="0">
      <alignment horizontal="right" vertical="center"/>
    </xf>
    <xf numFmtId="186"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6" fontId="21" fillId="0" borderId="0"/>
    <xf numFmtId="4" fontId="23" fillId="108" borderId="32" applyNumberFormat="0" applyProtection="0">
      <alignment horizontal="right" vertical="center"/>
    </xf>
    <xf numFmtId="186"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6" fontId="21" fillId="0" borderId="0"/>
    <xf numFmtId="186"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4" fillId="0" borderId="0"/>
    <xf numFmtId="185" fontId="4" fillId="0" borderId="0"/>
    <xf numFmtId="186" fontId="4" fillId="0" borderId="0"/>
    <xf numFmtId="186" fontId="4"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6" fontId="21" fillId="0" borderId="0"/>
    <xf numFmtId="4" fontId="23" fillId="6" borderId="32" applyNumberFormat="0" applyProtection="0">
      <alignment horizontal="right" vertical="center"/>
    </xf>
    <xf numFmtId="186"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6" fontId="21" fillId="0" borderId="0"/>
    <xf numFmtId="4" fontId="23" fillId="7" borderId="32" applyNumberFormat="0" applyProtection="0">
      <alignment horizontal="right" vertical="center"/>
    </xf>
    <xf numFmtId="186"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6" fontId="21" fillId="0" borderId="0"/>
    <xf numFmtId="4" fontId="23" fillId="19" borderId="32" applyNumberFormat="0" applyProtection="0">
      <alignment horizontal="right" vertical="center"/>
    </xf>
    <xf numFmtId="186"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6" fontId="21" fillId="0" borderId="0"/>
    <xf numFmtId="4" fontId="23" fillId="15" borderId="32" applyNumberFormat="0" applyProtection="0">
      <alignment horizontal="right" vertical="center"/>
    </xf>
    <xf numFmtId="186"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6" fontId="21" fillId="0" borderId="0"/>
    <xf numFmtId="4" fontId="23" fillId="28" borderId="32" applyNumberFormat="0" applyProtection="0">
      <alignment horizontal="right" vertical="center"/>
    </xf>
    <xf numFmtId="186"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6" fontId="21" fillId="0" borderId="0"/>
    <xf numFmtId="4" fontId="23" fillId="5" borderId="32" applyNumberFormat="0" applyProtection="0">
      <alignment horizontal="right" vertical="center"/>
    </xf>
    <xf numFmtId="186"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6" fontId="21" fillId="0" borderId="0"/>
    <xf numFmtId="186"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186"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0"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186"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6" fontId="21" fillId="0" borderId="0"/>
    <xf numFmtId="4" fontId="23" fillId="27" borderId="32" applyNumberFormat="0" applyProtection="0">
      <alignment horizontal="right" vertical="center"/>
    </xf>
    <xf numFmtId="186"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6" fontId="21" fillId="0" borderId="0"/>
    <xf numFmtId="186"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0"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6" fontId="21" fillId="0" borderId="0"/>
    <xf numFmtId="186"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0"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189" fontId="21" fillId="31" borderId="1" applyNumberFormat="0" applyProtection="0">
      <alignment horizontal="left" vertical="center" indent="1"/>
    </xf>
    <xf numFmtId="0" fontId="21" fillId="0" borderId="0"/>
    <xf numFmtId="186" fontId="21" fillId="0" borderId="0"/>
    <xf numFmtId="189"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0" borderId="0"/>
    <xf numFmtId="186"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0" fontId="21" fillId="0" borderId="0"/>
    <xf numFmtId="186" fontId="21" fillId="0" borderId="0"/>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1" fillId="0" borderId="0"/>
    <xf numFmtId="184" fontId="23" fillId="75" borderId="32" applyNumberFormat="0" applyProtection="0">
      <alignment horizontal="left" vertical="center" indent="1"/>
    </xf>
    <xf numFmtId="186"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3" fillId="75" borderId="32" applyNumberFormat="0" applyProtection="0">
      <alignment horizontal="left" vertical="center" indent="1"/>
    </xf>
    <xf numFmtId="189" fontId="23" fillId="75" borderId="32" applyNumberFormat="0" applyProtection="0">
      <alignment horizontal="left" vertical="center" indent="1"/>
    </xf>
    <xf numFmtId="189"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9"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9"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9"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21" fillId="0" borderId="0"/>
    <xf numFmtId="186" fontId="21" fillId="0" borderId="0"/>
    <xf numFmtId="189" fontId="21" fillId="27" borderId="1" applyNumberFormat="0" applyProtection="0">
      <alignment horizontal="left" vertical="center" indent="1"/>
    </xf>
    <xf numFmtId="0" fontId="21" fillId="0" borderId="0"/>
    <xf numFmtId="186" fontId="21" fillId="0" borderId="0"/>
    <xf numFmtId="189"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0" borderId="0"/>
    <xf numFmtId="186"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0" fontId="21" fillId="0" borderId="0"/>
    <xf numFmtId="186" fontId="21" fillId="0" borderId="0"/>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1" fillId="0" borderId="0"/>
    <xf numFmtId="184" fontId="23" fillId="109" borderId="32" applyNumberFormat="0" applyProtection="0">
      <alignment horizontal="left" vertical="center" indent="1"/>
    </xf>
    <xf numFmtId="186"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3" fillId="109" borderId="32" applyNumberFormat="0" applyProtection="0">
      <alignment horizontal="left" vertical="center" indent="1"/>
    </xf>
    <xf numFmtId="189" fontId="23" fillId="109" borderId="32" applyNumberFormat="0" applyProtection="0">
      <alignment horizontal="left" vertical="center" indent="1"/>
    </xf>
    <xf numFmtId="189"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9"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1" fillId="0" borderId="0"/>
    <xf numFmtId="186" fontId="21" fillId="0" borderId="0"/>
    <xf numFmtId="189" fontId="21" fillId="27" borderId="1" applyNumberFormat="0" applyProtection="0">
      <alignment horizontal="left" vertical="top" indent="1"/>
    </xf>
    <xf numFmtId="0" fontId="21" fillId="0" borderId="0"/>
    <xf numFmtId="186" fontId="21" fillId="0" borderId="0"/>
    <xf numFmtId="189"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0" borderId="0"/>
    <xf numFmtId="186"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0" fontId="21" fillId="0" borderId="0"/>
    <xf numFmtId="186" fontId="21" fillId="0" borderId="0"/>
    <xf numFmtId="0" fontId="23" fillId="27" borderId="1" applyNumberFormat="0" applyProtection="0">
      <alignment horizontal="left" vertical="top" indent="1"/>
    </xf>
    <xf numFmtId="186" fontId="23"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6" fontId="21" fillId="0" borderId="0"/>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1" fillId="0" borderId="0"/>
    <xf numFmtId="186" fontId="21" fillId="0" borderId="0"/>
    <xf numFmtId="189" fontId="21" fillId="3" borderId="1" applyNumberFormat="0" applyProtection="0">
      <alignment horizontal="left" vertical="center" indent="1"/>
    </xf>
    <xf numFmtId="0" fontId="21" fillId="0" borderId="0"/>
    <xf numFmtId="186" fontId="21" fillId="0" borderId="0"/>
    <xf numFmtId="189"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0" borderId="0"/>
    <xf numFmtId="186"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0" fontId="21" fillId="0" borderId="0"/>
    <xf numFmtId="186" fontId="21" fillId="0" borderId="0"/>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1" fillId="0" borderId="0"/>
    <xf numFmtId="184" fontId="23" fillId="3" borderId="32"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1" fillId="0" borderId="0"/>
    <xf numFmtId="186" fontId="21" fillId="0" borderId="0"/>
    <xf numFmtId="189" fontId="21" fillId="3" borderId="1" applyNumberFormat="0" applyProtection="0">
      <alignment horizontal="left" vertical="top" indent="1"/>
    </xf>
    <xf numFmtId="0" fontId="21" fillId="0" borderId="0"/>
    <xf numFmtId="186" fontId="21" fillId="0" borderId="0"/>
    <xf numFmtId="189"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0" borderId="0"/>
    <xf numFmtId="186"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0" fontId="21" fillId="0" borderId="0"/>
    <xf numFmtId="186" fontId="21" fillId="0" borderId="0"/>
    <xf numFmtId="0" fontId="23" fillId="3" borderId="1" applyNumberFormat="0" applyProtection="0">
      <alignment horizontal="left" vertical="top" indent="1"/>
    </xf>
    <xf numFmtId="186" fontId="23"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6" fontId="21" fillId="0" borderId="0"/>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1" fillId="0" borderId="0"/>
    <xf numFmtId="186" fontId="21" fillId="0" borderId="0"/>
    <xf numFmtId="189" fontId="21" fillId="30" borderId="1" applyNumberFormat="0" applyProtection="0">
      <alignment horizontal="left" vertical="center" indent="1"/>
    </xf>
    <xf numFmtId="0" fontId="21" fillId="0" borderId="0"/>
    <xf numFmtId="186" fontId="21" fillId="0" borderId="0"/>
    <xf numFmtId="189"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0" borderId="0"/>
    <xf numFmtId="186"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0" fontId="21" fillId="0" borderId="0"/>
    <xf numFmtId="186" fontId="21" fillId="0" borderId="0"/>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1" fillId="0" borderId="0"/>
    <xf numFmtId="184" fontId="23" fillId="30" borderId="32"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1" fillId="0" borderId="0"/>
    <xf numFmtId="186" fontId="21" fillId="0" borderId="0"/>
    <xf numFmtId="189" fontId="21" fillId="30" borderId="1" applyNumberFormat="0" applyProtection="0">
      <alignment horizontal="left" vertical="top" indent="1"/>
    </xf>
    <xf numFmtId="0" fontId="21" fillId="0" borderId="0"/>
    <xf numFmtId="186" fontId="21" fillId="0" borderId="0"/>
    <xf numFmtId="189"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0" borderId="0"/>
    <xf numFmtId="186"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0" fontId="21" fillId="0" borderId="0"/>
    <xf numFmtId="186" fontId="21" fillId="0" borderId="0"/>
    <xf numFmtId="0" fontId="23" fillId="30" borderId="1" applyNumberFormat="0" applyProtection="0">
      <alignment horizontal="left" vertical="top" indent="1"/>
    </xf>
    <xf numFmtId="186" fontId="23"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6" fontId="21" fillId="0" borderId="0"/>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2" borderId="52" applyNumberFormat="0">
      <protection locked="0"/>
    </xf>
    <xf numFmtId="186" fontId="23" fillId="32" borderId="52" applyNumberFormat="0">
      <protection locked="0"/>
    </xf>
    <xf numFmtId="0" fontId="21" fillId="0" borderId="0"/>
    <xf numFmtId="186" fontId="21" fillId="0" borderId="0"/>
    <xf numFmtId="189" fontId="21" fillId="32" borderId="3" applyNumberFormat="0">
      <protection locked="0"/>
    </xf>
    <xf numFmtId="0" fontId="21" fillId="0" borderId="0"/>
    <xf numFmtId="186" fontId="21" fillId="0" borderId="0"/>
    <xf numFmtId="186" fontId="21" fillId="32" borderId="3" applyNumberFormat="0">
      <protection locked="0"/>
    </xf>
    <xf numFmtId="0" fontId="21" fillId="0" borderId="0"/>
    <xf numFmtId="186" fontId="21" fillId="0" borderId="0"/>
    <xf numFmtId="0" fontId="23" fillId="32" borderId="52" applyNumberFormat="0">
      <protection locked="0"/>
    </xf>
    <xf numFmtId="186" fontId="23" fillId="32" borderId="52" applyNumberFormat="0">
      <protection locked="0"/>
    </xf>
    <xf numFmtId="0" fontId="21" fillId="0" borderId="0"/>
    <xf numFmtId="186" fontId="21" fillId="0" borderId="0"/>
    <xf numFmtId="186" fontId="21" fillId="0" borderId="0"/>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0" fontId="23" fillId="32" borderId="52" applyNumberFormat="0">
      <protection locked="0"/>
    </xf>
    <xf numFmtId="185" fontId="23" fillId="32" borderId="52" applyNumberFormat="0">
      <protection locked="0"/>
    </xf>
    <xf numFmtId="185"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6" fontId="23" fillId="32" borderId="52" applyNumberFormat="0">
      <protection locked="0"/>
    </xf>
    <xf numFmtId="0"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6" fontId="23" fillId="32" borderId="52" applyNumberFormat="0">
      <protection locked="0"/>
    </xf>
    <xf numFmtId="0"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7"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0"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0"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32" borderId="52" applyNumberFormat="0">
      <protection locked="0"/>
    </xf>
    <xf numFmtId="185"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6" fontId="23" fillId="32" borderId="52" applyNumberFormat="0">
      <protection locked="0"/>
    </xf>
    <xf numFmtId="0" fontId="23" fillId="32" borderId="52" applyNumberFormat="0">
      <protection locked="0"/>
    </xf>
    <xf numFmtId="0"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0" fontId="23" fillId="32" borderId="52" applyNumberFormat="0">
      <protection locked="0"/>
    </xf>
    <xf numFmtId="0"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5" fontId="23" fillId="32" borderId="52" applyNumberFormat="0">
      <protection locked="0"/>
    </xf>
    <xf numFmtId="186" fontId="23" fillId="32" borderId="52" applyNumberFormat="0">
      <protection locked="0"/>
    </xf>
    <xf numFmtId="186" fontId="23" fillId="32" borderId="52" applyNumberFormat="0">
      <protection locked="0"/>
    </xf>
    <xf numFmtId="184" fontId="146" fillId="31" borderId="53" applyBorder="0"/>
    <xf numFmtId="186" fontId="146" fillId="31" borderId="53" applyBorder="0"/>
    <xf numFmtId="184" fontId="146" fillId="31" borderId="53" applyBorder="0"/>
    <xf numFmtId="0"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187"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6" fillId="31" borderId="53" applyBorder="0"/>
    <xf numFmtId="186" fontId="146" fillId="31" borderId="53" applyBorder="0"/>
    <xf numFmtId="186" fontId="146" fillId="31" borderId="53" applyBorder="0"/>
    <xf numFmtId="0"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187"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6" fillId="31" borderId="53" applyBorder="0"/>
    <xf numFmtId="186" fontId="146" fillId="31" borderId="53" applyBorder="0"/>
    <xf numFmtId="186"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0"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6" fillId="31" borderId="53" applyBorder="0"/>
    <xf numFmtId="189" fontId="146" fillId="31" borderId="53" applyBorder="0"/>
    <xf numFmtId="186" fontId="146" fillId="31" borderId="53" applyBorder="0"/>
    <xf numFmtId="186" fontId="146" fillId="31" borderId="53" applyBorder="0"/>
    <xf numFmtId="0" fontId="146" fillId="31" borderId="53" applyBorder="0"/>
    <xf numFmtId="186" fontId="146" fillId="31" borderId="53" applyBorder="0"/>
    <xf numFmtId="0" fontId="21" fillId="0" borderId="0"/>
    <xf numFmtId="186" fontId="21" fillId="0" borderId="0"/>
    <xf numFmtId="0" fontId="21" fillId="0" borderId="0"/>
    <xf numFmtId="186" fontId="21" fillId="0" borderId="0"/>
    <xf numFmtId="4" fontId="138" fillId="26" borderId="1" applyNumberFormat="0" applyProtection="0">
      <alignment vertical="center"/>
    </xf>
    <xf numFmtId="186" fontId="21" fillId="0" borderId="0"/>
    <xf numFmtId="4" fontId="41"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4" fillId="0" borderId="0"/>
    <xf numFmtId="185" fontId="4" fillId="0" borderId="0"/>
    <xf numFmtId="186" fontId="4" fillId="0" borderId="0"/>
    <xf numFmtId="186" fontId="4" fillId="0" borderId="0"/>
    <xf numFmtId="4" fontId="138"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186" fontId="21" fillId="0" borderId="0"/>
    <xf numFmtId="4" fontId="47"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4" fillId="0" borderId="0"/>
    <xf numFmtId="185" fontId="4" fillId="0" borderId="0"/>
    <xf numFmtId="186" fontId="4" fillId="0" borderId="0"/>
    <xf numFmtId="186" fontId="4" fillId="0" borderId="0"/>
    <xf numFmtId="4" fontId="47" fillId="26" borderId="1" applyNumberFormat="0" applyProtection="0">
      <alignment vertical="center"/>
    </xf>
    <xf numFmtId="4" fontId="47"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7" fillId="26"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138" fillId="75" borderId="1" applyNumberFormat="0" applyProtection="0">
      <alignment horizontal="left" vertical="center" indent="1"/>
    </xf>
    <xf numFmtId="186" fontId="21" fillId="0" borderId="0"/>
    <xf numFmtId="4" fontId="41"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4" fillId="0" borderId="0"/>
    <xf numFmtId="185" fontId="4" fillId="0" borderId="0"/>
    <xf numFmtId="186" fontId="4" fillId="0" borderId="0"/>
    <xf numFmtId="186" fontId="4" fillId="0" borderId="0"/>
    <xf numFmtId="4" fontId="138"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189" fontId="41" fillId="26" borderId="1" applyNumberFormat="0" applyProtection="0">
      <alignment horizontal="left" vertical="top" indent="1"/>
    </xf>
    <xf numFmtId="0" fontId="21" fillId="0" borderId="0"/>
    <xf numFmtId="186" fontId="21" fillId="0" borderId="0"/>
    <xf numFmtId="189"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21" fillId="0" borderId="0"/>
    <xf numFmtId="186" fontId="21" fillId="0" borderId="0"/>
    <xf numFmtId="0" fontId="21" fillId="0" borderId="0"/>
    <xf numFmtId="186" fontId="21" fillId="0" borderId="0"/>
    <xf numFmtId="0" fontId="138" fillId="26" borderId="1" applyNumberFormat="0" applyProtection="0">
      <alignment horizontal="left" vertical="top" indent="1"/>
    </xf>
    <xf numFmtId="186" fontId="138" fillId="26" borderId="1" applyNumberFormat="0" applyProtection="0">
      <alignment horizontal="left" vertical="top" indent="1"/>
    </xf>
    <xf numFmtId="186" fontId="21" fillId="0" borderId="0"/>
    <xf numFmtId="184" fontId="138"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138" fillId="26" borderId="1" applyNumberFormat="0" applyProtection="0">
      <alignment horizontal="left" vertical="top" indent="1"/>
    </xf>
    <xf numFmtId="185" fontId="138" fillId="26" borderId="1" applyNumberFormat="0" applyProtection="0">
      <alignment horizontal="left" vertical="top" indent="1"/>
    </xf>
    <xf numFmtId="185" fontId="138" fillId="26" borderId="1" applyNumberFormat="0" applyProtection="0">
      <alignment horizontal="left" vertical="top" indent="1"/>
    </xf>
    <xf numFmtId="185"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138" fillId="26" borderId="1" applyNumberFormat="0" applyProtection="0">
      <alignment horizontal="left" vertical="top" indent="1"/>
    </xf>
    <xf numFmtId="185" fontId="138" fillId="26" borderId="1" applyNumberFormat="0" applyProtection="0">
      <alignment horizontal="left" vertical="top" indent="1"/>
    </xf>
    <xf numFmtId="185"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7"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1" fillId="0" borderId="0"/>
    <xf numFmtId="186" fontId="21" fillId="0" borderId="0"/>
    <xf numFmtId="189" fontId="41" fillId="27" borderId="1" applyNumberFormat="0" applyProtection="0">
      <alignment horizontal="left" vertical="top" indent="1"/>
    </xf>
    <xf numFmtId="0" fontId="21" fillId="0" borderId="0"/>
    <xf numFmtId="186" fontId="21" fillId="0" borderId="0"/>
    <xf numFmtId="189"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21" fillId="0" borderId="0"/>
    <xf numFmtId="186" fontId="21" fillId="0" borderId="0"/>
    <xf numFmtId="0" fontId="21" fillId="0" borderId="0"/>
    <xf numFmtId="186" fontId="21" fillId="0" borderId="0"/>
    <xf numFmtId="0" fontId="138" fillId="27" borderId="1" applyNumberFormat="0" applyProtection="0">
      <alignment horizontal="left" vertical="top" indent="1"/>
    </xf>
    <xf numFmtId="186" fontId="138" fillId="27" borderId="1" applyNumberFormat="0" applyProtection="0">
      <alignment horizontal="left" vertical="top" indent="1"/>
    </xf>
    <xf numFmtId="186" fontId="21" fillId="0" borderId="0"/>
    <xf numFmtId="184" fontId="138"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138" fillId="27" borderId="1" applyNumberFormat="0" applyProtection="0">
      <alignment horizontal="left" vertical="top" indent="1"/>
    </xf>
    <xf numFmtId="185" fontId="138" fillId="27" borderId="1" applyNumberFormat="0" applyProtection="0">
      <alignment horizontal="left" vertical="top" indent="1"/>
    </xf>
    <xf numFmtId="185" fontId="138" fillId="27" borderId="1" applyNumberFormat="0" applyProtection="0">
      <alignment horizontal="left" vertical="top" indent="1"/>
    </xf>
    <xf numFmtId="185"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138" fillId="27" borderId="1" applyNumberFormat="0" applyProtection="0">
      <alignment horizontal="left" vertical="top" indent="1"/>
    </xf>
    <xf numFmtId="185" fontId="138" fillId="27" borderId="1" applyNumberFormat="0" applyProtection="0">
      <alignment horizontal="left" vertical="top" indent="1"/>
    </xf>
    <xf numFmtId="185"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186" fontId="21" fillId="0" borderId="0"/>
    <xf numFmtId="4" fontId="48"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8" fillId="33"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184" fontId="23" fillId="111" borderId="3"/>
    <xf numFmtId="186" fontId="23" fillId="111" borderId="3"/>
    <xf numFmtId="184" fontId="23" fillId="111" borderId="3"/>
    <xf numFmtId="0"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0"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0"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3" fillId="111" borderId="3"/>
    <xf numFmtId="186" fontId="23" fillId="111" borderId="3"/>
    <xf numFmtId="0" fontId="23" fillId="111" borderId="3"/>
    <xf numFmtId="186" fontId="23" fillId="111" borderId="3"/>
    <xf numFmtId="0" fontId="21" fillId="0" borderId="0"/>
    <xf numFmtId="186" fontId="21" fillId="0" borderId="0"/>
    <xf numFmtId="0" fontId="21" fillId="0" borderId="0"/>
    <xf numFmtId="186" fontId="21" fillId="0" borderId="0"/>
    <xf numFmtId="4" fontId="148" fillId="32" borderId="32" applyNumberFormat="0" applyProtection="0">
      <alignment horizontal="right" vertical="center"/>
    </xf>
    <xf numFmtId="186" fontId="21" fillId="0" borderId="0"/>
    <xf numFmtId="4" fontId="42"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4" fillId="0" borderId="0"/>
    <xf numFmtId="185" fontId="4" fillId="0" borderId="0"/>
    <xf numFmtId="186" fontId="4" fillId="0" borderId="0"/>
    <xf numFmtId="186" fontId="4"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2" fillId="1" borderId="9" applyNumberFormat="0" applyFont="0" applyAlignment="0">
      <alignment horizontal="center"/>
    </xf>
    <xf numFmtId="189" fontId="142" fillId="1" borderId="9" applyNumberFormat="0" applyFont="0" applyAlignment="0">
      <alignment horizontal="center"/>
    </xf>
    <xf numFmtId="189"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4"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149" fillId="0" borderId="0" applyNumberFormat="0" applyFill="0" applyBorder="0" applyAlignment="0">
      <alignment horizontal="center"/>
    </xf>
    <xf numFmtId="186" fontId="149" fillId="0" borderId="0" applyNumberFormat="0" applyFill="0" applyBorder="0" applyAlignment="0">
      <alignment horizontal="center"/>
    </xf>
    <xf numFmtId="0"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0"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0"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9" fillId="0" borderId="0" applyNumberFormat="0" applyFill="0" applyBorder="0" applyAlignment="0">
      <alignment horizontal="center"/>
    </xf>
    <xf numFmtId="186" fontId="149" fillId="0" borderId="0" applyNumberFormat="0" applyFill="0" applyBorder="0" applyAlignment="0">
      <alignment horizontal="center"/>
    </xf>
    <xf numFmtId="185" fontId="150" fillId="0" borderId="0">
      <alignment horizontal="right"/>
    </xf>
    <xf numFmtId="185" fontId="150" fillId="0" borderId="0">
      <alignment horizontal="right"/>
    </xf>
    <xf numFmtId="186" fontId="150" fillId="0" borderId="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0" fillId="0" borderId="0">
      <alignment horizontal="right"/>
    </xf>
    <xf numFmtId="188" fontId="21" fillId="0" borderId="0">
      <alignment horizontal="left" wrapText="1"/>
    </xf>
    <xf numFmtId="188" fontId="21" fillId="0" borderId="0">
      <alignment horizontal="left" wrapText="1"/>
    </xf>
    <xf numFmtId="188" fontId="21"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8" fontId="21"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0" fontId="151" fillId="0" borderId="0" applyBorder="0">
      <alignment horizontal="right"/>
    </xf>
    <xf numFmtId="40" fontId="151" fillId="0" borderId="0" applyBorder="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9" fontId="152" fillId="0" borderId="0">
      <alignment horizontal="left"/>
    </xf>
    <xf numFmtId="49" fontId="152" fillId="0" borderId="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53" fillId="112" borderId="0" applyNumberFormat="0" applyBorder="0" applyAlignment="0" applyProtection="0">
      <protection locked="0"/>
    </xf>
    <xf numFmtId="185" fontId="153" fillId="112" borderId="0" applyNumberFormat="0" applyBorder="0" applyAlignment="0" applyProtection="0">
      <protection locked="0"/>
    </xf>
    <xf numFmtId="186" fontId="153" fillId="112" borderId="0" applyNumberFormat="0" applyBorder="0" applyAlignment="0" applyProtection="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3" fillId="112" borderId="0" applyNumberFormat="0" applyBorder="0" applyAlignment="0" applyProtection="0">
      <protection locked="0"/>
    </xf>
    <xf numFmtId="0"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9" fillId="0" borderId="0" applyNumberFormat="0" applyFill="0" applyBorder="0" applyAlignment="0" applyProtection="0"/>
    <xf numFmtId="0" fontId="154" fillId="0" borderId="0" applyNumberFormat="0" applyFill="0" applyBorder="0" applyAlignment="0" applyProtection="0"/>
    <xf numFmtId="186" fontId="154" fillId="0" borderId="0" applyNumberFormat="0" applyFill="0" applyBorder="0" applyAlignment="0" applyProtection="0"/>
    <xf numFmtId="186" fontId="49" fillId="0" borderId="0" applyNumberFormat="0" applyFill="0" applyBorder="0" applyAlignment="0" applyProtection="0"/>
    <xf numFmtId="186" fontId="15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0"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154"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15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154"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0"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6" fontId="74" fillId="0" borderId="0" applyNumberFormat="0" applyFill="0" applyBorder="0" applyAlignment="0" applyProtection="0"/>
    <xf numFmtId="184" fontId="74" fillId="0" borderId="0" applyNumberFormat="0" applyFill="0" applyBorder="0" applyAlignment="0" applyProtection="0"/>
    <xf numFmtId="184" fontId="52" fillId="0" borderId="28" applyNumberFormat="0" applyFill="0" applyAlignment="0" applyProtection="0"/>
    <xf numFmtId="0"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9"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40" fillId="0" borderId="54" applyNumberFormat="0" applyFill="0" applyAlignment="0" applyProtection="0"/>
    <xf numFmtId="184" fontId="40" fillId="0" borderId="55"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40" fillId="0" borderId="54"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99" fontId="21" fillId="0" borderId="16">
      <protection locked="0"/>
    </xf>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99" fontId="21" fillId="0" borderId="16">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52" fillId="0" borderId="28" applyNumberFormat="0" applyFill="0" applyAlignment="0" applyProtection="0"/>
    <xf numFmtId="186" fontId="52" fillId="0" borderId="28"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0" borderId="0"/>
    <xf numFmtId="37" fontId="23" fillId="0" borderId="0"/>
    <xf numFmtId="37" fontId="23"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0" borderId="0"/>
    <xf numFmtId="37" fontId="23" fillId="69" borderId="0" applyNumberFormat="0" applyBorder="0" applyAlignment="0" applyProtection="0"/>
    <xf numFmtId="3" fontId="155" fillId="0" borderId="42" applyProtection="0"/>
    <xf numFmtId="3" fontId="155" fillId="0" borderId="42"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56" fillId="0" borderId="0" applyNumberFormat="0" applyFill="0" applyBorder="0" applyAlignment="0" applyProtection="0"/>
    <xf numFmtId="0"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184" fontId="157"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7"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5" fontId="157" fillId="0" borderId="0" applyNumberFormat="0" applyFill="0" applyBorder="0" applyAlignment="0" applyProtection="0"/>
    <xf numFmtId="185" fontId="157" fillId="0" borderId="0" applyNumberFormat="0" applyFill="0" applyBorder="0" applyAlignment="0" applyProtection="0"/>
    <xf numFmtId="186" fontId="157"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7" fillId="0" borderId="0" applyNumberFormat="0" applyFill="0" applyBorder="0" applyAlignment="0" applyProtection="0"/>
    <xf numFmtId="0" fontId="157" fillId="0" borderId="0" applyNumberFormat="0" applyFill="0" applyBorder="0" applyAlignment="0" applyProtection="0"/>
    <xf numFmtId="185" fontId="157" fillId="0" borderId="0" applyNumberFormat="0" applyFill="0" applyBorder="0" applyAlignment="0" applyProtection="0"/>
    <xf numFmtId="186" fontId="157" fillId="0" borderId="0" applyNumberFormat="0" applyFill="0" applyBorder="0" applyAlignment="0" applyProtection="0"/>
    <xf numFmtId="186" fontId="157"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7"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56" fillId="0" borderId="0" applyNumberFormat="0" applyFill="0" applyBorder="0" applyAlignment="0" applyProtection="0"/>
    <xf numFmtId="0"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15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184"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99" fillId="0" borderId="0" applyNumberFormat="0" applyFont="0" applyFill="0" applyBorder="0" applyProtection="0">
      <alignment wrapText="1"/>
    </xf>
    <xf numFmtId="192" fontId="99" fillId="0" borderId="0" applyNumberFormat="0" applyFont="0" applyFill="0" applyBorder="0" applyProtection="0">
      <alignmen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cellStyleXfs>
  <cellXfs count="1441">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3" fontId="24" fillId="0" borderId="0" xfId="28" applyNumberFormat="1" applyFont="1" applyFill="1" applyBorder="1" applyAlignment="1">
      <alignment horizontal="left"/>
    </xf>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165" fontId="0" fillId="34" borderId="0" xfId="0" applyNumberForma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164" fontId="24" fillId="34" borderId="0" xfId="20" applyNumberFormat="1" applyFont="1" applyFill="1" applyBorder="1" applyAlignment="1">
      <alignment horizontal="right"/>
    </xf>
    <xf numFmtId="0" fontId="24" fillId="0" borderId="0" xfId="0" applyFont="1" applyFill="1" applyBorder="1" applyAlignment="1">
      <alignment horizontal="left"/>
    </xf>
    <xf numFmtId="168" fontId="0" fillId="0" borderId="0" xfId="0" applyNumberFormat="1"/>
    <xf numFmtId="168" fontId="29" fillId="0" borderId="0" xfId="0" applyNumberFormat="1" applyFont="1"/>
    <xf numFmtId="165" fontId="0" fillId="0" borderId="0" xfId="0" applyNumberFormat="1" applyFill="1"/>
    <xf numFmtId="168" fontId="0" fillId="0" borderId="0" xfId="0" applyNumberFormat="1" applyAlignment="1">
      <alignment horizontal="left" indent="1"/>
    </xf>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6" fontId="0" fillId="0" borderId="0" xfId="0" applyNumberFormat="1" applyAlignmen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3"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4" fontId="0" fillId="0" borderId="0" xfId="0" applyNumberFormat="1"/>
    <xf numFmtId="169"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0" fontId="24" fillId="0" borderId="0" xfId="0" applyFont="1" applyAlignment="1">
      <alignment horizontal="left" indent="2"/>
    </xf>
    <xf numFmtId="3" fontId="0" fillId="36" borderId="0" xfId="0" applyNumberFormat="1" applyFill="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168" fontId="24" fillId="0" borderId="0" xfId="20" applyNumberFormat="1" applyFont="1" applyFill="1" applyBorder="1" applyAlignment="1">
      <alignment horizontal="right"/>
    </xf>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164" fontId="29" fillId="36" borderId="0" xfId="0" applyNumberFormat="1" applyFont="1" applyFill="1"/>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6"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0" fontId="24" fillId="0" borderId="0" xfId="28" applyNumberFormat="1" applyFont="1" applyFill="1" applyBorder="1" applyAlignment="1">
      <alignment horizontal="left" indent="1"/>
    </xf>
    <xf numFmtId="168" fontId="24" fillId="0" borderId="0" xfId="0" applyNumberFormat="1" applyFont="1" applyAlignment="1">
      <alignment horizontal="left" indent="1"/>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4" fillId="0" borderId="0" xfId="28" applyNumberFormat="1" applyFont="1" applyFill="1" applyBorder="1" applyAlignment="1">
      <alignment horizontal="left" indent="2"/>
    </xf>
    <xf numFmtId="0" fontId="22" fillId="0" borderId="0" xfId="0" quotePrefix="1" applyFont="1" applyAlignment="1">
      <alignment horizontal="right"/>
    </xf>
    <xf numFmtId="165" fontId="28" fillId="0" borderId="0" xfId="0" applyNumberFormat="1" applyFont="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164" fontId="24" fillId="36" borderId="0" xfId="0" applyNumberFormat="1" applyFont="1" applyFill="1"/>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28" applyFont="1" applyFill="1" applyBorder="1" applyAlignment="1">
      <alignment horizontal="center"/>
    </xf>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1" fontId="24" fillId="0" borderId="0" xfId="28" quotePrefix="1" applyNumberFormat="1" applyFont="1" applyFill="1" applyBorder="1" applyAlignment="1">
      <alignment horizontal="right"/>
    </xf>
    <xf numFmtId="164" fontId="24" fillId="0" borderId="0" xfId="0" quotePrefix="1" applyNumberFormat="1" applyFont="1" applyAlignment="1">
      <alignment horizontal="center"/>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37" fontId="24" fillId="0" borderId="3" xfId="0" applyNumberFormat="1" applyFont="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0" fontId="54" fillId="34"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164" fontId="54" fillId="0" borderId="0" xfId="0" quotePrefix="1" applyNumberFormat="1" applyFont="1" applyFill="1" applyAlignment="1">
      <alignment horizontal="center"/>
    </xf>
    <xf numFmtId="0" fontId="54" fillId="0" borderId="0" xfId="0" applyFont="1" applyFill="1"/>
    <xf numFmtId="10" fontId="54" fillId="0" borderId="0" xfId="0" applyNumberFormat="1" applyFont="1" applyFill="1"/>
    <xf numFmtId="164" fontId="55" fillId="0" borderId="0" xfId="0" applyNumberFormat="1" applyFont="1" applyAlignment="1">
      <alignment horizontal="center"/>
    </xf>
    <xf numFmtId="0" fontId="52" fillId="0" borderId="0" xfId="0" applyFont="1" applyAlignment="1">
      <alignment horizontal="center"/>
    </xf>
    <xf numFmtId="164" fontId="56" fillId="0" borderId="0" xfId="0" applyNumberFormat="1" applyFont="1" applyAlignment="1">
      <alignment horizontal="center"/>
    </xf>
    <xf numFmtId="0" fontId="57" fillId="0" borderId="0" xfId="0" applyFont="1" applyAlignment="1">
      <alignment horizontal="center"/>
    </xf>
    <xf numFmtId="164" fontId="54" fillId="0" borderId="0" xfId="0" applyNumberFormat="1" applyFont="1" applyFill="1" applyAlignment="1">
      <alignment horizontal="right"/>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8" fillId="36" borderId="0" xfId="28" applyNumberFormat="1" applyFont="1" applyFill="1" applyBorder="1" applyAlignment="1">
      <alignment horizontal="right" vertical="center" wrapText="1"/>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164" fontId="36" fillId="36" borderId="0" xfId="20" applyNumberFormat="1" applyFont="1" applyFill="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7"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7"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178" fontId="24" fillId="36" borderId="3" xfId="22" applyNumberFormat="1" applyFont="1" applyFill="1" applyBorder="1"/>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8"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22"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0" fontId="0" fillId="36" borderId="0" xfId="0" applyFill="1" applyAlignment="1">
      <alignment horizontal="left" vertical="top" wrapText="1"/>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7"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10" fontId="60" fillId="0" borderId="0" xfId="0" applyNumberFormat="1"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164" fontId="42"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2" fillId="36" borderId="0" xfId="0" applyFont="1" applyFill="1" applyAlignment="1">
      <alignment horizontal="left"/>
    </xf>
    <xf numFmtId="0" fontId="0" fillId="0" borderId="0" xfId="0" quotePrefix="1" applyFont="1" applyFill="1" applyAlignment="1">
      <alignment horizontal="left" indent="1"/>
    </xf>
    <xf numFmtId="0" fontId="22" fillId="0" borderId="0" xfId="0" applyFont="1" applyFill="1" applyAlignment="1">
      <alignment horizontal="left"/>
    </xf>
    <xf numFmtId="0" fontId="53" fillId="0" borderId="0" xfId="0" applyFont="1" applyAlignment="1">
      <alignment horizontal="left" indent="1"/>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5" fillId="0" borderId="0" xfId="0" applyFont="1"/>
    <xf numFmtId="0" fontId="54" fillId="36" borderId="0" xfId="0" applyFont="1" applyFill="1"/>
    <xf numFmtId="0" fontId="25" fillId="0" borderId="0" xfId="28" applyNumberFormat="1" applyFont="1" applyFill="1" applyBorder="1" applyAlignment="1">
      <alignment horizontal="left"/>
    </xf>
    <xf numFmtId="0" fontId="25" fillId="0" borderId="0" xfId="28" applyNumberFormat="1" applyFont="1" applyFill="1" applyBorder="1" applyAlignment="1">
      <alignment horizontal="center"/>
    </xf>
    <xf numFmtId="3" fontId="25" fillId="0" borderId="0" xfId="28" applyNumberFormat="1" applyFont="1" applyFill="1" applyBorder="1" applyAlignment="1">
      <alignment horizontal="center"/>
    </xf>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34" borderId="0" xfId="0" applyNumberFormat="1" applyFont="1" applyFill="1"/>
    <xf numFmtId="165" fontId="21" fillId="0" borderId="0" xfId="0" applyNumberFormat="1" applyFont="1" applyFill="1"/>
    <xf numFmtId="168" fontId="22" fillId="0" borderId="0" xfId="0" applyNumberFormat="1" applyFont="1" applyFill="1" applyAlignment="1">
      <alignment horizontal="center"/>
    </xf>
    <xf numFmtId="37" fontId="22" fillId="36" borderId="3" xfId="22" applyNumberFormat="1" applyFont="1" applyFill="1" applyBorder="1" applyAlignment="1">
      <alignment horizontal="center"/>
    </xf>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164" fontId="0" fillId="0" borderId="0" xfId="0" applyNumberFormat="1" applyAlignment="1">
      <alignment horizontal="center"/>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0" fontId="36" fillId="36" borderId="0" xfId="22" applyNumberFormat="1" applyFont="1" applyFill="1" applyBorder="1" applyAlignment="1">
      <alignment horizontal="center"/>
    </xf>
    <xf numFmtId="167" fontId="36" fillId="0" borderId="0" xfId="28" applyNumberFormat="1" applyFont="1" applyFill="1" applyBorder="1"/>
    <xf numFmtId="0" fontId="22" fillId="0" borderId="0" xfId="28" applyFont="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36" fillId="0" borderId="0" xfId="22"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168" fontId="24" fillId="0" borderId="0" xfId="0" applyNumberFormat="1" applyFont="1" applyFill="1" applyAlignment="1">
      <alignment horizontal="left" inden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5" fontId="54" fillId="0" borderId="0" xfId="0" applyNumberFormat="1" applyFont="1"/>
    <xf numFmtId="0" fontId="54" fillId="0" borderId="0" xfId="0" applyFont="1" applyFill="1" applyAlignment="1">
      <alignment horizontal="left" indent="1"/>
    </xf>
    <xf numFmtId="37" fontId="24" fillId="36" borderId="4" xfId="22" quotePrefix="1" applyNumberFormat="1" applyFont="1" applyFill="1" applyBorder="1" applyAlignment="1">
      <alignment horizontal="center"/>
    </xf>
    <xf numFmtId="164" fontId="0" fillId="0" borderId="0" xfId="0" quotePrefix="1" applyNumberFormat="1" applyAlignment="1">
      <alignment horizontal="center"/>
    </xf>
    <xf numFmtId="164" fontId="52" fillId="0" borderId="0" xfId="0" applyNumberFormat="1" applyFont="1" applyAlignment="1">
      <alignment horizontal="center"/>
    </xf>
    <xf numFmtId="164" fontId="24" fillId="0" borderId="0" xfId="0" applyNumberFormat="1" applyFont="1" applyAlignment="1"/>
    <xf numFmtId="164" fontId="24" fillId="0" borderId="0" xfId="0" applyNumberFormat="1" applyFont="1" applyAlignment="1">
      <alignment horizontal="right" indent="1"/>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4" fillId="0" borderId="0" xfId="0" applyNumberFormat="1" applyFont="1" applyFill="1"/>
    <xf numFmtId="0" fontId="24" fillId="0" borderId="0" xfId="0" applyNumberFormat="1" applyFont="1" applyFill="1" applyAlignment="1">
      <alignment horizontal="left"/>
    </xf>
    <xf numFmtId="0" fontId="22" fillId="0" borderId="0" xfId="0" applyFont="1" applyAlignment="1">
      <alignment horizontal="center"/>
    </xf>
    <xf numFmtId="0" fontId="22" fillId="0" borderId="0" xfId="0" applyFont="1" applyAlignment="1">
      <alignment horizontal="center"/>
    </xf>
    <xf numFmtId="164" fontId="20" fillId="0" borderId="0" xfId="0" applyNumberFormat="1" applyFont="1"/>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80" fontId="21" fillId="34" borderId="0" xfId="35" applyNumberFormat="1" applyFont="1" applyFill="1" applyAlignment="1">
      <alignment horizontal="left"/>
    </xf>
    <xf numFmtId="180" fontId="21" fillId="0" borderId="0" xfId="35" applyNumberFormat="1" applyFont="1" applyFill="1" applyAlignment="1">
      <alignment horizontal="left"/>
    </xf>
    <xf numFmtId="164" fontId="21" fillId="0" borderId="0" xfId="0" applyNumberFormat="1" applyFont="1"/>
    <xf numFmtId="180"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36" borderId="0" xfId="22" applyNumberFormat="1" applyFont="1" applyFill="1" applyBorder="1"/>
    <xf numFmtId="164" fontId="21" fillId="0" borderId="0" xfId="0" applyNumberFormat="1" applyFont="1" applyFill="1"/>
    <xf numFmtId="164" fontId="21" fillId="34" borderId="0" xfId="0" applyNumberFormat="1" applyFont="1" applyFill="1"/>
    <xf numFmtId="164" fontId="21" fillId="0" borderId="14" xfId="0" applyNumberFormat="1" applyFont="1" applyFill="1" applyBorder="1"/>
    <xf numFmtId="164" fontId="21" fillId="0" borderId="8" xfId="0" applyNumberFormat="1" applyFont="1" applyFill="1" applyBorder="1"/>
    <xf numFmtId="3"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0" fillId="0" borderId="0" xfId="0"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1" fillId="0" borderId="0" xfId="28" applyNumberFormat="1" applyFont="1" applyFill="1" applyBorder="1" applyAlignment="1">
      <alignment horizontal="left" indent="1"/>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2" fillId="0" borderId="0" xfId="0"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quotePrefix="1" applyNumberFormat="1" applyFont="1" applyFill="1" applyBorder="1" applyAlignment="1">
      <alignment horizontal="left"/>
    </xf>
    <xf numFmtId="0" fontId="21" fillId="0" borderId="0" xfId="28" applyNumberFormat="1" applyFont="1" applyFill="1" applyBorder="1" applyAlignment="1">
      <alignment horizontal="right"/>
    </xf>
    <xf numFmtId="164" fontId="21" fillId="0" borderId="0" xfId="20" applyNumberFormat="1" applyFont="1" applyFill="1" applyBorder="1" applyAlignment="1">
      <alignment horizontal="right"/>
    </xf>
    <xf numFmtId="167" fontId="21" fillId="0" borderId="0" xfId="28" quotePrefix="1" applyNumberFormat="1" applyFont="1" applyFill="1" applyBorder="1" applyAlignment="1">
      <alignment horizontal="left" indent="1"/>
    </xf>
    <xf numFmtId="167" fontId="21" fillId="0" borderId="0" xfId="28" applyNumberFormat="1" applyFont="1" applyFill="1" applyBorder="1" applyAlignment="1">
      <alignment horizontal="left" indent="1"/>
    </xf>
    <xf numFmtId="0" fontId="21" fillId="0" borderId="0" xfId="28" applyFont="1" applyBorder="1" applyAlignment="1"/>
    <xf numFmtId="167" fontId="21" fillId="0" borderId="0" xfId="20" applyNumberFormat="1" applyFont="1" applyFill="1" applyBorder="1" applyAlignment="1">
      <alignment horizontal="right"/>
    </xf>
    <xf numFmtId="167"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 fontId="21" fillId="0" borderId="0" xfId="28" applyNumberFormat="1" applyFont="1" applyFill="1" applyBorder="1" applyAlignment="1"/>
    <xf numFmtId="37" fontId="21" fillId="0" borderId="0" xfId="36" applyNumberFormat="1" applyFont="1" applyFill="1" applyAlignment="1">
      <alignment horizontal="left" indent="1"/>
    </xf>
    <xf numFmtId="0" fontId="21" fillId="0" borderId="0" xfId="28" applyFont="1" applyBorder="1" applyAlignment="1">
      <alignment horizontal="right"/>
    </xf>
    <xf numFmtId="10" fontId="21" fillId="0" borderId="0" xfId="0" applyNumberFormat="1" applyFont="1" applyFill="1"/>
    <xf numFmtId="0" fontId="21" fillId="36" borderId="0" xfId="34" applyFont="1" applyFill="1"/>
    <xf numFmtId="0" fontId="21" fillId="0" borderId="0" xfId="0" quotePrefix="1" applyFont="1" applyAlignment="1"/>
    <xf numFmtId="165" fontId="21" fillId="0" borderId="0" xfId="20" applyNumberFormat="1" applyFont="1" applyFill="1" applyBorder="1" applyAlignment="1">
      <alignment horizontal="right"/>
    </xf>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Alignment="1">
      <alignment horizontal="center"/>
    </xf>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22" fillId="0" borderId="0" xfId="0" applyFont="1" applyAlignment="1">
      <alignment horizontal="center"/>
    </xf>
    <xf numFmtId="0" fontId="22" fillId="0" borderId="0" xfId="0" applyFont="1" applyAlignment="1">
      <alignment horizontal="center"/>
    </xf>
    <xf numFmtId="0" fontId="26" fillId="0" borderId="0" xfId="0" applyFont="1" applyFill="1"/>
    <xf numFmtId="0" fontId="27" fillId="0" borderId="0" xfId="0" applyFont="1" applyFill="1"/>
    <xf numFmtId="0" fontId="25" fillId="0" borderId="0" xfId="0" applyFont="1" applyFill="1" applyAlignment="1">
      <alignment horizontal="left"/>
    </xf>
    <xf numFmtId="17" fontId="21" fillId="0" borderId="0" xfId="0" quotePrefix="1" applyNumberFormat="1" applyFont="1" applyFill="1" applyAlignment="1">
      <alignment horizontal="center"/>
    </xf>
    <xf numFmtId="0" fontId="21" fillId="0" borderId="0" xfId="0" applyFont="1" applyBorder="1"/>
    <xf numFmtId="0" fontId="22" fillId="0" borderId="0" xfId="0" applyFont="1" applyAlignment="1">
      <alignment horizontal="center"/>
    </xf>
    <xf numFmtId="0" fontId="21" fillId="0" borderId="0" xfId="0" quotePrefix="1" applyFont="1" applyAlignment="1">
      <alignment horizontal="left" indent="1"/>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quotePrefix="1"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7" fontId="21" fillId="0" borderId="3" xfId="22" quotePrefix="1" applyNumberFormat="1" applyFont="1" applyFill="1" applyBorder="1" applyAlignment="1">
      <alignment horizontal="center"/>
    </xf>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0" fontId="22" fillId="0" borderId="0" xfId="0" applyFont="1" applyAlignment="1">
      <alignment horizontal="center"/>
    </xf>
    <xf numFmtId="168" fontId="21" fillId="36" borderId="0" xfId="0" applyNumberFormat="1" applyFont="1" applyFill="1" applyAlignment="1">
      <alignment horizontal="left"/>
    </xf>
    <xf numFmtId="181" fontId="0" fillId="36" borderId="0" xfId="0" applyNumberFormat="1" applyFill="1" applyAlignment="1">
      <alignment horizontal="center"/>
    </xf>
    <xf numFmtId="17" fontId="0" fillId="36" borderId="0" xfId="0" quotePrefix="1" applyNumberFormat="1" applyFill="1" applyAlignment="1">
      <alignment horizontal="center"/>
    </xf>
    <xf numFmtId="181" fontId="0" fillId="36" borderId="0" xfId="0" quotePrefix="1" applyNumberFormat="1" applyFill="1" applyAlignment="1">
      <alignment horizontal="center"/>
    </xf>
    <xf numFmtId="37" fontId="54" fillId="36" borderId="0" xfId="81" applyNumberFormat="1" applyFont="1" applyFill="1" applyAlignment="1">
      <alignment horizontal="right"/>
    </xf>
    <xf numFmtId="37" fontId="54" fillId="36" borderId="0" xfId="82"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0" fontId="22" fillId="0" borderId="0" xfId="0" applyFont="1" applyAlignment="1">
      <alignment horizontal="center"/>
    </xf>
    <xf numFmtId="182"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0" fontId="21" fillId="0" borderId="0" xfId="28" applyNumberFormat="1" applyFont="1" applyFill="1" applyBorder="1" applyAlignment="1">
      <alignment horizontal="left" indent="2"/>
    </xf>
    <xf numFmtId="3" fontId="32" fillId="0" borderId="0" xfId="34" applyNumberFormat="1" applyFont="1" applyBorder="1"/>
    <xf numFmtId="39" fontId="24" fillId="36" borderId="0" xfId="22" applyNumberFormat="1" applyFont="1" applyFill="1" applyBorder="1" applyAlignment="1">
      <alignment horizontal="center"/>
    </xf>
    <xf numFmtId="0" fontId="21" fillId="36" borderId="0" xfId="28" quotePrefix="1" applyNumberFormat="1" applyFont="1" applyFill="1" applyBorder="1" applyAlignment="1">
      <alignment horizontal="left"/>
    </xf>
    <xf numFmtId="0" fontId="21" fillId="36" borderId="0" xfId="28" quotePrefix="1" applyFont="1" applyFill="1" applyBorder="1" applyAlignment="1">
      <alignment horizontal="left"/>
    </xf>
    <xf numFmtId="10" fontId="21" fillId="36" borderId="0" xfId="0" applyNumberFormat="1" applyFont="1" applyFill="1"/>
    <xf numFmtId="10" fontId="0" fillId="0" borderId="0" xfId="0" applyNumberFormat="1" applyFill="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15" fontId="21" fillId="36" borderId="0" xfId="0" quotePrefix="1" applyNumberFormat="1" applyFont="1" applyFill="1" applyAlignment="1">
      <alignment horizontal="center"/>
    </xf>
    <xf numFmtId="0" fontId="67"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2"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36" borderId="0" xfId="0" quotePrefix="1" applyNumberFormat="1" applyFont="1" applyFill="1" applyAlignment="1">
      <alignment horizontal="center"/>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quotePrefix="1" applyFont="1" applyFill="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left"/>
    </xf>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0" fillId="0" borderId="0" xfId="0" applyNumberFormat="1" applyFill="1" applyAlignment="1">
      <alignment horizontal="left"/>
    </xf>
    <xf numFmtId="0" fontId="21" fillId="0" borderId="0" xfId="100" applyNumberFormat="1" applyFont="1" applyFill="1" applyBorder="1" applyAlignment="1">
      <alignment horizontal="center"/>
    </xf>
    <xf numFmtId="0" fontId="28" fillId="0" borderId="0" xfId="0" applyNumberFormat="1" applyFont="1" applyFill="1"/>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right"/>
    </xf>
    <xf numFmtId="0" fontId="22" fillId="0" borderId="0" xfId="0" applyNumberFormat="1" applyFont="1" applyFill="1"/>
    <xf numFmtId="0" fontId="21" fillId="0" borderId="0" xfId="0" applyNumberFormat="1" applyFont="1" applyFill="1"/>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0" fontId="21" fillId="0" borderId="0" xfId="100" applyAlignment="1">
      <alignment horizontal="center" wrapText="1"/>
    </xf>
    <xf numFmtId="164" fontId="21" fillId="0" borderId="0" xfId="100" quotePrefix="1" applyNumberFormat="1" applyAlignment="1">
      <alignment horizontal="center"/>
    </xf>
    <xf numFmtId="0" fontId="21" fillId="0" borderId="0" xfId="100" quotePrefix="1" applyAlignment="1">
      <alignment horizontal="center" wrapText="1"/>
    </xf>
    <xf numFmtId="0" fontId="21" fillId="0" borderId="0" xfId="100" quotePrefix="1" applyFont="1" applyAlignment="1">
      <alignment horizontal="center" wrapText="1"/>
    </xf>
    <xf numFmtId="10" fontId="21" fillId="0" borderId="0" xfId="37" quotePrefix="1" applyNumberFormat="1" applyFont="1" applyAlignment="1">
      <alignment horizontal="center" wrapText="1"/>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9"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3" fontId="0" fillId="0" borderId="0" xfId="0" applyNumberFormat="1"/>
    <xf numFmtId="0" fontId="21" fillId="0" borderId="0" xfId="0" applyFont="1" applyFill="1" applyAlignment="1">
      <alignment horizontal="center"/>
    </xf>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167" fontId="0" fillId="36" borderId="0" xfId="19" applyNumberFormat="1" applyFont="1" applyFill="1"/>
    <xf numFmtId="164" fontId="21" fillId="34" borderId="0" xfId="96" applyNumberFormat="1" applyFont="1" applyFill="1" applyBorder="1" applyAlignment="1">
      <alignment horizontal="right"/>
    </xf>
    <xf numFmtId="0" fontId="24" fillId="36" borderId="4" xfId="0" applyNumberFormat="1" applyFont="1" applyFill="1" applyBorder="1"/>
    <xf numFmtId="37" fontId="21" fillId="36" borderId="3" xfId="0" applyNumberFormat="1" applyFont="1" applyFill="1" applyBorder="1" applyAlignment="1">
      <alignment horizontal="center"/>
    </xf>
    <xf numFmtId="164" fontId="28" fillId="36" borderId="0" xfId="100" applyNumberFormat="1" applyFont="1" applyFill="1"/>
    <xf numFmtId="0" fontId="53" fillId="36" borderId="0" xfId="0" applyFont="1" applyFill="1"/>
    <xf numFmtId="170" fontId="21" fillId="36" borderId="0" xfId="125" applyNumberFormat="1" applyFont="1" applyFill="1" applyBorder="1" applyAlignment="1" applyProtection="1">
      <alignment horizontal="center"/>
    </xf>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164" fontId="21" fillId="36" borderId="0" xfId="28" applyNumberFormat="1" applyFont="1" applyFill="1" applyBorder="1" applyAlignment="1">
      <alignment horizontal="right" vertical="center" wrapText="1"/>
    </xf>
    <xf numFmtId="164" fontId="21" fillId="36" borderId="0" xfId="28" applyNumberFormat="1" applyFont="1" applyFill="1"/>
    <xf numFmtId="164" fontId="21" fillId="36" borderId="0" xfId="20" applyNumberFormat="1" applyFont="1" applyFill="1"/>
    <xf numFmtId="164" fontId="36" fillId="36" borderId="0" xfId="28" applyNumberFormat="1" applyFont="1" applyFill="1"/>
    <xf numFmtId="0" fontId="69"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167" fontId="21" fillId="0" borderId="0" xfId="19" applyNumberFormat="1" applyFont="1"/>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1" fillId="0" borderId="0" xfId="126" applyAlignment="1">
      <alignment vertical="center" wrapText="1"/>
    </xf>
    <xf numFmtId="0" fontId="25" fillId="0" borderId="0" xfId="126" quotePrefix="1" applyFont="1" applyAlignment="1">
      <alignment horizontal="center" vertical="center" wrapText="1"/>
    </xf>
    <xf numFmtId="0" fontId="21" fillId="0" borderId="6" xfId="126" quotePrefix="1" applyFont="1" applyBorder="1" applyAlignment="1">
      <alignment horizontal="center" vertical="center" wrapText="1"/>
    </xf>
    <xf numFmtId="0" fontId="21" fillId="0" borderId="0" xfId="126" applyFill="1" applyAlignment="1">
      <alignment horizontal="center" vertical="center" wrapText="1"/>
    </xf>
    <xf numFmtId="0" fontId="21" fillId="0" borderId="0" xfId="126" applyFill="1" applyAlignment="1">
      <alignment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10" fontId="21" fillId="0" borderId="0" xfId="126" applyNumberFormat="1"/>
    <xf numFmtId="174" fontId="21" fillId="0" borderId="0" xfId="126" applyNumberFormat="1" applyAlignment="1">
      <alignment horizontal="center"/>
    </xf>
    <xf numFmtId="0" fontId="21" fillId="0" borderId="0" xfId="126" quotePrefix="1" applyNumberFormat="1" applyFont="1" applyAlignment="1">
      <alignment horizontal="center"/>
    </xf>
    <xf numFmtId="10" fontId="21" fillId="0" borderId="0" xfId="126" applyNumberFormat="1" applyBorder="1"/>
    <xf numFmtId="0" fontId="21" fillId="0" borderId="0" xfId="126" quotePrefix="1" applyNumberFormat="1" applyFont="1" applyBorder="1" applyAlignment="1">
      <alignment horizontal="center"/>
    </xf>
    <xf numFmtId="166" fontId="21" fillId="0" borderId="17" xfId="126" applyNumberFormat="1" applyBorder="1" applyAlignment="1">
      <alignment horizontal="center"/>
    </xf>
    <xf numFmtId="164" fontId="21" fillId="0" borderId="18" xfId="126" applyNumberFormat="1" applyBorder="1"/>
    <xf numFmtId="166" fontId="21" fillId="0" borderId="0" xfId="126" applyNumberFormat="1" applyAlignment="1">
      <alignment horizontal="center"/>
    </xf>
    <xf numFmtId="166" fontId="21" fillId="0" borderId="0" xfId="126" applyNumberFormat="1"/>
    <xf numFmtId="3" fontId="44" fillId="0" borderId="0" xfId="131" applyNumberFormat="1" applyFill="1" applyBorder="1"/>
    <xf numFmtId="3" fontId="44" fillId="0" borderId="0" xfId="132" applyNumberFormat="1" applyFill="1"/>
    <xf numFmtId="0" fontId="21" fillId="0" borderId="0" xfId="126" applyFill="1" applyBorder="1"/>
    <xf numFmtId="166" fontId="21" fillId="0" borderId="0" xfId="126" applyNumberFormat="1" applyFill="1"/>
    <xf numFmtId="3" fontId="44" fillId="0" borderId="0" xfId="130" applyNumberFormat="1" applyFill="1" applyBorder="1" applyAlignment="1">
      <alignment horizontal="center"/>
    </xf>
    <xf numFmtId="0" fontId="21" fillId="0" borderId="0" xfId="126" applyFill="1" applyBorder="1" applyAlignment="1">
      <alignment horizontal="center"/>
    </xf>
    <xf numFmtId="0" fontId="21" fillId="0" borderId="0" xfId="126" applyAlignment="1">
      <alignment horizontal="left" indent="1"/>
    </xf>
    <xf numFmtId="164" fontId="21" fillId="0" borderId="0" xfId="126" applyNumberFormat="1" applyFont="1"/>
    <xf numFmtId="180" fontId="21" fillId="34" borderId="0" xfId="35" quotePrefix="1" applyNumberFormat="1" applyFont="1" applyFill="1" applyAlignment="1">
      <alignment horizontal="left"/>
    </xf>
    <xf numFmtId="3" fontId="44" fillId="36" borderId="0" xfId="128" applyNumberFormat="1" applyFill="1"/>
    <xf numFmtId="3" fontId="44" fillId="36" borderId="0" xfId="129" applyNumberFormat="1" applyFill="1"/>
    <xf numFmtId="3" fontId="44" fillId="36" borderId="0" xfId="130" applyNumberFormat="1" applyFill="1"/>
    <xf numFmtId="10" fontId="21" fillId="0" borderId="3" xfId="126" applyNumberFormat="1" applyBorder="1"/>
    <xf numFmtId="164" fontId="21" fillId="0" borderId="3" xfId="126" applyNumberFormat="1" applyFill="1" applyBorder="1"/>
    <xf numFmtId="3" fontId="21" fillId="0" borderId="3" xfId="126" applyNumberFormat="1" applyBorder="1"/>
    <xf numFmtId="0" fontId="21" fillId="0" borderId="0" xfId="126" applyAlignment="1">
      <alignment horizontal="center"/>
    </xf>
    <xf numFmtId="3" fontId="21" fillId="0" borderId="0" xfId="126" applyNumberFormat="1" applyFill="1"/>
    <xf numFmtId="3" fontId="44" fillId="0" borderId="0" xfId="129" applyNumberFormat="1" applyFill="1"/>
    <xf numFmtId="0" fontId="21" fillId="0" borderId="0" xfId="126" applyFont="1" applyAlignment="1">
      <alignment horizontal="center" vertical="center" wrapText="1"/>
    </xf>
    <xf numFmtId="0" fontId="21" fillId="0" borderId="0" xfId="126" quotePrefix="1" applyFont="1" applyAlignment="1">
      <alignment horizontal="center" vertical="center" wrapText="1"/>
    </xf>
    <xf numFmtId="0" fontId="25" fillId="0" borderId="0" xfId="126" quotePrefix="1" applyFont="1" applyBorder="1" applyAlignment="1">
      <alignment horizontal="center"/>
    </xf>
    <xf numFmtId="2" fontId="22" fillId="0" borderId="5" xfId="126" applyNumberFormat="1" applyFont="1" applyFill="1" applyBorder="1" applyAlignment="1">
      <alignment horizontal="center" wrapText="1"/>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34" borderId="0" xfId="35" applyNumberFormat="1" applyFont="1" applyFill="1" applyAlignment="1">
      <alignment horizontal="left"/>
    </xf>
    <xf numFmtId="164" fontId="21" fillId="0" borderId="0" xfId="126" applyNumberFormat="1" applyFill="1"/>
    <xf numFmtId="2" fontId="21" fillId="0" borderId="0" xfId="126" applyNumberFormat="1" applyFont="1"/>
    <xf numFmtId="2" fontId="21" fillId="0" borderId="0" xfId="126" applyNumberFormat="1" applyFont="1" applyFill="1" applyAlignment="1">
      <alignment horizontal="center"/>
    </xf>
    <xf numFmtId="180" fontId="69" fillId="0" borderId="0" xfId="35" applyNumberFormat="1" applyFont="1" applyFill="1" applyAlignment="1">
      <alignment horizontal="left"/>
    </xf>
    <xf numFmtId="0" fontId="22" fillId="0" borderId="0" xfId="126" applyFont="1" applyAlignment="1">
      <alignment horizontal="center" vertical="center" wrapText="1"/>
    </xf>
    <xf numFmtId="0" fontId="21" fillId="0" borderId="0" xfId="126" quotePrefix="1" applyFont="1" applyAlignment="1">
      <alignment horizontal="center"/>
    </xf>
    <xf numFmtId="0" fontId="21" fillId="0" borderId="0" xfId="126" applyFont="1" applyFill="1" applyAlignment="1">
      <alignment horizontal="center"/>
    </xf>
    <xf numFmtId="180" fontId="22" fillId="0" borderId="3" xfId="35" applyNumberFormat="1" applyFont="1" applyFill="1" applyBorder="1" applyAlignment="1">
      <alignment horizontal="center"/>
    </xf>
    <xf numFmtId="174" fontId="21" fillId="0" borderId="0" xfId="126" quotePrefix="1" applyNumberFormat="1" applyFill="1" applyAlignment="1">
      <alignment horizontal="center"/>
    </xf>
    <xf numFmtId="164" fontId="21" fillId="0" borderId="0" xfId="126" quotePrefix="1" applyNumberFormat="1" applyFill="1" applyAlignment="1">
      <alignment horizontal="center"/>
    </xf>
    <xf numFmtId="164" fontId="21" fillId="0" borderId="0" xfId="126" applyNumberFormat="1" applyAlignment="1">
      <alignment horizontal="right"/>
    </xf>
    <xf numFmtId="166" fontId="21" fillId="0" borderId="17" xfId="126" quotePrefix="1" applyNumberFormat="1" applyFill="1" applyBorder="1" applyAlignment="1">
      <alignment horizontal="center"/>
    </xf>
    <xf numFmtId="166" fontId="21" fillId="0" borderId="18" xfId="126" applyNumberFormat="1" applyFill="1" applyBorder="1" applyAlignment="1">
      <alignment horizontal="center"/>
    </xf>
    <xf numFmtId="166" fontId="21" fillId="0" borderId="0" xfId="126" quotePrefix="1" applyNumberFormat="1" applyFill="1" applyAlignment="1">
      <alignment horizontal="center"/>
    </xf>
    <xf numFmtId="166" fontId="21" fillId="0" borderId="0" xfId="126" applyNumberFormat="1" applyFill="1" applyAlignment="1">
      <alignment horizontal="center"/>
    </xf>
    <xf numFmtId="164" fontId="21" fillId="0" borderId="0" xfId="126" applyNumberFormat="1" applyBorder="1" applyAlignment="1">
      <alignment horizontal="right"/>
    </xf>
    <xf numFmtId="174" fontId="21" fillId="0" borderId="0" xfId="126" applyNumberFormat="1" applyFill="1" applyAlignment="1">
      <alignment horizontal="center"/>
    </xf>
    <xf numFmtId="166" fontId="21" fillId="0" borderId="17" xfId="126" applyNumberFormat="1" applyFill="1" applyBorder="1" applyAlignment="1">
      <alignment horizontal="center"/>
    </xf>
    <xf numFmtId="164" fontId="21" fillId="0" borderId="0" xfId="126" applyNumberFormat="1" applyBorder="1"/>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0" fontId="21" fillId="0" borderId="4" xfId="126" applyFont="1" applyFill="1" applyBorder="1"/>
    <xf numFmtId="180"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0" fontId="21" fillId="36" borderId="0" xfId="126" applyFill="1"/>
    <xf numFmtId="180"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1" fillId="0" borderId="0" xfId="126" applyAlignment="1">
      <alignment wrapText="1"/>
    </xf>
    <xf numFmtId="0" fontId="25" fillId="0" borderId="0" xfId="126" quotePrefix="1" applyFont="1" applyAlignment="1">
      <alignment horizontal="center" wrapText="1"/>
    </xf>
    <xf numFmtId="0" fontId="21" fillId="0" borderId="0" xfId="126" quotePrefix="1" applyFont="1" applyAlignment="1">
      <alignment horizontal="center" vertical="top" wrapText="1"/>
    </xf>
    <xf numFmtId="0" fontId="25" fillId="0" borderId="0" xfId="126" quotePrefix="1" applyFont="1" applyFill="1" applyAlignment="1">
      <alignment horizontal="center" wrapText="1"/>
    </xf>
    <xf numFmtId="0" fontId="21" fillId="0" borderId="7" xfId="126" applyFill="1" applyBorder="1"/>
    <xf numFmtId="0" fontId="22" fillId="34" borderId="7" xfId="126" applyFont="1" applyFill="1" applyBorder="1" applyAlignment="1">
      <alignment horizontal="center" wrapText="1"/>
    </xf>
    <xf numFmtId="0" fontId="21" fillId="0" borderId="7" xfId="126" applyBorder="1"/>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3" fontId="21" fillId="0" borderId="0" xfId="126" applyNumberFormat="1"/>
    <xf numFmtId="175" fontId="0" fillId="36" borderId="0" xfId="0" applyNumberFormat="1" applyFill="1" applyAlignment="1">
      <alignment horizontal="center"/>
    </xf>
    <xf numFmtId="2" fontId="21" fillId="0" borderId="0" xfId="126" applyNumberFormat="1" applyFont="1" applyBorder="1"/>
    <xf numFmtId="164" fontId="53" fillId="0" borderId="0" xfId="135" applyNumberFormat="1" applyFont="1" applyFill="1"/>
    <xf numFmtId="164" fontId="71"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0" fontId="21" fillId="36" borderId="0" xfId="22" applyNumberFormat="1" applyFont="1" applyFill="1" applyBorder="1" applyAlignment="1">
      <alignment horizontal="center"/>
    </xf>
    <xf numFmtId="0" fontId="21" fillId="36" borderId="0" xfId="22" applyNumberFormat="1" applyFont="1" applyFill="1" applyBorder="1" applyAlignment="1" applyProtection="1">
      <alignment horizontal="center"/>
      <protection locked="0"/>
    </xf>
    <xf numFmtId="0" fontId="21" fillId="36" borderId="0" xfId="28" applyFont="1" applyFill="1"/>
    <xf numFmtId="0" fontId="21" fillId="36" borderId="0" xfId="28" applyNumberFormat="1"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quotePrefix="1" applyNumberFormat="1" applyFont="1" applyFill="1" applyBorder="1" applyAlignment="1">
      <alignment horizontal="center"/>
    </xf>
    <xf numFmtId="0" fontId="21" fillId="0" borderId="0" xfId="28" applyNumberFormat="1" applyFont="1" applyFill="1" applyBorder="1"/>
    <xf numFmtId="0" fontId="21" fillId="0" borderId="0" xfId="28" applyFont="1" applyBorder="1" applyAlignment="1">
      <alignment horizontal="center"/>
    </xf>
    <xf numFmtId="164" fontId="21" fillId="36" borderId="0" xfId="28" applyNumberFormat="1" applyFont="1" applyFill="1" applyBorder="1" applyAlignment="1">
      <alignment vertical="top" wrapText="1"/>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36" borderId="0" xfId="28" applyFont="1" applyFill="1" applyBorder="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1" fillId="36" borderId="0" xfId="28" applyNumberFormat="1" applyFont="1" applyFill="1" applyAlignment="1">
      <alignment horizontal="center"/>
    </xf>
    <xf numFmtId="0" fontId="22" fillId="0" borderId="3" xfId="28" applyFont="1" applyFill="1" applyBorder="1" applyAlignment="1">
      <alignment horizontal="center"/>
    </xf>
    <xf numFmtId="0" fontId="21" fillId="36" borderId="0" xfId="100" applyFill="1" applyAlignment="1">
      <alignment horizontal="center"/>
    </xf>
    <xf numFmtId="0" fontId="30" fillId="0" borderId="0" xfId="27" applyFill="1" applyAlignment="1" applyProtection="1"/>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24" fillId="0" borderId="0" xfId="0" applyFont="1" applyFill="1" applyAlignment="1">
      <alignment horizontal="left" indent="4"/>
    </xf>
    <xf numFmtId="0" fontId="54" fillId="0" borderId="0" xfId="0" applyFont="1" applyFill="1" applyAlignment="1">
      <alignment horizontal="left"/>
    </xf>
    <xf numFmtId="0" fontId="24" fillId="0" borderId="0" xfId="0" quotePrefix="1" applyFont="1" applyFill="1" applyAlignment="1">
      <alignment horizontal="left" indent="2"/>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3" fillId="0" borderId="0" xfId="0" applyFont="1" applyFill="1"/>
    <xf numFmtId="164" fontId="53" fillId="0" borderId="0" xfId="0" applyNumberFormat="1" applyFont="1" applyFill="1" applyBorder="1"/>
    <xf numFmtId="0" fontId="55" fillId="36" borderId="0" xfId="0" quotePrefix="1" applyFont="1" applyFill="1" applyAlignment="1">
      <alignment horizontal="center"/>
    </xf>
    <xf numFmtId="0" fontId="54" fillId="0" borderId="0" xfId="0" applyFont="1" applyFill="1" applyAlignment="1">
      <alignment horizontal="right"/>
    </xf>
    <xf numFmtId="0" fontId="65"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166" fontId="24" fillId="0" borderId="0" xfId="20" applyNumberFormat="1" applyFont="1" applyFill="1" applyBorder="1" applyAlignment="1">
      <alignment horizontal="right"/>
    </xf>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0" fontId="21" fillId="0" borderId="0" xfId="100" applyNumberFormat="1" applyFont="1" applyFill="1" applyAlignment="1">
      <alignment horizontal="center"/>
    </xf>
    <xf numFmtId="10" fontId="21" fillId="0" borderId="0" xfId="37" applyNumberFormat="1" applyFont="1" applyFill="1" applyAlignment="1">
      <alignment horizontal="center"/>
    </xf>
    <xf numFmtId="5" fontId="21" fillId="0" borderId="0" xfId="100" applyNumberFormat="1" applyFill="1"/>
    <xf numFmtId="0" fontId="21" fillId="0" borderId="0" xfId="100" quotePrefix="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2" fillId="0" borderId="0" xfId="0" applyFont="1" applyFill="1" applyAlignment="1">
      <alignment horizontal="center" vertical="justify"/>
    </xf>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0" fontId="28" fillId="0" borderId="0" xfId="28" applyFont="1" applyFill="1" applyAlignment="1">
      <alignment horizontal="center"/>
    </xf>
    <xf numFmtId="0" fontId="21" fillId="0" borderId="0" xfId="28" applyFont="1" applyFill="1" applyAlignment="1">
      <alignment horizontal="left" indent="2"/>
    </xf>
    <xf numFmtId="171" fontId="21" fillId="0" borderId="0" xfId="28" applyNumberFormat="1" applyFont="1" applyFill="1"/>
    <xf numFmtId="0" fontId="21" fillId="0" borderId="0" xfId="28" applyFont="1" applyFill="1" applyAlignment="1">
      <alignment horizontal="left" indent="3"/>
    </xf>
    <xf numFmtId="171" fontId="21" fillId="0" borderId="0" xfId="39" applyNumberFormat="1" applyFont="1" applyFill="1" applyBorder="1" applyAlignment="1">
      <alignment horizontal="center"/>
    </xf>
    <xf numFmtId="10" fontId="21" fillId="0" borderId="0" xfId="39" applyNumberFormat="1" applyFont="1" applyFill="1" applyAlignment="1">
      <alignment horizontal="center"/>
    </xf>
    <xf numFmtId="10" fontId="21" fillId="0" borderId="0" xfId="39" applyNumberFormat="1" applyFont="1" applyFill="1" applyBorder="1" applyAlignment="1">
      <alignment horizontal="center" vertical="justify" wrapText="1"/>
    </xf>
    <xf numFmtId="10" fontId="21" fillId="0" borderId="8" xfId="39" applyNumberFormat="1" applyFont="1" applyFill="1" applyBorder="1" applyAlignment="1">
      <alignment horizontal="center" wrapText="1"/>
    </xf>
    <xf numFmtId="165" fontId="29" fillId="0" borderId="0" xfId="0" applyNumberFormat="1" applyFont="1" applyFill="1"/>
    <xf numFmtId="0" fontId="64" fillId="0" borderId="0" xfId="0" applyFont="1" applyFill="1"/>
    <xf numFmtId="0" fontId="21" fillId="0" borderId="0" xfId="100" applyFont="1" applyFill="1" applyAlignment="1">
      <alignment horizontal="left" indent="2"/>
    </xf>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7"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168" fontId="21" fillId="0" borderId="0" xfId="0" applyNumberFormat="1" applyFont="1" applyFill="1" applyAlignment="1">
      <alignment horizontal="left" indent="1"/>
    </xf>
    <xf numFmtId="0" fontId="21" fillId="0" borderId="0" xfId="0" applyNumberFormat="1" applyFont="1" applyFill="1" applyAlignment="1">
      <alignment horizontal="left"/>
    </xf>
    <xf numFmtId="0" fontId="21" fillId="0" borderId="0" xfId="0" applyFont="1" applyFill="1" applyBorder="1" applyAlignment="1">
      <alignment horizontal="left"/>
    </xf>
    <xf numFmtId="172" fontId="0" fillId="0" borderId="0" xfId="0" applyNumberFormat="1" applyFill="1"/>
    <xf numFmtId="171" fontId="0" fillId="0" borderId="0" xfId="0" applyNumberFormat="1" applyFill="1"/>
    <xf numFmtId="0" fontId="25" fillId="0" borderId="0" xfId="0" applyFont="1" applyFill="1" applyAlignment="1"/>
    <xf numFmtId="173" fontId="0" fillId="0" borderId="0" xfId="0" applyNumberFormat="1" applyFill="1"/>
    <xf numFmtId="0" fontId="22" fillId="0" borderId="0" xfId="28" applyFont="1" applyFill="1" applyAlignment="1">
      <alignment horizontal="right" vertical="center"/>
    </xf>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0" fontId="24"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0" fontId="21" fillId="36" borderId="0" xfId="125" quotePrefix="1" applyFont="1" applyFill="1"/>
    <xf numFmtId="10" fontId="24" fillId="0" borderId="0" xfId="0" applyNumberFormat="1" applyFont="1" applyFill="1"/>
    <xf numFmtId="10" fontId="21" fillId="36" borderId="0" xfId="0" quotePrefix="1" applyNumberFormat="1" applyFont="1" applyFill="1" applyAlignment="1">
      <alignment horizontal="right"/>
    </xf>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6" applyNumberFormat="1" applyFill="1"/>
    <xf numFmtId="3" fontId="21" fillId="36" borderId="0" xfId="126"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164" fontId="28" fillId="36" borderId="0" xfId="255" applyNumberFormat="1" applyFont="1" applyFill="1" applyAlignment="1">
      <alignment horizontal="right"/>
    </xf>
    <xf numFmtId="5" fontId="21" fillId="36" borderId="0" xfId="22" applyNumberFormat="1" applyFont="1" applyFill="1" applyBorder="1"/>
    <xf numFmtId="5" fontId="36" fillId="36" borderId="0" xfId="22" applyNumberFormat="1" applyFont="1" applyFill="1" applyBorder="1"/>
    <xf numFmtId="5" fontId="21" fillId="36" borderId="0" xfId="28" applyNumberFormat="1" applyFon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0" fontId="21" fillId="36" borderId="0" xfId="100" applyFont="1" applyFill="1"/>
    <xf numFmtId="164" fontId="21" fillId="36" borderId="0" xfId="100" applyNumberFormat="1" applyFont="1" applyFill="1"/>
    <xf numFmtId="0" fontId="0" fillId="0" borderId="0" xfId="0"/>
    <xf numFmtId="0" fontId="54" fillId="36" borderId="0" xfId="0" applyFont="1" applyFill="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5" fillId="36" borderId="0" xfId="0" applyNumberFormat="1" applyFont="1" applyFill="1"/>
    <xf numFmtId="173" fontId="21" fillId="34" borderId="0" xfId="0" applyNumberFormat="1" applyFont="1" applyFill="1" applyAlignment="1">
      <alignment wrapText="1"/>
    </xf>
    <xf numFmtId="0" fontId="24" fillId="0" borderId="4" xfId="0" applyNumberFormat="1" applyFont="1" applyFill="1" applyBorder="1"/>
    <xf numFmtId="37" fontId="21" fillId="36" borderId="3" xfId="97" quotePrefix="1" applyNumberFormat="1" applyFont="1" applyFill="1" applyBorder="1" applyAlignment="1">
      <alignment horizontal="center"/>
    </xf>
    <xf numFmtId="37" fontId="21" fillId="36" borderId="3" xfId="97" quotePrefix="1" applyNumberFormat="1" applyFont="1" applyFill="1" applyBorder="1" applyAlignment="1">
      <alignment horizontal="center"/>
    </xf>
    <xf numFmtId="37" fontId="21" fillId="36" borderId="3" xfId="97" quotePrefix="1" applyNumberFormat="1" applyFont="1" applyFill="1" applyBorder="1" applyAlignment="1">
      <alignment horizontal="center"/>
    </xf>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64" fontId="21" fillId="34" borderId="0" xfId="0" applyNumberFormat="1" applyFont="1" applyFill="1"/>
    <xf numFmtId="164" fontId="0" fillId="36" borderId="0" xfId="0" applyNumberFormat="1" applyFill="1"/>
    <xf numFmtId="164" fontId="21" fillId="34" borderId="0" xfId="0" applyNumberFormat="1" applyFont="1" applyFill="1"/>
    <xf numFmtId="164" fontId="22" fillId="0" borderId="0" xfId="0" applyNumberFormat="1" applyFont="1" applyAlignment="1">
      <alignment horizontal="center"/>
    </xf>
    <xf numFmtId="0" fontId="52" fillId="0" borderId="0" xfId="0" applyFont="1" applyAlignment="1">
      <alignment horizontal="left" indent="1"/>
    </xf>
    <xf numFmtId="0" fontId="160" fillId="0" borderId="0" xfId="0" applyFont="1" applyFill="1"/>
    <xf numFmtId="0" fontId="161" fillId="0" borderId="0" xfId="0" applyFont="1" applyFill="1" applyAlignment="1">
      <alignment horizontal="left" indent="1"/>
    </xf>
    <xf numFmtId="164" fontId="21" fillId="0" borderId="0" xfId="100" applyNumberFormat="1" applyFont="1" applyFill="1" applyBorder="1" applyAlignment="1">
      <alignment horizontal="right"/>
    </xf>
    <xf numFmtId="164" fontId="21" fillId="0" borderId="14" xfId="96" applyNumberFormat="1" applyFont="1" applyFill="1" applyBorder="1"/>
    <xf numFmtId="0" fontId="21" fillId="0" borderId="0" xfId="0" applyFont="1" applyFill="1" applyBorder="1" applyAlignment="1">
      <alignment horizontal="right"/>
    </xf>
    <xf numFmtId="164" fontId="21" fillId="36" borderId="0" xfId="0" applyNumberFormat="1" applyFont="1" applyFill="1" applyBorder="1"/>
    <xf numFmtId="0" fontId="21" fillId="0" borderId="0" xfId="0" quotePrefix="1" applyFont="1" applyFill="1" applyBorder="1" applyAlignment="1">
      <alignment horizontal="center"/>
    </xf>
    <xf numFmtId="165" fontId="21" fillId="0" borderId="0" xfId="0" applyNumberFormat="1" applyFont="1" applyFill="1" applyBorder="1"/>
    <xf numFmtId="164" fontId="25" fillId="0" borderId="0" xfId="0" applyNumberFormat="1" applyFont="1" applyFill="1" applyBorder="1" applyAlignment="1">
      <alignment horizontal="center"/>
    </xf>
    <xf numFmtId="0" fontId="56" fillId="0" borderId="0" xfId="0"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164" fontId="0" fillId="0" borderId="0" xfId="0" applyNumberFormat="1" applyBorder="1" applyAlignment="1"/>
    <xf numFmtId="0" fontId="24" fillId="0" borderId="0" xfId="0" applyFont="1" applyBorder="1" applyAlignment="1">
      <alignment horizontal="left" indent="1"/>
    </xf>
    <xf numFmtId="0" fontId="54" fillId="0" borderId="0" xfId="0" applyFont="1" applyFill="1" applyBorder="1"/>
    <xf numFmtId="0" fontId="54" fillId="0" borderId="0" xfId="0" applyFont="1" applyBorder="1"/>
    <xf numFmtId="0" fontId="59" fillId="0" borderId="0" xfId="0" applyFont="1" applyFill="1" applyBorder="1"/>
    <xf numFmtId="0" fontId="21" fillId="0" borderId="0" xfId="0" applyFont="1" applyBorder="1" applyAlignment="1">
      <alignment horizontal="left" indent="1"/>
    </xf>
    <xf numFmtId="0" fontId="56" fillId="0" borderId="0" xfId="0" applyFont="1" applyBorder="1" applyAlignment="1">
      <alignment horizontal="center"/>
    </xf>
    <xf numFmtId="0" fontId="21" fillId="36" borderId="0" xfId="0" quotePrefix="1" applyFont="1" applyFill="1" applyBorder="1" applyAlignment="1">
      <alignment horizontal="center"/>
    </xf>
    <xf numFmtId="0" fontId="54" fillId="36" borderId="0" xfId="0" applyFont="1" applyFill="1" applyBorder="1" applyAlignment="1">
      <alignment horizontal="left" vertical="center" indent="1"/>
    </xf>
    <xf numFmtId="0" fontId="21" fillId="36" borderId="0" xfId="0" applyFont="1" applyFill="1" applyBorder="1"/>
    <xf numFmtId="0" fontId="21" fillId="0" borderId="0" xfId="0" quotePrefix="1" applyFont="1" applyBorder="1"/>
    <xf numFmtId="164" fontId="53" fillId="36" borderId="0" xfId="0" applyNumberFormat="1" applyFont="1" applyFill="1" applyBorder="1"/>
    <xf numFmtId="0" fontId="53" fillId="36" borderId="0" xfId="0" quotePrefix="1" applyFont="1" applyFill="1" applyBorder="1" applyAlignment="1">
      <alignment horizontal="left" indent="1"/>
    </xf>
    <xf numFmtId="0" fontId="21" fillId="0" borderId="0" xfId="0" quotePrefix="1" applyFont="1" applyBorder="1" applyAlignment="1">
      <alignment horizontal="center"/>
    </xf>
    <xf numFmtId="164" fontId="21" fillId="0" borderId="0" xfId="0" applyNumberFormat="1" applyFont="1" applyBorder="1"/>
    <xf numFmtId="0" fontId="22" fillId="0" borderId="0" xfId="0" quotePrefix="1" applyFont="1" applyBorder="1" applyAlignment="1">
      <alignment horizontal="center"/>
    </xf>
    <xf numFmtId="0" fontId="58" fillId="0" borderId="0" xfId="0" quotePrefix="1" applyFont="1" applyBorder="1" applyAlignment="1">
      <alignment horizontal="center"/>
    </xf>
    <xf numFmtId="0" fontId="61" fillId="0" borderId="0" xfId="0" applyFont="1" applyBorder="1" applyAlignment="1">
      <alignment horizontal="center"/>
    </xf>
    <xf numFmtId="0" fontId="55" fillId="0" borderId="0" xfId="0" applyFont="1" applyBorder="1" applyAlignment="1">
      <alignment horizontal="center"/>
    </xf>
    <xf numFmtId="0" fontId="21" fillId="36" borderId="0" xfId="0" applyFont="1" applyFill="1" applyBorder="1" applyAlignment="1">
      <alignment horizontal="center"/>
    </xf>
    <xf numFmtId="0" fontId="21" fillId="0" borderId="0" xfId="0" applyFont="1" applyFill="1" applyBorder="1" applyAlignment="1">
      <alignment horizontal="center"/>
    </xf>
    <xf numFmtId="0" fontId="86" fillId="0" borderId="0" xfId="0" applyFont="1" applyBorder="1"/>
    <xf numFmtId="164" fontId="21" fillId="0" borderId="0" xfId="0" applyNumberFormat="1" applyFont="1" applyBorder="1" applyAlignment="1">
      <alignment horizontal="right"/>
    </xf>
    <xf numFmtId="0" fontId="21" fillId="0" borderId="0" xfId="0" applyFont="1" applyBorder="1" applyAlignment="1">
      <alignment horizontal="right"/>
    </xf>
    <xf numFmtId="164" fontId="59" fillId="0" borderId="0" xfId="0" applyNumberFormat="1" applyFont="1" applyBorder="1"/>
    <xf numFmtId="0" fontId="56" fillId="0" borderId="0" xfId="0" applyFont="1" applyFill="1" applyBorder="1" applyAlignment="1">
      <alignment horizontal="center"/>
    </xf>
    <xf numFmtId="0" fontId="0" fillId="36" borderId="0" xfId="0" applyFill="1" applyBorder="1"/>
    <xf numFmtId="164" fontId="21" fillId="36" borderId="0" xfId="0" applyNumberFormat="1" applyFont="1" applyFill="1" applyBorder="1" applyAlignment="1">
      <alignment horizontal="right"/>
    </xf>
    <xf numFmtId="0" fontId="0" fillId="0" borderId="0" xfId="0" applyFill="1" applyBorder="1" applyAlignment="1">
      <alignment horizontal="left" indent="1"/>
    </xf>
    <xf numFmtId="183" fontId="22" fillId="36" borderId="0" xfId="19" applyNumberFormat="1" applyFont="1" applyFill="1" applyAlignment="1">
      <alignment horizontal="center"/>
    </xf>
    <xf numFmtId="164" fontId="21" fillId="34" borderId="0" xfId="0" applyNumberFormat="1" applyFont="1" applyFill="1" applyBorder="1"/>
    <xf numFmtId="164" fontId="54" fillId="36" borderId="0" xfId="125" applyNumberFormat="1" applyFont="1" applyFill="1" applyBorder="1"/>
    <xf numFmtId="164" fontId="54" fillId="36" borderId="0" xfId="0" applyNumberFormat="1" applyFont="1" applyFill="1" applyBorder="1"/>
    <xf numFmtId="0" fontId="21" fillId="36" borderId="0" xfId="28" applyFont="1" applyFill="1" applyBorder="1"/>
    <xf numFmtId="164" fontId="24" fillId="0" borderId="0" xfId="0" applyNumberFormat="1" applyFont="1" applyFill="1" applyBorder="1" applyAlignment="1">
      <alignment horizontal="right"/>
    </xf>
    <xf numFmtId="164" fontId="0" fillId="34" borderId="0" xfId="0" applyNumberFormat="1" applyFill="1" applyBorder="1"/>
    <xf numFmtId="0" fontId="53" fillId="0" borderId="0" xfId="0" applyFont="1" applyFill="1" applyBorder="1"/>
    <xf numFmtId="0" fontId="21" fillId="0" borderId="0" xfId="0" applyFont="1" applyBorder="1" applyAlignment="1">
      <alignment horizontal="left"/>
    </xf>
    <xf numFmtId="0" fontId="55" fillId="0" borderId="0" xfId="0" applyFont="1" applyFill="1" applyBorder="1" applyAlignment="1">
      <alignment horizontal="center"/>
    </xf>
    <xf numFmtId="0" fontId="25" fillId="0" borderId="0" xfId="0" applyFont="1" applyFill="1" applyBorder="1" applyAlignment="1">
      <alignment horizontal="left"/>
    </xf>
    <xf numFmtId="0" fontId="55" fillId="0" borderId="0" xfId="0" applyFont="1" applyBorder="1" applyAlignment="1">
      <alignment horizontal="left"/>
    </xf>
    <xf numFmtId="0" fontId="54" fillId="0" borderId="0" xfId="0" applyFont="1" applyFill="1" applyBorder="1" applyAlignment="1">
      <alignment horizontal="left"/>
    </xf>
    <xf numFmtId="0" fontId="54" fillId="0" borderId="0" xfId="0" applyFont="1" applyFill="1" applyBorder="1" applyAlignment="1">
      <alignment horizontal="left" indent="1"/>
    </xf>
    <xf numFmtId="0" fontId="55" fillId="0" borderId="0" xfId="0" applyFont="1" applyFill="1" applyBorder="1" applyAlignment="1">
      <alignment horizontal="left"/>
    </xf>
    <xf numFmtId="0" fontId="159" fillId="0" borderId="0" xfId="0" applyFont="1" applyBorder="1"/>
    <xf numFmtId="0" fontId="160" fillId="0" borderId="0" xfId="0" applyFont="1" applyFill="1" applyBorder="1"/>
    <xf numFmtId="0" fontId="21" fillId="0" borderId="0" xfId="0" applyFont="1" applyFill="1" applyBorder="1" applyAlignment="1">
      <alignment horizontal="left" indent="2"/>
    </xf>
    <xf numFmtId="0" fontId="21" fillId="0" borderId="0" xfId="0" applyFont="1" applyBorder="1" applyAlignment="1">
      <alignment horizontal="left" indent="2"/>
    </xf>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6" xfId="126" quotePrefix="1" applyFont="1" applyBorder="1" applyAlignment="1">
      <alignment horizontal="center" wrapText="1"/>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5" xfId="126" quotePrefix="1" applyFont="1" applyFill="1" applyBorder="1" applyAlignment="1">
      <alignment horizontal="center" wrapText="1"/>
    </xf>
    <xf numFmtId="0" fontId="21" fillId="0" borderId="19" xfId="126" applyFont="1" applyFill="1" applyBorder="1" applyAlignment="1">
      <alignment horizontal="center"/>
    </xf>
    <xf numFmtId="3" fontId="21" fillId="0" borderId="3" xfId="126" applyNumberFormat="1" applyFill="1" applyBorder="1"/>
    <xf numFmtId="9" fontId="21" fillId="0" borderId="0" xfId="37" applyFont="1" applyFill="1"/>
    <xf numFmtId="0" fontId="21" fillId="0" borderId="0" xfId="126" quotePrefix="1" applyFont="1" applyFill="1" applyAlignment="1">
      <alignment horizontal="center" vertical="center" wrapText="1"/>
    </xf>
    <xf numFmtId="0" fontId="162" fillId="0" borderId="0" xfId="126" applyFont="1" applyFill="1" applyAlignment="1">
      <alignment horizontal="center"/>
    </xf>
    <xf numFmtId="0" fontId="21" fillId="0" borderId="0" xfId="126" applyFont="1" applyFill="1" applyAlignment="1">
      <alignment horizontal="left"/>
    </xf>
    <xf numFmtId="180"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0" fontId="21" fillId="36" borderId="0" xfId="126" applyFill="1" applyBorder="1"/>
    <xf numFmtId="3" fontId="21" fillId="0" borderId="0" xfId="126" applyNumberFormat="1" applyFont="1"/>
    <xf numFmtId="0" fontId="21"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1" fillId="0" borderId="18" xfId="126" applyNumberFormat="1" applyBorder="1" applyAlignment="1">
      <alignment horizontal="center"/>
    </xf>
    <xf numFmtId="0" fontId="0" fillId="0" borderId="18" xfId="0" applyBorder="1" applyAlignment="1">
      <alignment horizontal="center"/>
    </xf>
    <xf numFmtId="0" fontId="22" fillId="0" borderId="4" xfId="126" applyFont="1" applyFill="1" applyBorder="1" applyAlignment="1">
      <alignment horizontal="center"/>
    </xf>
    <xf numFmtId="3" fontId="21" fillId="0" borderId="3" xfId="126" applyNumberFormat="1" applyFont="1" applyFill="1" applyBorder="1"/>
    <xf numFmtId="0" fontId="69" fillId="0" borderId="0" xfId="126" applyFont="1" applyFill="1"/>
    <xf numFmtId="0" fontId="64" fillId="0" borderId="0" xfId="126" quotePrefix="1" applyFont="1" applyAlignment="1">
      <alignment horizontal="center" vertical="center" wrapText="1"/>
    </xf>
    <xf numFmtId="0" fontId="21" fillId="0" borderId="0" xfId="126" applyFont="1" applyAlignment="1">
      <alignment horizontal="center" wrapText="1"/>
    </xf>
    <xf numFmtId="0" fontId="21" fillId="0" borderId="0" xfId="126" quotePrefix="1" applyFont="1" applyFill="1" applyAlignment="1">
      <alignment horizontal="center" wrapText="1"/>
    </xf>
    <xf numFmtId="0" fontId="162" fillId="0" borderId="0" xfId="126" quotePrefix="1" applyFont="1" applyAlignment="1">
      <alignment horizontal="center" wrapText="1"/>
    </xf>
    <xf numFmtId="0" fontId="164" fillId="0" borderId="0" xfId="126" quotePrefix="1" applyFont="1" applyAlignment="1">
      <alignment horizontal="center"/>
    </xf>
    <xf numFmtId="0" fontId="164" fillId="0" borderId="0" xfId="126" quotePrefix="1" applyFont="1" applyBorder="1" applyAlignment="1">
      <alignment horizontal="center"/>
    </xf>
    <xf numFmtId="2" fontId="165" fillId="0" borderId="29" xfId="126" applyNumberFormat="1" applyFont="1" applyBorder="1" applyAlignment="1">
      <alignment horizontal="center" wrapText="1"/>
    </xf>
    <xf numFmtId="2" fontId="22" fillId="0" borderId="11" xfId="126" applyNumberFormat="1" applyFont="1" applyFill="1" applyBorder="1" applyAlignment="1">
      <alignment horizontal="center" wrapText="1"/>
    </xf>
    <xf numFmtId="2" fontId="165" fillId="0" borderId="0" xfId="126" applyNumberFormat="1" applyFont="1" applyBorder="1" applyAlignment="1">
      <alignment horizontal="center" wrapText="1"/>
    </xf>
    <xf numFmtId="164" fontId="21" fillId="0" borderId="0" xfId="126" applyNumberFormat="1" applyFont="1" applyFill="1"/>
    <xf numFmtId="3" fontId="60" fillId="0" borderId="0" xfId="0" applyNumberFormat="1" applyFont="1" applyFill="1" applyAlignment="1">
      <alignment horizontal="right"/>
    </xf>
    <xf numFmtId="166" fontId="60" fillId="0" borderId="0" xfId="0" applyNumberFormat="1" applyFont="1" applyFill="1" applyAlignment="1">
      <alignment horizontal="right"/>
    </xf>
    <xf numFmtId="2" fontId="162" fillId="0" borderId="0" xfId="126" applyNumberFormat="1" applyFont="1"/>
    <xf numFmtId="164" fontId="162" fillId="0" borderId="0" xfId="126" applyNumberFormat="1" applyFont="1" applyFill="1"/>
    <xf numFmtId="1" fontId="162"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164" fontId="21" fillId="0" borderId="3" xfId="126" applyNumberFormat="1" applyFont="1" applyFill="1" applyBorder="1"/>
    <xf numFmtId="0" fontId="21" fillId="0" borderId="0" xfId="126" applyFont="1" applyFill="1" applyAlignment="1">
      <alignment readingOrder="1"/>
    </xf>
    <xf numFmtId="0" fontId="21" fillId="0" borderId="0" xfId="126" quotePrefix="1" applyFont="1" applyAlignment="1">
      <alignment horizontal="center" wrapText="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3" fontId="21" fillId="0" borderId="3" xfId="126" applyNumberFormat="1" applyFont="1" applyBorder="1"/>
    <xf numFmtId="10" fontId="54" fillId="0" borderId="3" xfId="134" applyNumberFormat="1" applyFont="1" applyBorder="1"/>
    <xf numFmtId="37" fontId="0" fillId="36" borderId="0" xfId="19" applyNumberFormat="1" applyFont="1" applyFill="1"/>
    <xf numFmtId="0" fontId="24" fillId="0" borderId="0" xfId="34" applyFont="1" applyFill="1" applyBorder="1" applyAlignment="1">
      <alignment horizontal="left" indent="2"/>
    </xf>
    <xf numFmtId="0" fontId="21" fillId="36" borderId="3" xfId="0" quotePrefix="1" applyNumberFormat="1" applyFont="1" applyFill="1" applyBorder="1" applyAlignment="1">
      <alignment horizontal="center"/>
    </xf>
    <xf numFmtId="178" fontId="24" fillId="36" borderId="3" xfId="22" applyNumberFormat="1" applyFont="1" applyFill="1" applyBorder="1" applyAlignment="1">
      <alignment horizontal="center"/>
    </xf>
    <xf numFmtId="0" fontId="21" fillId="36" borderId="3" xfId="0" applyNumberFormat="1" applyFont="1" applyFill="1" applyBorder="1"/>
    <xf numFmtId="37" fontId="21" fillId="36" borderId="3" xfId="22" quotePrefix="1" applyNumberFormat="1" applyFont="1" applyFill="1" applyBorder="1" applyAlignment="1">
      <alignment horizontal="center"/>
    </xf>
    <xf numFmtId="181" fontId="21" fillId="36" borderId="0" xfId="0" quotePrefix="1" applyNumberFormat="1" applyFont="1" applyFill="1" applyAlignment="1">
      <alignment horizontal="center"/>
    </xf>
    <xf numFmtId="1" fontId="21" fillId="36" borderId="0" xfId="0" applyNumberFormat="1" applyFont="1" applyFill="1" applyAlignment="1">
      <alignment horizontal="center"/>
    </xf>
    <xf numFmtId="3" fontId="54" fillId="0" borderId="0" xfId="0" applyNumberFormat="1" applyFont="1"/>
    <xf numFmtId="0" fontId="21" fillId="36" borderId="0" xfId="97" applyNumberFormat="1" applyFont="1" applyFill="1" applyBorder="1" applyAlignment="1">
      <alignment horizontal="center"/>
    </xf>
    <xf numFmtId="1" fontId="21" fillId="36" borderId="0" xfId="126" applyNumberFormat="1" applyFill="1"/>
    <xf numFmtId="1" fontId="21" fillId="0" borderId="3" xfId="126" applyNumberFormat="1" applyFill="1" applyBorder="1"/>
    <xf numFmtId="5" fontId="21" fillId="0" borderId="0" xfId="28" applyNumberFormat="1" applyFont="1" applyBorder="1"/>
    <xf numFmtId="5" fontId="21" fillId="0" borderId="0" xfId="28" applyNumberFormat="1" applyFont="1" applyFill="1" applyBorder="1"/>
    <xf numFmtId="5" fontId="21" fillId="0" borderId="8" xfId="28" applyNumberFormat="1" applyFont="1" applyFill="1" applyBorder="1" applyAlignment="1">
      <alignment horizontal="center"/>
    </xf>
    <xf numFmtId="5" fontId="21" fillId="0" borderId="0" xfId="28" applyNumberFormat="1" applyFont="1" applyFill="1" applyBorder="1" applyAlignment="1"/>
    <xf numFmtId="5" fontId="21" fillId="0" borderId="0" xfId="22" applyNumberFormat="1" applyFont="1" applyFill="1" applyBorder="1" applyAlignment="1">
      <alignment horizontal="center" wrapText="1"/>
    </xf>
    <xf numFmtId="5" fontId="21" fillId="0" borderId="0" xfId="22" applyNumberFormat="1" applyFont="1" applyFill="1" applyBorder="1" applyAlignment="1"/>
    <xf numFmtId="164" fontId="21" fillId="0" borderId="8" xfId="28" applyNumberFormat="1" applyFont="1" applyFill="1" applyBorder="1"/>
    <xf numFmtId="164" fontId="21" fillId="0" borderId="8" xfId="37" applyNumberFormat="1" applyFont="1" applyFill="1" applyBorder="1" applyAlignment="1">
      <alignment horizontal="center" wrapText="1"/>
    </xf>
    <xf numFmtId="164" fontId="21" fillId="0" borderId="8" xfId="22" applyNumberFormat="1" applyFont="1" applyFill="1" applyBorder="1" applyAlignment="1">
      <alignment horizontal="center" wrapText="1"/>
    </xf>
    <xf numFmtId="164" fontId="21" fillId="0" borderId="0" xfId="39" applyNumberFormat="1" applyFont="1" applyFill="1" applyBorder="1" applyAlignment="1">
      <alignment horizontal="center" wrapText="1"/>
    </xf>
    <xf numFmtId="5" fontId="21" fillId="0" borderId="0" xfId="28" applyNumberFormat="1" applyFont="1" applyBorder="1" applyAlignment="1">
      <alignment vertical="justify"/>
    </xf>
    <xf numFmtId="5" fontId="21" fillId="0" borderId="0" xfId="28" applyNumberFormat="1" applyFont="1" applyFill="1" applyBorder="1" applyAlignment="1">
      <alignment horizontal="center"/>
    </xf>
    <xf numFmtId="5" fontId="21" fillId="0" borderId="0" xfId="28" applyNumberFormat="1" applyFont="1" applyBorder="1" applyAlignment="1">
      <alignment horizontal="center"/>
    </xf>
    <xf numFmtId="5" fontId="21" fillId="0" borderId="0" xfId="22" applyNumberFormat="1" applyFont="1" applyBorder="1" applyAlignment="1">
      <alignment horizontal="center"/>
    </xf>
    <xf numFmtId="5" fontId="21" fillId="36" borderId="0" xfId="28" applyNumberFormat="1" applyFont="1" applyFill="1" applyBorder="1"/>
    <xf numFmtId="5" fontId="21" fillId="0" borderId="0" xfId="22" applyNumberFormat="1" applyFont="1" applyFill="1" applyBorder="1"/>
    <xf numFmtId="5" fontId="21" fillId="0" borderId="0" xfId="22" applyNumberFormat="1" applyFont="1" applyFill="1" applyBorder="1" applyAlignment="1">
      <alignment horizontal="center"/>
    </xf>
    <xf numFmtId="5" fontId="21" fillId="0" borderId="0" xfId="22" applyNumberFormat="1" applyFont="1" applyBorder="1"/>
    <xf numFmtId="164" fontId="22" fillId="36" borderId="0" xfId="0" applyNumberFormat="1" applyFont="1" applyFill="1" applyAlignment="1">
      <alignment horizontal="center"/>
    </xf>
    <xf numFmtId="164" fontId="0" fillId="36" borderId="0" xfId="0" applyNumberFormat="1" applyFill="1" applyBorder="1"/>
    <xf numFmtId="0" fontId="21" fillId="36" borderId="0" xfId="0" applyNumberFormat="1" applyFont="1" applyFill="1" applyAlignment="1"/>
    <xf numFmtId="0" fontId="22" fillId="36" borderId="0" xfId="28" applyFont="1" applyFill="1" applyBorder="1" applyAlignment="1">
      <alignment horizontal="left"/>
    </xf>
    <xf numFmtId="0" fontId="22" fillId="36" borderId="0" xfId="100" applyFont="1" applyFill="1" applyBorder="1" applyAlignment="1">
      <alignment horizontal="left"/>
    </xf>
    <xf numFmtId="0" fontId="21" fillId="36" borderId="0" xfId="100" applyFont="1" applyFill="1" applyBorder="1" applyAlignment="1">
      <alignment horizontal="center"/>
    </xf>
    <xf numFmtId="0" fontId="21" fillId="0" borderId="0" xfId="100" applyFont="1" applyFill="1" applyBorder="1" applyAlignment="1">
      <alignment horizontal="left"/>
    </xf>
    <xf numFmtId="1" fontId="21" fillId="0" borderId="0" xfId="100" applyNumberFormat="1" applyFont="1" applyFill="1" applyBorder="1" applyAlignment="1">
      <alignment horizontal="center"/>
    </xf>
    <xf numFmtId="164" fontId="21" fillId="36" borderId="0" xfId="100" applyNumberFormat="1" applyFont="1" applyFill="1" applyBorder="1" applyAlignment="1">
      <alignment horizontal="right"/>
    </xf>
    <xf numFmtId="164" fontId="28" fillId="34" borderId="0" xfId="0" applyNumberFormat="1" applyFont="1" applyFill="1" applyAlignment="1"/>
    <xf numFmtId="37" fontId="22" fillId="36" borderId="3" xfId="97" quotePrefix="1" applyNumberFormat="1" applyFont="1" applyFill="1" applyBorder="1" applyAlignment="1">
      <alignment horizontal="center"/>
    </xf>
    <xf numFmtId="37" fontId="22" fillId="36" borderId="5" xfId="97" quotePrefix="1" applyNumberFormat="1" applyFont="1" applyFill="1" applyBorder="1" applyAlignment="1">
      <alignment horizontal="center"/>
    </xf>
    <xf numFmtId="0" fontId="21" fillId="0" borderId="3" xfId="0" applyNumberFormat="1" applyFont="1" applyFill="1" applyBorder="1"/>
    <xf numFmtId="37" fontId="21" fillId="0" borderId="3" xfId="22" applyNumberFormat="1" applyFont="1" applyFill="1" applyBorder="1" applyAlignment="1">
      <alignment horizontal="center"/>
    </xf>
    <xf numFmtId="178" fontId="24" fillId="0" borderId="3" xfId="22" applyNumberFormat="1" applyFont="1" applyFill="1" applyBorder="1" applyAlignment="1">
      <alignment horizontal="center"/>
    </xf>
    <xf numFmtId="0" fontId="21" fillId="36" borderId="0" xfId="0" applyFont="1" applyFill="1" applyAlignment="1">
      <alignment horizontal="right"/>
    </xf>
    <xf numFmtId="3" fontId="28" fillId="36" borderId="0" xfId="0" applyNumberFormat="1" applyFont="1" applyFill="1" applyBorder="1"/>
    <xf numFmtId="37" fontId="59" fillId="36" borderId="0" xfId="82" applyNumberFormat="1" applyFont="1" applyFill="1" applyAlignment="1">
      <alignment horizontal="right"/>
    </xf>
    <xf numFmtId="164" fontId="21" fillId="0" borderId="0" xfId="19" applyNumberFormat="1" applyFont="1" applyBorder="1"/>
    <xf numFmtId="49" fontId="21" fillId="0" borderId="0" xfId="0" applyNumberFormat="1" applyFont="1" applyAlignment="1">
      <alignment horizontal="center"/>
    </xf>
    <xf numFmtId="49" fontId="166" fillId="0" borderId="0" xfId="0" applyNumberFormat="1" applyFont="1" applyAlignment="1">
      <alignment horizontal="center"/>
    </xf>
    <xf numFmtId="0" fontId="159" fillId="0" borderId="0" xfId="0" applyFont="1" applyAlignment="1">
      <alignment horizontal="center"/>
    </xf>
    <xf numFmtId="49" fontId="21" fillId="0" borderId="0" xfId="0" applyNumberFormat="1" applyFont="1" applyAlignment="1">
      <alignment horizontal="left" indent="1"/>
    </xf>
    <xf numFmtId="164" fontId="21" fillId="0" borderId="0" xfId="0" applyNumberFormat="1" applyFont="1" applyAlignment="1">
      <alignment horizontal="right"/>
    </xf>
    <xf numFmtId="0" fontId="167" fillId="0" borderId="0" xfId="0" applyFont="1" applyAlignment="1">
      <alignment horizontal="center" vertical="top"/>
    </xf>
    <xf numFmtId="49" fontId="73" fillId="0" borderId="0" xfId="0" applyNumberFormat="1" applyFont="1" applyAlignment="1">
      <alignment horizontal="left" indent="1"/>
    </xf>
    <xf numFmtId="0" fontId="73" fillId="0" borderId="0" xfId="0" applyFont="1"/>
    <xf numFmtId="0" fontId="21" fillId="0" borderId="0" xfId="0" applyFont="1" applyAlignment="1">
      <alignment horizontal="left" wrapText="1"/>
    </xf>
    <xf numFmtId="0" fontId="73" fillId="0" borderId="0" xfId="0" applyFont="1" applyAlignment="1">
      <alignment horizontal="left" wrapText="1"/>
    </xf>
    <xf numFmtId="164" fontId="21" fillId="0" borderId="0" xfId="23" applyNumberFormat="1" applyFont="1" applyFill="1" applyAlignment="1">
      <alignment horizontal="right"/>
    </xf>
    <xf numFmtId="49" fontId="73" fillId="0" borderId="0" xfId="0" quotePrefix="1" applyNumberFormat="1" applyFont="1" applyAlignment="1">
      <alignment horizontal="left" indent="1"/>
    </xf>
    <xf numFmtId="0" fontId="167" fillId="0" borderId="0" xfId="0" applyFont="1" applyAlignment="1">
      <alignment horizontal="center"/>
    </xf>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164" fontId="73" fillId="0" borderId="0" xfId="0" applyNumberFormat="1" applyFont="1"/>
    <xf numFmtId="3" fontId="54" fillId="36" borderId="0" xfId="247" applyNumberFormat="1" applyFont="1" applyFill="1"/>
    <xf numFmtId="0" fontId="58" fillId="0" borderId="0" xfId="0" applyFont="1" applyAlignment="1">
      <alignment horizontal="center"/>
    </xf>
    <xf numFmtId="0" fontId="71" fillId="0" borderId="0" xfId="0" applyFont="1" applyFill="1"/>
    <xf numFmtId="0" fontId="71" fillId="0" borderId="0" xfId="0" applyFont="1" applyFill="1" applyAlignment="1">
      <alignment horizontal="left" indent="1"/>
    </xf>
    <xf numFmtId="164" fontId="21" fillId="36" borderId="0" xfId="0" quotePrefix="1" applyNumberFormat="1" applyFont="1" applyFill="1" applyAlignment="1">
      <alignment horizontal="right"/>
    </xf>
    <xf numFmtId="164" fontId="28" fillId="36" borderId="0" xfId="0" quotePrefix="1" applyNumberFormat="1" applyFont="1" applyFill="1" applyAlignment="1">
      <alignment horizontal="right"/>
    </xf>
    <xf numFmtId="0" fontId="21" fillId="36" borderId="3" xfId="0" quotePrefix="1" applyNumberFormat="1" applyFont="1" applyFill="1" applyBorder="1" applyAlignment="1">
      <alignment horizontal="left"/>
    </xf>
    <xf numFmtId="0" fontId="21" fillId="36" borderId="3" xfId="0" applyFont="1" applyFill="1" applyBorder="1" applyAlignment="1">
      <alignment horizontal="center"/>
    </xf>
    <xf numFmtId="0" fontId="21" fillId="36" borderId="3" xfId="0" applyNumberFormat="1" applyFont="1" applyFill="1" applyBorder="1" applyAlignment="1">
      <alignment horizontal="left"/>
    </xf>
    <xf numFmtId="0" fontId="21" fillId="36" borderId="3" xfId="97" applyNumberFormat="1" applyFont="1" applyFill="1" applyBorder="1" applyAlignment="1">
      <alignment horizontal="left"/>
    </xf>
    <xf numFmtId="178" fontId="21" fillId="36" borderId="3" xfId="97" applyNumberFormat="1" applyFont="1" applyFill="1" applyBorder="1"/>
    <xf numFmtId="37" fontId="22" fillId="0" borderId="3" xfId="0" applyNumberFormat="1" applyFont="1" applyFill="1" applyBorder="1" applyAlignment="1">
      <alignment horizontal="center"/>
    </xf>
    <xf numFmtId="164" fontId="24" fillId="0" borderId="0" xfId="19" applyNumberFormat="1" applyFont="1" applyFill="1" applyBorder="1" applyAlignment="1">
      <alignment horizontal="center"/>
    </xf>
    <xf numFmtId="38" fontId="21" fillId="36" borderId="0" xfId="128" applyNumberFormat="1" applyFont="1" applyFill="1"/>
    <xf numFmtId="38" fontId="21" fillId="36" borderId="0" xfId="126" applyNumberFormat="1" applyFont="1" applyFill="1"/>
    <xf numFmtId="38" fontId="21" fillId="36" borderId="0" xfId="129" applyNumberFormat="1" applyFont="1" applyFill="1"/>
    <xf numFmtId="38" fontId="21" fillId="36" borderId="0" xfId="130" applyNumberFormat="1" applyFont="1" applyFill="1"/>
    <xf numFmtId="38" fontId="21" fillId="36" borderId="0" xfId="126" applyNumberFormat="1" applyFont="1" applyFill="1" applyBorder="1"/>
    <xf numFmtId="38" fontId="21" fillId="36" borderId="0" xfId="126" applyNumberFormat="1" applyFill="1"/>
    <xf numFmtId="38" fontId="21" fillId="36" borderId="0" xfId="128" applyNumberFormat="1" applyFont="1" applyFill="1" applyBorder="1"/>
    <xf numFmtId="38" fontId="21" fillId="36" borderId="0" xfId="129" applyNumberFormat="1" applyFont="1" applyFill="1" applyBorder="1"/>
    <xf numFmtId="38" fontId="21" fillId="36" borderId="0" xfId="130" applyNumberFormat="1" applyFont="1" applyFill="1" applyBorder="1"/>
    <xf numFmtId="5" fontId="21" fillId="0" borderId="0" xfId="97" applyNumberFormat="1" applyFont="1" applyFill="1" applyBorder="1" applyAlignment="1">
      <alignment horizontal="center" wrapText="1"/>
    </xf>
    <xf numFmtId="0" fontId="68" fillId="0" borderId="0" xfId="0" applyFont="1" applyAlignment="1">
      <alignment horizontal="center"/>
    </xf>
    <xf numFmtId="0" fontId="51" fillId="0" borderId="0" xfId="0" applyFont="1" applyAlignment="1">
      <alignment horizontal="center"/>
    </xf>
    <xf numFmtId="0" fontId="21" fillId="36" borderId="0" xfId="0" applyNumberFormat="1" applyFont="1" applyFill="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applyAlignment="1"/>
    <xf numFmtId="0" fontId="22" fillId="0" borderId="6" xfId="28" applyFont="1" applyBorder="1" applyAlignment="1">
      <alignment horizontal="center"/>
    </xf>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0" fillId="0" borderId="3" xfId="0" applyBorder="1" applyAlignment="1">
      <alignment wrapText="1"/>
    </xf>
    <xf numFmtId="0" fontId="22" fillId="0" borderId="6" xfId="0" applyFont="1" applyFill="1" applyBorder="1" applyAlignment="1"/>
    <xf numFmtId="0" fontId="0" fillId="0" borderId="9" xfId="0" applyBorder="1" applyAlignment="1"/>
    <xf numFmtId="0" fontId="0" fillId="0" borderId="4" xfId="0" applyBorder="1" applyAlignment="1"/>
    <xf numFmtId="0" fontId="22" fillId="0" borderId="6" xfId="0" applyNumberFormat="1" applyFont="1" applyFill="1" applyBorder="1" applyAlignment="1"/>
    <xf numFmtId="0" fontId="0" fillId="0" borderId="9" xfId="0" applyFill="1" applyBorder="1" applyAlignment="1"/>
    <xf numFmtId="0" fontId="0" fillId="0" borderId="4" xfId="0"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0" xfId="0" applyFill="1" applyAlignment="1">
      <alignment wrapText="1"/>
    </xf>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Fill="1" applyBorder="1" applyAlignment="1">
      <alignment wrapText="1"/>
    </xf>
    <xf numFmtId="0" fontId="0" fillId="0" borderId="0" xfId="0" applyAlignment="1">
      <alignment wrapText="1"/>
    </xf>
    <xf numFmtId="0" fontId="21" fillId="0" borderId="0" xfId="0" applyFont="1" applyAlignment="1">
      <alignment horizontal="left" wrapText="1"/>
    </xf>
    <xf numFmtId="0" fontId="73" fillId="0" borderId="0" xfId="0" applyFont="1" applyAlignment="1">
      <alignment horizontal="lef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cellXfs>
  <cellStyles count="53892">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Rate-Design" xfId="35"/>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20">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CCFFCC"/>
      <color rgb="FF99FFCC"/>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7"/>
  <sheetViews>
    <sheetView tabSelected="1" zoomScaleNormal="100" workbookViewId="0"/>
  </sheetViews>
  <sheetFormatPr defaultRowHeight="12.75"/>
  <cols>
    <col min="3" max="3" width="8.42578125" customWidth="1"/>
  </cols>
  <sheetData>
    <row r="5" spans="1:11" ht="26.25">
      <c r="A5" s="1392" t="s">
        <v>2244</v>
      </c>
      <c r="B5" s="1392"/>
      <c r="C5" s="1392"/>
      <c r="D5" s="1392"/>
      <c r="E5" s="1392"/>
      <c r="F5" s="1392"/>
      <c r="G5" s="1392"/>
      <c r="H5" s="1392"/>
      <c r="I5" s="1392"/>
      <c r="J5" s="1392"/>
      <c r="K5" s="1392"/>
    </row>
    <row r="6" spans="1:11">
      <c r="D6" s="1"/>
    </row>
    <row r="7" spans="1:11" ht="20.25">
      <c r="A7" s="1393" t="s">
        <v>2245</v>
      </c>
      <c r="B7" s="1393"/>
      <c r="C7" s="1393"/>
      <c r="D7" s="1393"/>
      <c r="E7" s="1393"/>
      <c r="F7" s="1393"/>
      <c r="G7" s="1393"/>
      <c r="H7" s="1393"/>
      <c r="I7" s="1393"/>
      <c r="J7" s="1393"/>
      <c r="K7" s="1393"/>
    </row>
  </sheetData>
  <mergeCells count="2">
    <mergeCell ref="A5:K5"/>
    <mergeCell ref="A7:K7"/>
  </mergeCells>
  <pageMargins left="0.7" right="0.7" top="0.75" bottom="0.75" header="0.3" footer="0.3"/>
  <pageSetup scale="92" orientation="portrait" verticalDpi="1200" r:id="rId1"/>
  <headerFooter>
    <oddHeader>&amp;C&amp;"Arial,Bold"
&amp;RTO2019 Draft Annual Update
Attachment 5
TO13 True Up TRR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2"/>
  <sheetViews>
    <sheetView zoomScaleNormal="100" workbookViewId="0"/>
  </sheetViews>
  <sheetFormatPr defaultRowHeight="12.75"/>
  <cols>
    <col min="1" max="1" width="4.7109375" customWidth="1"/>
    <col min="2" max="2" width="10.7109375" customWidth="1"/>
    <col min="3" max="5" width="13.7109375" customWidth="1"/>
    <col min="6" max="6" width="14.7109375" customWidth="1"/>
    <col min="7" max="7" width="14.42578125" customWidth="1"/>
    <col min="8" max="8" width="13.7109375" customWidth="1"/>
    <col min="9" max="9" width="14.7109375" customWidth="1"/>
    <col min="10" max="12" width="13.7109375" customWidth="1"/>
    <col min="13" max="13" width="14.28515625" customWidth="1"/>
  </cols>
  <sheetData>
    <row r="1" spans="1:13">
      <c r="A1" s="418" t="s">
        <v>1310</v>
      </c>
      <c r="B1" s="246"/>
      <c r="C1" s="246"/>
      <c r="D1" s="246"/>
      <c r="E1" s="246"/>
      <c r="F1" s="246"/>
      <c r="G1" s="246"/>
      <c r="H1" s="246"/>
      <c r="I1" s="525" t="s">
        <v>17</v>
      </c>
      <c r="J1" s="419"/>
      <c r="K1" s="246"/>
      <c r="L1" s="246"/>
    </row>
    <row r="2" spans="1:13">
      <c r="A2" s="418"/>
      <c r="B2" s="246"/>
      <c r="C2" s="246"/>
      <c r="D2" s="246"/>
      <c r="E2" s="246"/>
      <c r="F2" s="246"/>
      <c r="G2" s="246"/>
      <c r="H2" s="246"/>
      <c r="I2" s="246"/>
      <c r="J2" s="246"/>
      <c r="K2" s="246"/>
      <c r="L2" s="246"/>
    </row>
    <row r="3" spans="1:13">
      <c r="A3" s="418"/>
      <c r="B3" s="418" t="s">
        <v>351</v>
      </c>
      <c r="C3" s="246"/>
      <c r="D3" s="246"/>
      <c r="E3" s="246"/>
      <c r="F3" s="246"/>
      <c r="G3" s="246"/>
      <c r="H3" s="246"/>
      <c r="I3" s="246"/>
      <c r="J3" s="246"/>
      <c r="K3" s="246"/>
      <c r="L3" s="246"/>
    </row>
    <row r="4" spans="1:13">
      <c r="A4" s="418"/>
      <c r="B4" s="418"/>
      <c r="C4" s="246"/>
      <c r="D4" s="246"/>
      <c r="E4" s="246"/>
      <c r="F4" s="246"/>
      <c r="G4" s="246"/>
      <c r="H4" s="246"/>
      <c r="I4" s="246"/>
      <c r="J4" s="246"/>
      <c r="K4" s="246"/>
      <c r="L4" s="246"/>
    </row>
    <row r="5" spans="1:13">
      <c r="A5" s="418"/>
      <c r="B5" s="515" t="s">
        <v>1721</v>
      </c>
      <c r="C5" s="246"/>
      <c r="D5" s="246"/>
      <c r="E5" s="246"/>
      <c r="F5" s="246"/>
      <c r="G5" s="246"/>
      <c r="H5" s="515"/>
      <c r="I5" s="1028" t="s">
        <v>1958</v>
      </c>
      <c r="J5" s="1027">
        <v>2017</v>
      </c>
      <c r="K5" s="246"/>
      <c r="L5" s="246"/>
    </row>
    <row r="6" spans="1:13">
      <c r="A6" s="418"/>
      <c r="B6" s="515"/>
      <c r="C6" s="246"/>
      <c r="D6" s="246"/>
      <c r="E6" s="246"/>
      <c r="F6" s="246"/>
      <c r="G6" s="246"/>
      <c r="H6" s="246"/>
      <c r="I6" s="246"/>
      <c r="J6" s="246"/>
      <c r="K6" s="246"/>
      <c r="L6" s="246"/>
    </row>
    <row r="7" spans="1:13">
      <c r="A7" s="418"/>
      <c r="B7" s="91" t="s">
        <v>391</v>
      </c>
      <c r="C7" s="91" t="s">
        <v>375</v>
      </c>
      <c r="D7" s="91" t="s">
        <v>376</v>
      </c>
      <c r="E7" s="91" t="s">
        <v>377</v>
      </c>
      <c r="F7" s="91" t="s">
        <v>378</v>
      </c>
      <c r="G7" s="91" t="s">
        <v>379</v>
      </c>
      <c r="H7" s="91" t="s">
        <v>380</v>
      </c>
      <c r="I7" s="91" t="s">
        <v>593</v>
      </c>
      <c r="J7" s="91" t="s">
        <v>1040</v>
      </c>
      <c r="K7" s="91" t="s">
        <v>1056</v>
      </c>
      <c r="L7" s="91" t="s">
        <v>1059</v>
      </c>
      <c r="M7" s="91" t="s">
        <v>1077</v>
      </c>
    </row>
    <row r="8" spans="1:13">
      <c r="A8" s="246"/>
      <c r="B8" s="483"/>
      <c r="C8" s="246"/>
      <c r="D8" s="246"/>
      <c r="E8" s="246"/>
      <c r="F8" s="246"/>
      <c r="G8" s="246"/>
      <c r="H8" s="246"/>
      <c r="I8" s="246"/>
      <c r="J8" s="246"/>
      <c r="K8" s="246"/>
      <c r="M8" s="267" t="s">
        <v>1352</v>
      </c>
    </row>
    <row r="9" spans="1:13">
      <c r="A9" s="246"/>
      <c r="B9" s="120"/>
      <c r="C9" s="91"/>
      <c r="D9" s="91"/>
      <c r="E9" s="246"/>
      <c r="F9" s="246"/>
      <c r="G9" s="246"/>
      <c r="H9" s="246"/>
      <c r="I9" s="246"/>
      <c r="J9" s="246"/>
      <c r="K9" s="246"/>
      <c r="L9" s="246"/>
    </row>
    <row r="10" spans="1:13">
      <c r="A10" s="53" t="s">
        <v>360</v>
      </c>
      <c r="B10" s="134" t="s">
        <v>2006</v>
      </c>
      <c r="C10" s="91">
        <v>350.1</v>
      </c>
      <c r="D10" s="91">
        <v>350.2</v>
      </c>
      <c r="E10" s="91">
        <v>352</v>
      </c>
      <c r="F10" s="91">
        <v>353</v>
      </c>
      <c r="G10" s="91">
        <v>354</v>
      </c>
      <c r="H10" s="91">
        <v>355</v>
      </c>
      <c r="I10" s="91">
        <v>356</v>
      </c>
      <c r="J10" s="91">
        <v>357</v>
      </c>
      <c r="K10" s="91">
        <v>358</v>
      </c>
      <c r="L10" s="91">
        <v>359</v>
      </c>
      <c r="M10" s="3" t="s">
        <v>215</v>
      </c>
    </row>
    <row r="11" spans="1:13">
      <c r="A11" s="551">
        <v>1</v>
      </c>
      <c r="B11" s="1121" t="s">
        <v>2863</v>
      </c>
      <c r="C11" s="553">
        <v>86845703.104480609</v>
      </c>
      <c r="D11" s="630">
        <v>165326927.27681193</v>
      </c>
      <c r="E11" s="251">
        <v>531582610.83188766</v>
      </c>
      <c r="F11" s="553">
        <v>3249175448.8296032</v>
      </c>
      <c r="G11" s="553">
        <v>2233991232.1950097</v>
      </c>
      <c r="H11" s="553">
        <v>324258227.83465576</v>
      </c>
      <c r="I11" s="553">
        <v>1235903790.5887618</v>
      </c>
      <c r="J11" s="553">
        <v>185508196.51440176</v>
      </c>
      <c r="K11" s="553">
        <v>81951071.953655437</v>
      </c>
      <c r="L11" s="553">
        <v>182027085.56504503</v>
      </c>
      <c r="M11" s="248">
        <f t="shared" ref="M11:M23" si="0">SUM(C11:L11)</f>
        <v>8276570294.694313</v>
      </c>
    </row>
    <row r="12" spans="1:13">
      <c r="A12" s="551">
        <f>A11+1</f>
        <v>2</v>
      </c>
      <c r="B12" s="807" t="s">
        <v>2932</v>
      </c>
      <c r="C12" s="250">
        <f t="shared" ref="C12:C22" si="1">C146+C94 +C11</f>
        <v>81997511.329591066</v>
      </c>
      <c r="D12" s="262">
        <f t="shared" ref="D12:D22" si="2">D146+D94 +D11</f>
        <v>165330397.22681195</v>
      </c>
      <c r="E12" s="250">
        <f t="shared" ref="E12:E22" si="3">E146+E94 +E11</f>
        <v>528854082.9396922</v>
      </c>
      <c r="F12" s="250">
        <f t="shared" ref="F12:F22" si="4">F146+F94 +F11</f>
        <v>3250037231.0573664</v>
      </c>
      <c r="G12" s="250">
        <f t="shared" ref="G12:G22" si="5">G146+G94 +G11</f>
        <v>2231001014.4173007</v>
      </c>
      <c r="H12" s="250">
        <f t="shared" ref="H12:H22" si="6">H146+H94 +H11</f>
        <v>335699493.48126501</v>
      </c>
      <c r="I12" s="250">
        <f t="shared" ref="I12:I22" si="7">I146+I94 +I11</f>
        <v>1232564516.1469636</v>
      </c>
      <c r="J12" s="250">
        <f t="shared" ref="J12:J22" si="8">J146+J94 +J11</f>
        <v>185656754.46016017</v>
      </c>
      <c r="K12" s="250">
        <f t="shared" ref="K12:K22" si="9">K146+K94 +K11</f>
        <v>81997920.308148623</v>
      </c>
      <c r="L12" s="250">
        <f t="shared" ref="L12:L22" si="10">L146+L94 +L11</f>
        <v>160125967.54110417</v>
      </c>
      <c r="M12" s="248">
        <f t="shared" si="0"/>
        <v>8253264888.9084044</v>
      </c>
    </row>
    <row r="13" spans="1:13">
      <c r="A13" s="551">
        <f t="shared" ref="A13:A24" si="11">A12+1</f>
        <v>3</v>
      </c>
      <c r="B13" s="806" t="s">
        <v>2933</v>
      </c>
      <c r="C13" s="250">
        <f t="shared" si="1"/>
        <v>82013020.485065579</v>
      </c>
      <c r="D13" s="262">
        <f t="shared" si="2"/>
        <v>165784066.13681194</v>
      </c>
      <c r="E13" s="250">
        <f t="shared" si="3"/>
        <v>534882417.93507957</v>
      </c>
      <c r="F13" s="250">
        <f t="shared" si="4"/>
        <v>3256654353.0666699</v>
      </c>
      <c r="G13" s="250">
        <f t="shared" si="5"/>
        <v>2213130982.2309666</v>
      </c>
      <c r="H13" s="250">
        <f t="shared" si="6"/>
        <v>339965913.35103357</v>
      </c>
      <c r="I13" s="250">
        <f t="shared" si="7"/>
        <v>1235030893.7871845</v>
      </c>
      <c r="J13" s="250">
        <f t="shared" si="8"/>
        <v>186119194.09480119</v>
      </c>
      <c r="K13" s="250">
        <f t="shared" si="9"/>
        <v>82775424.322043598</v>
      </c>
      <c r="L13" s="250">
        <f t="shared" si="10"/>
        <v>161709714.52259344</v>
      </c>
      <c r="M13" s="248">
        <f t="shared" si="0"/>
        <v>8258065979.9322491</v>
      </c>
    </row>
    <row r="14" spans="1:13">
      <c r="A14" s="551">
        <f t="shared" si="11"/>
        <v>4</v>
      </c>
      <c r="B14" s="806" t="s">
        <v>2934</v>
      </c>
      <c r="C14" s="250">
        <f t="shared" si="1"/>
        <v>82413676.780734852</v>
      </c>
      <c r="D14" s="262">
        <f t="shared" si="2"/>
        <v>165733853.1359542</v>
      </c>
      <c r="E14" s="250">
        <f t="shared" si="3"/>
        <v>532806953.88879532</v>
      </c>
      <c r="F14" s="250">
        <f t="shared" si="4"/>
        <v>3260114606.462337</v>
      </c>
      <c r="G14" s="250">
        <f t="shared" si="5"/>
        <v>2225922423.059052</v>
      </c>
      <c r="H14" s="250">
        <f t="shared" si="6"/>
        <v>342740513.54030037</v>
      </c>
      <c r="I14" s="250">
        <f t="shared" si="7"/>
        <v>1241178224.9524918</v>
      </c>
      <c r="J14" s="250">
        <f t="shared" si="8"/>
        <v>186361376.54810238</v>
      </c>
      <c r="K14" s="250">
        <f t="shared" si="9"/>
        <v>83455650.891525179</v>
      </c>
      <c r="L14" s="250">
        <f t="shared" si="10"/>
        <v>161453728.31300449</v>
      </c>
      <c r="M14" s="248">
        <f t="shared" si="0"/>
        <v>8282181007.572298</v>
      </c>
    </row>
    <row r="15" spans="1:13">
      <c r="A15" s="551">
        <f t="shared" si="11"/>
        <v>5</v>
      </c>
      <c r="B15" s="807" t="s">
        <v>2935</v>
      </c>
      <c r="C15" s="250">
        <f t="shared" si="1"/>
        <v>82424960.000734851</v>
      </c>
      <c r="D15" s="262">
        <f t="shared" si="2"/>
        <v>165734428.73346913</v>
      </c>
      <c r="E15" s="250">
        <f t="shared" si="3"/>
        <v>540340484.51681399</v>
      </c>
      <c r="F15" s="250">
        <f t="shared" si="4"/>
        <v>3290596931.5163436</v>
      </c>
      <c r="G15" s="250">
        <f t="shared" si="5"/>
        <v>2251979964.6242318</v>
      </c>
      <c r="H15" s="250">
        <f t="shared" si="6"/>
        <v>344598338.88065362</v>
      </c>
      <c r="I15" s="250">
        <f t="shared" si="7"/>
        <v>1244265047.7836802</v>
      </c>
      <c r="J15" s="250">
        <f t="shared" si="8"/>
        <v>186611561.36734134</v>
      </c>
      <c r="K15" s="250">
        <f t="shared" si="9"/>
        <v>83540944.255980209</v>
      </c>
      <c r="L15" s="250">
        <f t="shared" si="10"/>
        <v>161600157.90685892</v>
      </c>
      <c r="M15" s="248">
        <f t="shared" si="0"/>
        <v>8351692819.5861073</v>
      </c>
    </row>
    <row r="16" spans="1:13">
      <c r="A16" s="551">
        <f t="shared" si="11"/>
        <v>6</v>
      </c>
      <c r="B16" s="806" t="s">
        <v>2936</v>
      </c>
      <c r="C16" s="250">
        <f t="shared" si="1"/>
        <v>82438879.958219945</v>
      </c>
      <c r="D16" s="262">
        <f t="shared" si="2"/>
        <v>165704350.73919225</v>
      </c>
      <c r="E16" s="250">
        <f t="shared" si="3"/>
        <v>548767497.38403428</v>
      </c>
      <c r="F16" s="250">
        <f t="shared" si="4"/>
        <v>3303060549.2436962</v>
      </c>
      <c r="G16" s="250">
        <f t="shared" si="5"/>
        <v>2258078708.8280492</v>
      </c>
      <c r="H16" s="250">
        <f t="shared" si="6"/>
        <v>345368677.22218686</v>
      </c>
      <c r="I16" s="250">
        <f t="shared" si="7"/>
        <v>1242476528.4608035</v>
      </c>
      <c r="J16" s="250">
        <f t="shared" si="8"/>
        <v>187117539.04549068</v>
      </c>
      <c r="K16" s="250">
        <f t="shared" si="9"/>
        <v>83717688.50188297</v>
      </c>
      <c r="L16" s="250">
        <f t="shared" si="10"/>
        <v>168349231.50255382</v>
      </c>
      <c r="M16" s="248">
        <f t="shared" si="0"/>
        <v>8385079650.8861103</v>
      </c>
    </row>
    <row r="17" spans="1:15">
      <c r="A17" s="551">
        <f t="shared" si="11"/>
        <v>7</v>
      </c>
      <c r="B17" s="806" t="s">
        <v>2937</v>
      </c>
      <c r="C17" s="250">
        <f t="shared" si="1"/>
        <v>81409531.041870818</v>
      </c>
      <c r="D17" s="262">
        <f t="shared" si="2"/>
        <v>165534488.25595289</v>
      </c>
      <c r="E17" s="250">
        <f t="shared" si="3"/>
        <v>552041269.82559466</v>
      </c>
      <c r="F17" s="250">
        <f t="shared" si="4"/>
        <v>3313909561.1404948</v>
      </c>
      <c r="G17" s="250">
        <f t="shared" si="5"/>
        <v>2261350618.3542738</v>
      </c>
      <c r="H17" s="250">
        <f t="shared" si="6"/>
        <v>347377533.89128685</v>
      </c>
      <c r="I17" s="250">
        <f t="shared" si="7"/>
        <v>1244803717.1679733</v>
      </c>
      <c r="J17" s="250">
        <f t="shared" si="8"/>
        <v>188491606.58683255</v>
      </c>
      <c r="K17" s="250">
        <f t="shared" si="9"/>
        <v>84190542.092044219</v>
      </c>
      <c r="L17" s="250">
        <f t="shared" si="10"/>
        <v>167806374.90477768</v>
      </c>
      <c r="M17" s="248">
        <f t="shared" si="0"/>
        <v>8406915243.2611017</v>
      </c>
    </row>
    <row r="18" spans="1:15">
      <c r="A18" s="551">
        <f t="shared" si="11"/>
        <v>8</v>
      </c>
      <c r="B18" s="807" t="s">
        <v>2938</v>
      </c>
      <c r="C18" s="250">
        <f t="shared" si="1"/>
        <v>81421876.403887019</v>
      </c>
      <c r="D18" s="262">
        <f t="shared" si="2"/>
        <v>165199674.61073655</v>
      </c>
      <c r="E18" s="250">
        <f t="shared" si="3"/>
        <v>554107048.75248206</v>
      </c>
      <c r="F18" s="250">
        <f t="shared" si="4"/>
        <v>3321544470.5779901</v>
      </c>
      <c r="G18" s="250">
        <f t="shared" si="5"/>
        <v>2263663367.8538327</v>
      </c>
      <c r="H18" s="250">
        <f t="shared" si="6"/>
        <v>350109484.62588668</v>
      </c>
      <c r="I18" s="250">
        <f t="shared" si="7"/>
        <v>1244039915.8579283</v>
      </c>
      <c r="J18" s="250">
        <f t="shared" si="8"/>
        <v>188624718.08169946</v>
      </c>
      <c r="K18" s="250">
        <f t="shared" si="9"/>
        <v>84257049.665844843</v>
      </c>
      <c r="L18" s="250">
        <f t="shared" si="10"/>
        <v>167839950.05671296</v>
      </c>
      <c r="M18" s="248">
        <f t="shared" si="0"/>
        <v>8420807556.4870014</v>
      </c>
    </row>
    <row r="19" spans="1:15">
      <c r="A19" s="551">
        <f t="shared" si="11"/>
        <v>9</v>
      </c>
      <c r="B19" s="806" t="s">
        <v>2939</v>
      </c>
      <c r="C19" s="250">
        <f t="shared" si="1"/>
        <v>81875010.633887053</v>
      </c>
      <c r="D19" s="262">
        <f t="shared" si="2"/>
        <v>164728138.38125554</v>
      </c>
      <c r="E19" s="250">
        <f t="shared" si="3"/>
        <v>558293841.58813465</v>
      </c>
      <c r="F19" s="250">
        <f t="shared" si="4"/>
        <v>3350799128.778306</v>
      </c>
      <c r="G19" s="250">
        <f t="shared" si="5"/>
        <v>2265082996.233233</v>
      </c>
      <c r="H19" s="250">
        <f t="shared" si="6"/>
        <v>350778177.56987709</v>
      </c>
      <c r="I19" s="250">
        <f t="shared" si="7"/>
        <v>1246103080.4386492</v>
      </c>
      <c r="J19" s="250">
        <f t="shared" si="8"/>
        <v>188962875.99262577</v>
      </c>
      <c r="K19" s="250">
        <f t="shared" si="9"/>
        <v>84383655.946207628</v>
      </c>
      <c r="L19" s="250">
        <f t="shared" si="10"/>
        <v>168194578.54627183</v>
      </c>
      <c r="M19" s="248">
        <f t="shared" si="0"/>
        <v>8459201484.108449</v>
      </c>
    </row>
    <row r="20" spans="1:15">
      <c r="A20" s="551">
        <f t="shared" si="11"/>
        <v>10</v>
      </c>
      <c r="B20" s="806" t="s">
        <v>2940</v>
      </c>
      <c r="C20" s="250">
        <f t="shared" si="1"/>
        <v>81886831.423887074</v>
      </c>
      <c r="D20" s="262">
        <f t="shared" si="2"/>
        <v>164709519.96722952</v>
      </c>
      <c r="E20" s="250">
        <f t="shared" si="3"/>
        <v>560085940.26849926</v>
      </c>
      <c r="F20" s="250">
        <f t="shared" si="4"/>
        <v>3354129788.5844827</v>
      </c>
      <c r="G20" s="250">
        <f t="shared" si="5"/>
        <v>2263017843.8072162</v>
      </c>
      <c r="H20" s="250">
        <f t="shared" si="6"/>
        <v>354174066.60798311</v>
      </c>
      <c r="I20" s="250">
        <f t="shared" si="7"/>
        <v>1247812336.683892</v>
      </c>
      <c r="J20" s="250">
        <f t="shared" si="8"/>
        <v>189290135.90612665</v>
      </c>
      <c r="K20" s="250">
        <f t="shared" si="9"/>
        <v>84485994.067062825</v>
      </c>
      <c r="L20" s="262">
        <f t="shared" si="10"/>
        <v>168808262.01432389</v>
      </c>
      <c r="M20" s="248">
        <f t="shared" si="0"/>
        <v>8468400719.3307037</v>
      </c>
    </row>
    <row r="21" spans="1:15">
      <c r="A21" s="551">
        <f t="shared" si="11"/>
        <v>11</v>
      </c>
      <c r="B21" s="807" t="s">
        <v>2941</v>
      </c>
      <c r="C21" s="250">
        <f t="shared" si="1"/>
        <v>81898670.463887021</v>
      </c>
      <c r="D21" s="262">
        <f t="shared" si="2"/>
        <v>164708798.40418896</v>
      </c>
      <c r="E21" s="250">
        <f t="shared" si="3"/>
        <v>557690364.69114268</v>
      </c>
      <c r="F21" s="250">
        <f t="shared" si="4"/>
        <v>3337803869.7079716</v>
      </c>
      <c r="G21" s="250">
        <f t="shared" si="5"/>
        <v>2267000465.5567203</v>
      </c>
      <c r="H21" s="250">
        <f t="shared" si="6"/>
        <v>357358231.15162766</v>
      </c>
      <c r="I21" s="250">
        <f t="shared" si="7"/>
        <v>1247335361.2583385</v>
      </c>
      <c r="J21" s="250">
        <f t="shared" si="8"/>
        <v>189937864.06141493</v>
      </c>
      <c r="K21" s="250">
        <f t="shared" si="9"/>
        <v>84808332.547734067</v>
      </c>
      <c r="L21" s="250">
        <f t="shared" si="10"/>
        <v>169009659.68885976</v>
      </c>
      <c r="M21" s="248">
        <f t="shared" si="0"/>
        <v>8457551617.5318842</v>
      </c>
    </row>
    <row r="22" spans="1:15">
      <c r="A22" s="551">
        <f t="shared" si="11"/>
        <v>12</v>
      </c>
      <c r="B22" s="807" t="s">
        <v>2942</v>
      </c>
      <c r="C22" s="250">
        <f t="shared" si="1"/>
        <v>87866111.14856644</v>
      </c>
      <c r="D22" s="262">
        <f t="shared" si="2"/>
        <v>164907956.70031324</v>
      </c>
      <c r="E22" s="250">
        <f t="shared" si="3"/>
        <v>559289848.69396424</v>
      </c>
      <c r="F22" s="250">
        <f t="shared" si="4"/>
        <v>3340005248.8109145</v>
      </c>
      <c r="G22" s="250">
        <f t="shared" si="5"/>
        <v>2268750108.0349035</v>
      </c>
      <c r="H22" s="250">
        <f t="shared" si="6"/>
        <v>362445560.92425799</v>
      </c>
      <c r="I22" s="250">
        <f t="shared" si="7"/>
        <v>1244772135.9725165</v>
      </c>
      <c r="J22" s="250">
        <f t="shared" si="8"/>
        <v>190107795.95587212</v>
      </c>
      <c r="K22" s="250">
        <f t="shared" si="9"/>
        <v>84849890.173759699</v>
      </c>
      <c r="L22" s="250">
        <f t="shared" si="10"/>
        <v>171154662.88097575</v>
      </c>
      <c r="M22" s="248">
        <f t="shared" si="0"/>
        <v>8474149319.2960443</v>
      </c>
    </row>
    <row r="23" spans="1:15">
      <c r="A23" s="551">
        <f t="shared" si="11"/>
        <v>13</v>
      </c>
      <c r="B23" s="806" t="s">
        <v>2943</v>
      </c>
      <c r="C23" s="126">
        <v>87876203.008566424</v>
      </c>
      <c r="D23" s="126">
        <v>164901118.05652422</v>
      </c>
      <c r="E23" s="490">
        <f>'7-PlantStudy'!E10</f>
        <v>569698022.82553017</v>
      </c>
      <c r="F23" s="490">
        <f>'7-PlantStudy'!E11</f>
        <v>3409447773.6593328</v>
      </c>
      <c r="G23" s="490">
        <f>'7-PlantStudy'!E20</f>
        <v>2283380921.6603918</v>
      </c>
      <c r="H23" s="490">
        <f>'7-PlantStudy'!E21</f>
        <v>364424080.39844126</v>
      </c>
      <c r="I23" s="490">
        <f>'7-PlantStudy'!E22</f>
        <v>1245933686.1010468</v>
      </c>
      <c r="J23" s="490">
        <f>'7-PlantStudy'!E23</f>
        <v>190222488.72271055</v>
      </c>
      <c r="K23" s="490">
        <f>'7-PlantStudy'!E24</f>
        <v>84920373.966592565</v>
      </c>
      <c r="L23" s="490">
        <f>'7-PlantStudy'!E25</f>
        <v>172640884.93140152</v>
      </c>
      <c r="M23" s="389">
        <f t="shared" si="0"/>
        <v>8573445553.3305378</v>
      </c>
      <c r="O23" s="1"/>
    </row>
    <row r="24" spans="1:15">
      <c r="A24" s="551">
        <f t="shared" si="11"/>
        <v>14</v>
      </c>
      <c r="B24" s="555" t="s">
        <v>1311</v>
      </c>
      <c r="C24" s="248">
        <f t="shared" ref="C24:M24" si="12">AVERAGE(C11:C23)</f>
        <v>83259075.829490662</v>
      </c>
      <c r="D24" s="248">
        <f t="shared" si="12"/>
        <v>165254132.12501943</v>
      </c>
      <c r="E24" s="248">
        <f t="shared" si="12"/>
        <v>548341568.01089621</v>
      </c>
      <c r="F24" s="248">
        <f t="shared" si="12"/>
        <v>3310559920.1104236</v>
      </c>
      <c r="G24" s="248">
        <f t="shared" si="12"/>
        <v>2252796203.6042447</v>
      </c>
      <c r="H24" s="248">
        <f t="shared" si="12"/>
        <v>347638330.72918892</v>
      </c>
      <c r="I24" s="248">
        <f t="shared" si="12"/>
        <v>1242478402.7077098</v>
      </c>
      <c r="J24" s="248">
        <f t="shared" si="12"/>
        <v>187924008.2567369</v>
      </c>
      <c r="K24" s="248">
        <f t="shared" si="12"/>
        <v>83794964.514806286</v>
      </c>
      <c r="L24" s="248">
        <f t="shared" si="12"/>
        <v>167747712.18265253</v>
      </c>
      <c r="M24" s="248">
        <f t="shared" si="12"/>
        <v>8389794318.0711689</v>
      </c>
    </row>
    <row r="25" spans="1:15">
      <c r="A25" s="515"/>
      <c r="B25" s="515"/>
      <c r="C25" s="515"/>
      <c r="D25" s="515"/>
      <c r="E25" s="515"/>
      <c r="F25" s="515"/>
      <c r="G25" s="515"/>
      <c r="H25" s="515"/>
      <c r="I25" s="515"/>
      <c r="J25" s="515"/>
      <c r="K25" s="515"/>
      <c r="L25" s="515"/>
    </row>
    <row r="26" spans="1:15">
      <c r="A26" s="515"/>
      <c r="B26" s="418" t="s">
        <v>352</v>
      </c>
      <c r="C26" s="515"/>
      <c r="D26" s="515"/>
      <c r="E26" s="515"/>
      <c r="F26" s="515"/>
      <c r="G26" s="515"/>
      <c r="H26" s="515"/>
      <c r="I26" s="515"/>
      <c r="J26" s="515"/>
      <c r="K26" s="515"/>
      <c r="L26" s="515"/>
    </row>
    <row r="27" spans="1:15">
      <c r="A27" s="515"/>
      <c r="B27" s="418"/>
      <c r="C27" s="515"/>
      <c r="D27" s="515"/>
      <c r="E27" s="515"/>
      <c r="F27" s="515"/>
      <c r="G27" s="515"/>
      <c r="H27" s="515"/>
      <c r="I27" s="515"/>
      <c r="J27" s="515"/>
      <c r="K27" s="515"/>
      <c r="L27" s="515"/>
    </row>
    <row r="28" spans="1:15">
      <c r="A28" s="515"/>
      <c r="B28" s="256" t="s">
        <v>1959</v>
      </c>
      <c r="C28" s="517"/>
      <c r="D28" s="517"/>
      <c r="E28" s="517"/>
      <c r="F28" s="517"/>
      <c r="G28" s="517"/>
      <c r="H28" s="517"/>
      <c r="I28" s="515"/>
      <c r="J28" s="515"/>
      <c r="K28" s="515"/>
      <c r="L28" s="515"/>
    </row>
    <row r="29" spans="1:15">
      <c r="A29" s="515"/>
      <c r="B29" s="418"/>
      <c r="C29" s="515"/>
      <c r="D29" s="515"/>
      <c r="E29" s="515"/>
      <c r="F29" s="515"/>
      <c r="G29" s="515"/>
      <c r="H29" s="515"/>
      <c r="I29" s="515"/>
      <c r="J29" s="515"/>
      <c r="K29" s="515"/>
      <c r="L29" s="515"/>
    </row>
    <row r="30" spans="1:15">
      <c r="A30" s="418"/>
      <c r="B30" s="91" t="s">
        <v>391</v>
      </c>
      <c r="C30" s="91" t="s">
        <v>375</v>
      </c>
      <c r="D30" s="91" t="s">
        <v>376</v>
      </c>
      <c r="E30" s="91" t="s">
        <v>377</v>
      </c>
      <c r="F30" s="91" t="s">
        <v>378</v>
      </c>
      <c r="G30" s="515"/>
      <c r="H30" s="515"/>
      <c r="I30" s="515"/>
      <c r="J30" s="515"/>
      <c r="K30" s="515"/>
      <c r="L30" s="515"/>
    </row>
    <row r="31" spans="1:15">
      <c r="A31" s="246"/>
      <c r="B31" s="267"/>
      <c r="C31" s="246"/>
      <c r="D31" s="246"/>
      <c r="E31" s="246"/>
      <c r="F31" s="267" t="s">
        <v>1312</v>
      </c>
      <c r="G31" s="515"/>
      <c r="H31" s="515"/>
      <c r="K31" s="515"/>
      <c r="L31" s="515"/>
    </row>
    <row r="32" spans="1:15">
      <c r="A32" s="246"/>
      <c r="B32" s="120"/>
      <c r="C32" s="91"/>
      <c r="D32" s="91"/>
      <c r="E32" s="246"/>
      <c r="F32" s="246"/>
      <c r="G32" s="515"/>
      <c r="H32" s="515"/>
      <c r="K32" s="515"/>
      <c r="L32" s="515"/>
    </row>
    <row r="33" spans="1:12" ht="12.75" customHeight="1">
      <c r="A33" s="53" t="s">
        <v>360</v>
      </c>
      <c r="B33" s="134" t="s">
        <v>2006</v>
      </c>
      <c r="C33" s="390">
        <v>360</v>
      </c>
      <c r="D33" s="390">
        <v>361</v>
      </c>
      <c r="E33" s="390">
        <v>362</v>
      </c>
      <c r="F33" s="3" t="s">
        <v>215</v>
      </c>
      <c r="G33" s="515"/>
      <c r="H33" s="515"/>
      <c r="K33" s="515"/>
      <c r="L33" s="515"/>
    </row>
    <row r="34" spans="1:12" ht="12.75" customHeight="1">
      <c r="A34" s="551">
        <f>A24+1</f>
        <v>15</v>
      </c>
      <c r="B34" s="806" t="s">
        <v>2863</v>
      </c>
      <c r="C34" s="251">
        <v>0</v>
      </c>
      <c r="D34" s="251">
        <v>0</v>
      </c>
      <c r="E34" s="251">
        <v>0</v>
      </c>
      <c r="F34" s="248">
        <f>SUM(C34:E34)</f>
        <v>0</v>
      </c>
      <c r="G34" s="515"/>
      <c r="H34" s="515"/>
      <c r="K34" s="515"/>
      <c r="L34" s="515"/>
    </row>
    <row r="35" spans="1:12" ht="12.75" customHeight="1">
      <c r="A35" s="551">
        <f>A34+1</f>
        <v>16</v>
      </c>
      <c r="B35" s="806" t="s">
        <v>2943</v>
      </c>
      <c r="C35" s="423">
        <v>0</v>
      </c>
      <c r="D35" s="423">
        <v>0</v>
      </c>
      <c r="E35" s="423">
        <v>0</v>
      </c>
      <c r="F35" s="389">
        <f>SUM(C35:E35)</f>
        <v>0</v>
      </c>
      <c r="G35" s="515"/>
      <c r="H35" s="515"/>
      <c r="K35" s="515"/>
      <c r="L35" s="515"/>
    </row>
    <row r="36" spans="1:12" ht="12.75" customHeight="1">
      <c r="A36" s="551">
        <f>A35+1</f>
        <v>17</v>
      </c>
      <c r="B36" s="555" t="s">
        <v>1313</v>
      </c>
      <c r="C36" s="248">
        <f>AVERAGE(C34:C35)</f>
        <v>0</v>
      </c>
      <c r="D36" s="248">
        <f>AVERAGE(D34:D35)</f>
        <v>0</v>
      </c>
      <c r="E36" s="248">
        <f>AVERAGE(E34:E35)</f>
        <v>0</v>
      </c>
      <c r="F36" s="248">
        <f>AVERAGE(F34:F35)</f>
        <v>0</v>
      </c>
      <c r="G36" s="515"/>
      <c r="H36" s="515"/>
      <c r="K36" s="515"/>
      <c r="L36" s="515"/>
    </row>
    <row r="37" spans="1:12" ht="12.75" customHeight="1">
      <c r="A37" s="515"/>
      <c r="B37" s="515"/>
      <c r="C37" s="515"/>
      <c r="D37" s="515"/>
      <c r="E37" s="515"/>
      <c r="F37" s="515"/>
      <c r="G37" s="515"/>
      <c r="H37" s="515"/>
      <c r="K37" s="515"/>
      <c r="L37" s="515"/>
    </row>
    <row r="38" spans="1:12">
      <c r="A38" s="515"/>
      <c r="B38" s="1" t="s">
        <v>1139</v>
      </c>
      <c r="C38" s="22"/>
      <c r="D38" s="22"/>
      <c r="E38" s="556"/>
      <c r="F38" s="557"/>
      <c r="G38" s="558"/>
      <c r="H38" s="515"/>
      <c r="K38" s="515"/>
      <c r="L38" s="515"/>
    </row>
    <row r="39" spans="1:12">
      <c r="A39" s="515"/>
      <c r="B39" s="515" t="s">
        <v>1140</v>
      </c>
      <c r="C39" s="22"/>
      <c r="D39" s="22"/>
      <c r="E39" s="556"/>
      <c r="F39" s="557"/>
      <c r="G39" s="558"/>
      <c r="H39" s="515"/>
      <c r="K39" s="515"/>
      <c r="L39" s="515"/>
    </row>
    <row r="40" spans="1:12">
      <c r="A40" s="515"/>
      <c r="B40" s="515"/>
      <c r="C40" s="22"/>
      <c r="D40" s="22"/>
      <c r="E40" s="556"/>
      <c r="F40" s="557"/>
      <c r="G40" s="558"/>
      <c r="H40" s="515"/>
      <c r="K40" s="515"/>
      <c r="L40" s="515"/>
    </row>
    <row r="41" spans="1:12">
      <c r="A41" s="515"/>
      <c r="B41" s="515"/>
      <c r="C41" s="22"/>
      <c r="D41" s="420" t="s">
        <v>194</v>
      </c>
      <c r="E41" s="421" t="s">
        <v>198</v>
      </c>
      <c r="F41" s="557"/>
      <c r="G41" s="558"/>
      <c r="H41" s="515"/>
      <c r="K41" s="515"/>
      <c r="L41" s="515"/>
    </row>
    <row r="42" spans="1:12">
      <c r="A42" s="551">
        <f>A36+1</f>
        <v>18</v>
      </c>
      <c r="B42" s="515"/>
      <c r="C42" s="556" t="s">
        <v>353</v>
      </c>
      <c r="D42" s="557">
        <f>M24+F36</f>
        <v>8389794318.0711689</v>
      </c>
      <c r="E42" s="559" t="str">
        <f>"Sum of Line "&amp;A24&amp;", "&amp;M7&amp;" and Line "&amp;A36&amp;", "&amp;F30&amp;""</f>
        <v>Sum of Line 14, Col 12 and Line 17, Col 5</v>
      </c>
      <c r="F42" s="515"/>
      <c r="G42" s="515"/>
      <c r="H42" s="515"/>
      <c r="K42" s="515"/>
      <c r="L42" s="515"/>
    </row>
    <row r="43" spans="1:12">
      <c r="A43" s="551">
        <f>A42+1</f>
        <v>19</v>
      </c>
      <c r="B43" s="515"/>
      <c r="C43" s="556" t="s">
        <v>173</v>
      </c>
      <c r="D43" s="557">
        <f>M23+F35</f>
        <v>8573445553.3305378</v>
      </c>
      <c r="E43" s="559" t="str">
        <f>"Sum of Line "&amp;A23&amp;", "&amp;M7&amp;" and Line "&amp;A35&amp;", "&amp;F30&amp;""</f>
        <v>Sum of Line 13, Col 12 and Line 16, Col 5</v>
      </c>
      <c r="F43" s="515"/>
      <c r="G43" s="515"/>
      <c r="H43" s="515"/>
      <c r="I43" s="515"/>
      <c r="J43" s="515"/>
      <c r="K43" s="515"/>
      <c r="L43" s="515"/>
    </row>
    <row r="44" spans="1:12">
      <c r="A44" s="515"/>
      <c r="B44" s="515"/>
      <c r="C44" s="22"/>
      <c r="D44" s="22"/>
      <c r="E44" s="560"/>
      <c r="F44" s="561"/>
      <c r="G44" s="562"/>
      <c r="H44" s="515"/>
      <c r="I44" s="515"/>
      <c r="J44" s="515"/>
      <c r="K44" s="515"/>
      <c r="L44" s="515"/>
    </row>
    <row r="45" spans="1:12">
      <c r="A45" s="515"/>
      <c r="B45" s="1" t="s">
        <v>1960</v>
      </c>
      <c r="C45" s="515"/>
      <c r="D45" s="515"/>
      <c r="E45" s="560"/>
      <c r="F45" s="561"/>
      <c r="G45" s="562"/>
      <c r="H45" s="515"/>
      <c r="I45" s="515"/>
      <c r="J45" s="515"/>
      <c r="K45" s="515"/>
      <c r="L45" s="515"/>
    </row>
    <row r="46" spans="1:12">
      <c r="A46" s="515"/>
      <c r="B46" s="519" t="s">
        <v>334</v>
      </c>
      <c r="C46" s="515"/>
      <c r="D46" s="515"/>
      <c r="E46" s="560"/>
      <c r="F46" s="561"/>
      <c r="G46" s="562"/>
      <c r="H46" s="515"/>
      <c r="I46" s="515"/>
      <c r="J46" s="515"/>
      <c r="K46" s="515"/>
      <c r="L46" s="515"/>
    </row>
    <row r="47" spans="1:12" ht="12.75" customHeight="1">
      <c r="A47" s="515"/>
      <c r="B47" s="519"/>
      <c r="C47" s="515"/>
      <c r="D47" s="515"/>
      <c r="E47" s="560"/>
      <c r="F47" s="561"/>
      <c r="G47" s="562"/>
      <c r="H47" s="515"/>
      <c r="I47" s="515"/>
      <c r="J47" s="515"/>
      <c r="K47" s="515"/>
      <c r="L47" s="515"/>
    </row>
    <row r="48" spans="1:12">
      <c r="A48" s="515"/>
      <c r="B48" s="1"/>
      <c r="C48" s="267" t="s">
        <v>392</v>
      </c>
      <c r="D48" s="515"/>
      <c r="E48" s="560"/>
      <c r="F48" s="91" t="s">
        <v>391</v>
      </c>
      <c r="G48" s="91" t="s">
        <v>375</v>
      </c>
      <c r="H48" s="91" t="s">
        <v>376</v>
      </c>
      <c r="I48" s="515"/>
      <c r="J48" s="515"/>
      <c r="K48" s="515"/>
      <c r="L48" s="515"/>
    </row>
    <row r="49" spans="1:12">
      <c r="A49" s="515"/>
      <c r="B49" s="1"/>
      <c r="C49" s="551" t="s">
        <v>443</v>
      </c>
      <c r="D49" s="560"/>
      <c r="F49" s="551" t="s">
        <v>1335</v>
      </c>
      <c r="G49" s="551" t="s">
        <v>1336</v>
      </c>
      <c r="H49" s="81" t="s">
        <v>215</v>
      </c>
      <c r="I49" s="562"/>
      <c r="J49" s="515"/>
      <c r="K49" s="515"/>
      <c r="L49" s="515"/>
    </row>
    <row r="50" spans="1:12">
      <c r="A50" s="515"/>
      <c r="B50" s="515"/>
      <c r="C50" s="551" t="s">
        <v>212</v>
      </c>
      <c r="D50" s="26" t="s">
        <v>213</v>
      </c>
      <c r="F50" s="26" t="s">
        <v>411</v>
      </c>
      <c r="G50" s="26" t="s">
        <v>411</v>
      </c>
      <c r="H50" s="26" t="s">
        <v>1314</v>
      </c>
      <c r="I50" s="26"/>
      <c r="J50" s="515"/>
      <c r="K50" s="515"/>
      <c r="L50" s="515"/>
    </row>
    <row r="51" spans="1:12">
      <c r="A51" s="515"/>
      <c r="B51" s="515"/>
      <c r="C51" s="3" t="s">
        <v>211</v>
      </c>
      <c r="D51" s="25" t="s">
        <v>198</v>
      </c>
      <c r="F51" s="31" t="s">
        <v>2</v>
      </c>
      <c r="G51" s="31" t="s">
        <v>2</v>
      </c>
      <c r="H51" s="31" t="s">
        <v>2</v>
      </c>
      <c r="I51" s="29" t="s">
        <v>187</v>
      </c>
      <c r="J51" s="515"/>
      <c r="K51" s="515"/>
      <c r="L51" s="515"/>
    </row>
    <row r="52" spans="1:12">
      <c r="A52" s="551">
        <f>A43+1</f>
        <v>20</v>
      </c>
      <c r="B52" s="515"/>
      <c r="C52" s="563" t="s">
        <v>199</v>
      </c>
      <c r="D52" s="564" t="s">
        <v>1337</v>
      </c>
      <c r="F52" s="1185">
        <v>2941903413</v>
      </c>
      <c r="G52" s="553">
        <v>1588136353</v>
      </c>
      <c r="H52" s="557">
        <f>SUM(F52:G52)</f>
        <v>4530039766</v>
      </c>
      <c r="I52" s="564" t="s">
        <v>1961</v>
      </c>
      <c r="J52" s="517"/>
      <c r="K52" s="515"/>
      <c r="L52" s="515"/>
    </row>
    <row r="53" spans="1:12" ht="12.75" customHeight="1">
      <c r="A53" s="551">
        <f>A52+1</f>
        <v>21</v>
      </c>
      <c r="B53" s="515"/>
      <c r="C53" s="552" t="s">
        <v>199</v>
      </c>
      <c r="D53" s="564" t="s">
        <v>2000</v>
      </c>
      <c r="E53" s="14"/>
      <c r="F53" s="1185">
        <v>3102162333</v>
      </c>
      <c r="G53" s="553">
        <v>1324870316</v>
      </c>
      <c r="H53" s="557">
        <f>SUM(F53:G53)</f>
        <v>4427032649</v>
      </c>
      <c r="I53" s="514" t="s">
        <v>1962</v>
      </c>
      <c r="J53" s="517"/>
      <c r="K53" s="515"/>
      <c r="L53" s="515"/>
    </row>
    <row r="54" spans="1:12" ht="12.75" customHeight="1">
      <c r="A54" s="515"/>
      <c r="B54" s="515"/>
      <c r="C54" s="552"/>
      <c r="D54" s="565"/>
      <c r="E54" s="566"/>
      <c r="F54" s="557"/>
      <c r="G54" s="519"/>
      <c r="H54" s="515"/>
      <c r="I54" s="515"/>
      <c r="J54" s="515"/>
      <c r="K54" s="515"/>
      <c r="L54" s="515"/>
    </row>
    <row r="55" spans="1:12" ht="12.75" customHeight="1">
      <c r="A55" s="515"/>
      <c r="B55" s="515"/>
      <c r="C55" s="22" t="s">
        <v>1339</v>
      </c>
      <c r="D55" s="22"/>
      <c r="E55" s="560"/>
      <c r="F55" s="421" t="s">
        <v>194</v>
      </c>
      <c r="G55" s="422" t="s">
        <v>198</v>
      </c>
      <c r="H55" s="515"/>
      <c r="I55" s="515"/>
      <c r="J55" s="515"/>
      <c r="K55" s="515"/>
      <c r="L55" s="515"/>
    </row>
    <row r="56" spans="1:12">
      <c r="A56" s="551">
        <f>A53+1</f>
        <v>22</v>
      </c>
      <c r="B56" s="515"/>
      <c r="C56" s="22"/>
      <c r="D56" s="22"/>
      <c r="E56" s="556" t="s">
        <v>94</v>
      </c>
      <c r="F56" s="557">
        <f>(H52+H53)/2</f>
        <v>4478536207.5</v>
      </c>
      <c r="G56" s="567" t="str">
        <f>"Average of Line "&amp;A52&amp;" and "&amp;A53&amp;"."</f>
        <v>Average of Line 20 and 21.</v>
      </c>
      <c r="H56" s="515"/>
      <c r="I56" s="515"/>
      <c r="J56" s="515"/>
      <c r="K56" s="515"/>
      <c r="L56" s="515"/>
    </row>
    <row r="57" spans="1:12">
      <c r="A57" s="551">
        <f>A56+1</f>
        <v>23</v>
      </c>
      <c r="B57" s="515"/>
      <c r="C57" s="22"/>
      <c r="D57" s="22"/>
      <c r="E57" s="568" t="s">
        <v>265</v>
      </c>
      <c r="F57" s="36">
        <f>'27-Allocators'!G15</f>
        <v>5.6231891976617258E-2</v>
      </c>
      <c r="G57" s="567" t="str">
        <f>"27-Allocators, Line "&amp;'27-Allocators'!A15&amp;""</f>
        <v>27-Allocators, Line 9</v>
      </c>
      <c r="H57" s="515"/>
      <c r="I57" s="515"/>
      <c r="J57" s="515"/>
      <c r="K57" s="515"/>
      <c r="L57" s="515"/>
    </row>
    <row r="58" spans="1:12">
      <c r="A58" s="551">
        <f>A57+1</f>
        <v>24</v>
      </c>
      <c r="B58" s="515"/>
      <c r="C58" s="22"/>
      <c r="D58" s="22"/>
      <c r="E58" s="568" t="s">
        <v>335</v>
      </c>
      <c r="F58" s="557">
        <f>F56*F57</f>
        <v>251836564.23350912</v>
      </c>
      <c r="G58" s="567" t="str">
        <f>"Line "&amp;A56&amp;" * Line "&amp;A57&amp;"."</f>
        <v>Line 22 * Line 23.</v>
      </c>
      <c r="H58" s="515"/>
      <c r="I58" s="515"/>
      <c r="J58" s="515"/>
      <c r="K58" s="515"/>
      <c r="L58" s="515"/>
    </row>
    <row r="59" spans="1:12">
      <c r="A59" s="515"/>
      <c r="B59" s="515"/>
      <c r="C59" s="22"/>
      <c r="D59" s="22"/>
      <c r="E59" s="568"/>
      <c r="F59" s="557"/>
      <c r="G59" s="558"/>
      <c r="H59" s="515"/>
      <c r="I59" s="515"/>
      <c r="J59" s="515"/>
      <c r="K59" s="515"/>
      <c r="L59" s="515"/>
    </row>
    <row r="60" spans="1:12">
      <c r="A60" s="515"/>
      <c r="B60" s="515"/>
      <c r="C60" s="22" t="s">
        <v>1338</v>
      </c>
      <c r="D60" s="22"/>
      <c r="E60" s="560"/>
      <c r="F60" s="421" t="s">
        <v>194</v>
      </c>
      <c r="G60" s="422" t="s">
        <v>198</v>
      </c>
      <c r="H60" s="515"/>
      <c r="I60" s="515"/>
      <c r="J60" s="515"/>
      <c r="K60" s="515"/>
      <c r="L60" s="515"/>
    </row>
    <row r="61" spans="1:12">
      <c r="A61" s="551">
        <f>A58+1</f>
        <v>25</v>
      </c>
      <c r="B61" s="515"/>
      <c r="C61" s="22"/>
      <c r="D61" s="22"/>
      <c r="E61" s="556" t="s">
        <v>173</v>
      </c>
      <c r="F61" s="557">
        <f>H53</f>
        <v>4427032649</v>
      </c>
      <c r="G61" s="567" t="str">
        <f>"Line "&amp;A53&amp;"."</f>
        <v>Line 21.</v>
      </c>
      <c r="H61" s="515"/>
      <c r="I61" s="515"/>
      <c r="J61" s="515"/>
      <c r="K61" s="515"/>
      <c r="L61" s="515"/>
    </row>
    <row r="62" spans="1:12">
      <c r="A62" s="551">
        <f>A61+1</f>
        <v>26</v>
      </c>
      <c r="B62" s="515"/>
      <c r="C62" s="22"/>
      <c r="D62" s="22"/>
      <c r="E62" s="568" t="s">
        <v>265</v>
      </c>
      <c r="F62" s="36">
        <f>'27-Allocators'!G15</f>
        <v>5.6231891976617258E-2</v>
      </c>
      <c r="G62" s="567" t="str">
        <f>"27-Allocators, Line "&amp;'27-Allocators'!A15&amp;""</f>
        <v>27-Allocators, Line 9</v>
      </c>
      <c r="H62" s="515"/>
      <c r="I62" s="515"/>
      <c r="J62" s="515"/>
      <c r="K62" s="515"/>
      <c r="L62" s="515"/>
    </row>
    <row r="63" spans="1:12">
      <c r="A63" s="551">
        <f>A62+1</f>
        <v>27</v>
      </c>
      <c r="B63" s="515"/>
      <c r="C63" s="22"/>
      <c r="D63" s="22"/>
      <c r="E63" s="568" t="s">
        <v>335</v>
      </c>
      <c r="F63" s="557">
        <f>F61*F62</f>
        <v>248940421.69552574</v>
      </c>
      <c r="G63" s="567" t="str">
        <f>"Line "&amp;A61&amp;" * Line "&amp;A62&amp;"."</f>
        <v>Line 25 * Line 26.</v>
      </c>
      <c r="H63" s="515"/>
      <c r="I63" s="515"/>
      <c r="J63" s="515"/>
      <c r="K63" s="515"/>
      <c r="L63" s="515"/>
    </row>
    <row r="64" spans="1:12">
      <c r="A64" s="515"/>
      <c r="B64" s="515"/>
      <c r="C64" s="515"/>
      <c r="D64" s="515"/>
      <c r="E64" s="515"/>
      <c r="F64" s="515"/>
      <c r="G64" s="515"/>
      <c r="H64" s="515"/>
      <c r="I64" s="515"/>
      <c r="J64" s="515"/>
      <c r="K64" s="515"/>
      <c r="L64" s="515"/>
    </row>
    <row r="65" spans="1:13">
      <c r="A65" s="515"/>
      <c r="B65" s="515"/>
      <c r="C65" s="515"/>
      <c r="D65" s="515"/>
      <c r="E65" s="515"/>
      <c r="F65" s="515"/>
      <c r="G65" s="515"/>
      <c r="H65" s="515"/>
      <c r="I65" s="515"/>
      <c r="J65" s="515"/>
      <c r="K65" s="515"/>
      <c r="L65" s="515"/>
    </row>
    <row r="66" spans="1:13">
      <c r="A66" s="515"/>
      <c r="B66" s="1" t="s">
        <v>1722</v>
      </c>
      <c r="C66" s="515"/>
      <c r="D66" s="515"/>
      <c r="E66" s="515"/>
      <c r="F66" s="515"/>
      <c r="G66" s="515"/>
      <c r="H66" s="515"/>
      <c r="I66" s="515"/>
      <c r="J66" s="515"/>
      <c r="K66" s="515"/>
      <c r="L66" s="515"/>
    </row>
    <row r="67" spans="1:13">
      <c r="A67" s="515"/>
      <c r="C67" s="515"/>
      <c r="D67" s="515"/>
      <c r="E67" s="515"/>
      <c r="F67" s="515"/>
      <c r="G67" s="515"/>
      <c r="H67" s="515"/>
      <c r="I67" s="515"/>
      <c r="J67" s="515"/>
      <c r="K67" s="515"/>
      <c r="L67" s="515"/>
    </row>
    <row r="68" spans="1:13">
      <c r="B68" s="1" t="s">
        <v>1723</v>
      </c>
      <c r="C68" s="515"/>
      <c r="D68" s="515"/>
      <c r="E68" s="515"/>
      <c r="F68" s="515"/>
      <c r="G68" s="515"/>
      <c r="H68" s="515"/>
      <c r="I68" s="515"/>
      <c r="J68" s="515"/>
      <c r="K68" s="515"/>
      <c r="L68" s="515"/>
    </row>
    <row r="69" spans="1:13">
      <c r="A69" s="515"/>
      <c r="C69" s="515"/>
      <c r="D69" s="515"/>
      <c r="E69" s="515"/>
      <c r="F69" s="515"/>
      <c r="G69" s="515"/>
      <c r="H69" s="515"/>
      <c r="I69" s="515"/>
      <c r="J69" s="515"/>
      <c r="K69" s="515"/>
      <c r="L69" s="515"/>
    </row>
    <row r="70" spans="1:13">
      <c r="A70" s="418"/>
      <c r="B70" s="91" t="s">
        <v>391</v>
      </c>
      <c r="C70" s="91" t="s">
        <v>375</v>
      </c>
      <c r="D70" s="91" t="s">
        <v>376</v>
      </c>
      <c r="E70" s="91" t="s">
        <v>377</v>
      </c>
      <c r="F70" s="91" t="s">
        <v>378</v>
      </c>
      <c r="G70" s="91" t="s">
        <v>379</v>
      </c>
      <c r="H70" s="91" t="s">
        <v>380</v>
      </c>
      <c r="I70" s="91" t="s">
        <v>593</v>
      </c>
      <c r="J70" s="91" t="s">
        <v>1040</v>
      </c>
      <c r="K70" s="91" t="s">
        <v>1056</v>
      </c>
      <c r="L70" s="91" t="s">
        <v>1059</v>
      </c>
      <c r="M70" s="91" t="s">
        <v>1077</v>
      </c>
    </row>
    <row r="71" spans="1:13">
      <c r="A71" s="246"/>
      <c r="B71" s="267"/>
      <c r="C71" s="246"/>
      <c r="D71" s="246"/>
      <c r="E71" s="246"/>
      <c r="F71" s="246"/>
      <c r="G71" s="246"/>
      <c r="H71" s="246"/>
      <c r="I71" s="246"/>
      <c r="J71" s="246"/>
      <c r="K71" s="246"/>
      <c r="M71" s="267" t="s">
        <v>1352</v>
      </c>
    </row>
    <row r="72" spans="1:13">
      <c r="A72" s="246"/>
      <c r="B72" s="120"/>
      <c r="C72" s="91"/>
      <c r="D72" s="91"/>
      <c r="E72" s="246"/>
      <c r="F72" s="246"/>
      <c r="G72" s="246"/>
      <c r="H72" s="246"/>
      <c r="I72" s="246"/>
      <c r="J72" s="246"/>
      <c r="K72" s="246"/>
      <c r="L72" s="246"/>
    </row>
    <row r="73" spans="1:13">
      <c r="A73" s="53"/>
      <c r="B73" s="134" t="s">
        <v>2006</v>
      </c>
      <c r="C73" s="91">
        <v>350.1</v>
      </c>
      <c r="D73" s="91">
        <v>350.2</v>
      </c>
      <c r="E73" s="91">
        <v>352</v>
      </c>
      <c r="F73" s="91">
        <v>353</v>
      </c>
      <c r="G73" s="91">
        <v>354</v>
      </c>
      <c r="H73" s="91">
        <v>355</v>
      </c>
      <c r="I73" s="91">
        <v>356</v>
      </c>
      <c r="J73" s="91">
        <v>357</v>
      </c>
      <c r="K73" s="91">
        <v>358</v>
      </c>
      <c r="L73" s="91">
        <v>359</v>
      </c>
      <c r="M73" s="3" t="s">
        <v>215</v>
      </c>
    </row>
    <row r="74" spans="1:13">
      <c r="A74" s="551">
        <f>A63+1</f>
        <v>28</v>
      </c>
      <c r="B74" s="807" t="s">
        <v>2932</v>
      </c>
      <c r="C74" s="553">
        <v>1861680.4099999666</v>
      </c>
      <c r="D74" s="553">
        <v>3469.9499999880791</v>
      </c>
      <c r="E74" s="251">
        <v>-4196691.129999876</v>
      </c>
      <c r="F74" s="251">
        <v>1596560.0899991989</v>
      </c>
      <c r="G74" s="251">
        <v>-2209531.8400006294</v>
      </c>
      <c r="H74" s="251">
        <v>40169441.049999952</v>
      </c>
      <c r="I74" s="251">
        <v>-10554272.319999933</v>
      </c>
      <c r="J74" s="251">
        <v>196563.84999999404</v>
      </c>
      <c r="K74" s="251">
        <v>-1096817.9099999666</v>
      </c>
      <c r="L74" s="251">
        <v>-18664746.669999987</v>
      </c>
      <c r="M74" s="248">
        <f t="shared" ref="M74:M85" si="13">SUM(C74:L74)</f>
        <v>7105655.4799987078</v>
      </c>
    </row>
    <row r="75" spans="1:13">
      <c r="A75" s="551">
        <f t="shared" ref="A75:A86" si="14">A74+1</f>
        <v>29</v>
      </c>
      <c r="B75" s="806" t="s">
        <v>2933</v>
      </c>
      <c r="C75" s="553">
        <v>15314.650000035763</v>
      </c>
      <c r="D75" s="553">
        <v>453668.91000002623</v>
      </c>
      <c r="E75" s="251">
        <v>9058081.689999938</v>
      </c>
      <c r="F75" s="251">
        <v>14060416.180002213</v>
      </c>
      <c r="G75" s="251">
        <v>-12641360.170000076</v>
      </c>
      <c r="H75" s="251">
        <v>14690403.189999819</v>
      </c>
      <c r="I75" s="251">
        <v>7096602.6700000763</v>
      </c>
      <c r="J75" s="251">
        <v>440543.90000000596</v>
      </c>
      <c r="K75" s="251">
        <v>3236354.9199999571</v>
      </c>
      <c r="L75" s="251">
        <v>1582775.2099999785</v>
      </c>
      <c r="M75" s="248">
        <f t="shared" si="13"/>
        <v>37992801.150001973</v>
      </c>
    </row>
    <row r="76" spans="1:13">
      <c r="A76" s="551">
        <f t="shared" si="14"/>
        <v>30</v>
      </c>
      <c r="B76" s="806" t="s">
        <v>2934</v>
      </c>
      <c r="C76" s="553">
        <v>-156368.36000001431</v>
      </c>
      <c r="D76" s="553">
        <v>66266.579999983311</v>
      </c>
      <c r="E76" s="251">
        <v>-3400337.4100000858</v>
      </c>
      <c r="F76" s="251">
        <v>8769750.8099994659</v>
      </c>
      <c r="G76" s="251">
        <v>9454939.3300004005</v>
      </c>
      <c r="H76" s="251">
        <v>8292498.1499998569</v>
      </c>
      <c r="I76" s="251">
        <v>10378573.24000001</v>
      </c>
      <c r="J76" s="251">
        <v>-1566.1899999976158</v>
      </c>
      <c r="K76" s="251">
        <v>-271785.31999999285</v>
      </c>
      <c r="L76" s="251">
        <v>-285476.59999996424</v>
      </c>
      <c r="M76" s="248">
        <f t="shared" si="13"/>
        <v>32846494.229999661</v>
      </c>
    </row>
    <row r="77" spans="1:13">
      <c r="A77" s="551">
        <f t="shared" si="14"/>
        <v>31</v>
      </c>
      <c r="B77" s="807" t="s">
        <v>2935</v>
      </c>
      <c r="C77" s="553">
        <v>11283.219999998808</v>
      </c>
      <c r="D77" s="553">
        <v>556.78999999165535</v>
      </c>
      <c r="E77" s="251">
        <v>11418768.170000076</v>
      </c>
      <c r="F77" s="251">
        <v>27822315.490000725</v>
      </c>
      <c r="G77" s="251">
        <v>19248444.900000095</v>
      </c>
      <c r="H77" s="251">
        <v>7317226.9900000095</v>
      </c>
      <c r="I77" s="251">
        <v>7679622.6700000763</v>
      </c>
      <c r="J77" s="251">
        <v>-426444.47999998927</v>
      </c>
      <c r="K77" s="251">
        <v>1527525.9800000191</v>
      </c>
      <c r="L77" s="251">
        <v>143907.00999999046</v>
      </c>
      <c r="M77" s="248">
        <f t="shared" si="13"/>
        <v>74743206.740000993</v>
      </c>
    </row>
    <row r="78" spans="1:13">
      <c r="A78" s="551">
        <f t="shared" si="14"/>
        <v>32</v>
      </c>
      <c r="B78" s="806" t="s">
        <v>2936</v>
      </c>
      <c r="C78" s="553">
        <v>13565.430000007153</v>
      </c>
      <c r="D78" s="553">
        <v>68720.080000013113</v>
      </c>
      <c r="E78" s="251">
        <v>8911157.6100000143</v>
      </c>
      <c r="F78" s="251">
        <v>18492077.789998055</v>
      </c>
      <c r="G78" s="251">
        <v>4954766.3799996376</v>
      </c>
      <c r="H78" s="251">
        <v>3185787.6100001335</v>
      </c>
      <c r="I78" s="251">
        <v>-908108.13000011444</v>
      </c>
      <c r="J78" s="251">
        <v>505656.66999998689</v>
      </c>
      <c r="K78" s="251">
        <v>146859.76999998093</v>
      </c>
      <c r="L78" s="251">
        <v>6702520.6299999952</v>
      </c>
      <c r="M78" s="248">
        <f t="shared" si="13"/>
        <v>42073003.839997709</v>
      </c>
    </row>
    <row r="79" spans="1:13">
      <c r="A79" s="551">
        <f t="shared" si="14"/>
        <v>33</v>
      </c>
      <c r="B79" s="806" t="s">
        <v>2937</v>
      </c>
      <c r="C79" s="553">
        <v>394350.29999998212</v>
      </c>
      <c r="D79" s="553">
        <v>391395.53000000119</v>
      </c>
      <c r="E79" s="251">
        <v>4923778.6699999571</v>
      </c>
      <c r="F79" s="251">
        <v>25328529.03000164</v>
      </c>
      <c r="G79" s="251">
        <v>2382155.990000248</v>
      </c>
      <c r="H79" s="251">
        <v>6909030.1900000572</v>
      </c>
      <c r="I79" s="251">
        <v>4359728.3800001144</v>
      </c>
      <c r="J79" s="251">
        <v>1179037.0300000012</v>
      </c>
      <c r="K79" s="251">
        <v>-485347.76999998093</v>
      </c>
      <c r="L79" s="251">
        <v>-509250.3599999845</v>
      </c>
      <c r="M79" s="248">
        <f t="shared" si="13"/>
        <v>44873406.990002036</v>
      </c>
    </row>
    <row r="80" spans="1:13">
      <c r="A80" s="551">
        <f t="shared" si="14"/>
        <v>34</v>
      </c>
      <c r="B80" s="807" t="s">
        <v>2938</v>
      </c>
      <c r="C80" s="553">
        <v>12351.920000016689</v>
      </c>
      <c r="D80" s="553">
        <v>769044.44999998808</v>
      </c>
      <c r="E80" s="251">
        <v>3184632.9199999571</v>
      </c>
      <c r="F80" s="251">
        <v>17621548.319998741</v>
      </c>
      <c r="G80" s="251">
        <v>1799359.3800001144</v>
      </c>
      <c r="H80" s="251">
        <v>9434392.9800000191</v>
      </c>
      <c r="I80" s="251">
        <v>-2765815.7800002098</v>
      </c>
      <c r="J80" s="251">
        <v>2497941.1599999964</v>
      </c>
      <c r="K80" s="251">
        <v>-1798501.0699999928</v>
      </c>
      <c r="L80" s="251">
        <v>56723.069999992847</v>
      </c>
      <c r="M80" s="248">
        <f t="shared" si="13"/>
        <v>30811677.349998623</v>
      </c>
    </row>
    <row r="81" spans="1:13">
      <c r="A81" s="551">
        <f t="shared" si="14"/>
        <v>35</v>
      </c>
      <c r="B81" s="806" t="s">
        <v>2939</v>
      </c>
      <c r="C81" s="553">
        <v>453134.22999998927</v>
      </c>
      <c r="D81" s="553">
        <v>-409299.71999999881</v>
      </c>
      <c r="E81" s="251">
        <v>6584775.0399999619</v>
      </c>
      <c r="F81" s="251">
        <v>67541914.620000839</v>
      </c>
      <c r="G81" s="251">
        <v>1172077.1899995804</v>
      </c>
      <c r="H81" s="251">
        <v>2145574.8999998569</v>
      </c>
      <c r="I81" s="251">
        <v>5558400.2800002098</v>
      </c>
      <c r="J81" s="251">
        <v>107894.62000000477</v>
      </c>
      <c r="K81" s="251">
        <v>3470262.2999999523</v>
      </c>
      <c r="L81" s="251">
        <v>319789.6400000155</v>
      </c>
      <c r="M81" s="248">
        <f t="shared" si="13"/>
        <v>86944523.100000411</v>
      </c>
    </row>
    <row r="82" spans="1:13">
      <c r="A82" s="551">
        <f t="shared" si="14"/>
        <v>36</v>
      </c>
      <c r="B82" s="806" t="s">
        <v>2940</v>
      </c>
      <c r="C82" s="553">
        <v>11820.789999991655</v>
      </c>
      <c r="D82" s="553">
        <v>38745.110000014305</v>
      </c>
      <c r="E82" s="251">
        <v>2739452.1100000143</v>
      </c>
      <c r="F82" s="251">
        <v>7712273.9499998093</v>
      </c>
      <c r="G82" s="251">
        <v>-1944157.0999999046</v>
      </c>
      <c r="H82" s="251">
        <v>7464055.4500000477</v>
      </c>
      <c r="I82" s="251">
        <v>3977571.8099999428</v>
      </c>
      <c r="J82" s="251">
        <v>334695.96000000834</v>
      </c>
      <c r="K82" s="251">
        <v>-1279010.1199999452</v>
      </c>
      <c r="L82" s="251">
        <v>546197.41999998689</v>
      </c>
      <c r="M82" s="248">
        <f t="shared" si="13"/>
        <v>19601645.379999965</v>
      </c>
    </row>
    <row r="83" spans="1:13">
      <c r="A83" s="551">
        <f t="shared" si="14"/>
        <v>37</v>
      </c>
      <c r="B83" s="807" t="s">
        <v>2941</v>
      </c>
      <c r="C83" s="553">
        <v>11839.040000021458</v>
      </c>
      <c r="D83" s="553">
        <v>-303.20000001788139</v>
      </c>
      <c r="E83" s="251">
        <v>-3740698.4199999571</v>
      </c>
      <c r="F83" s="251">
        <v>-38877995.510000229</v>
      </c>
      <c r="G83" s="251">
        <v>3098233.5700001717</v>
      </c>
      <c r="H83" s="251">
        <v>10429139.430000067</v>
      </c>
      <c r="I83" s="251">
        <v>-1456897.8199999332</v>
      </c>
      <c r="J83" s="251">
        <v>164360.5</v>
      </c>
      <c r="K83" s="251">
        <v>1897820.6199999452</v>
      </c>
      <c r="L83" s="251">
        <v>200524.65999999642</v>
      </c>
      <c r="M83" s="248">
        <f t="shared" si="13"/>
        <v>-28273977.129999936</v>
      </c>
    </row>
    <row r="84" spans="1:13">
      <c r="A84" s="551">
        <f t="shared" si="14"/>
        <v>38</v>
      </c>
      <c r="B84" s="807" t="s">
        <v>2942</v>
      </c>
      <c r="C84" s="553">
        <v>-4172.4500000178814</v>
      </c>
      <c r="D84" s="553">
        <v>216862.82000002265</v>
      </c>
      <c r="E84" s="251">
        <v>2431278.5099999905</v>
      </c>
      <c r="F84" s="251">
        <v>5104081.2199993134</v>
      </c>
      <c r="G84" s="251">
        <v>1380363.1500000954</v>
      </c>
      <c r="H84" s="251">
        <v>17752142.809999943</v>
      </c>
      <c r="I84" s="251">
        <v>-1478412.4300000668</v>
      </c>
      <c r="J84" s="251">
        <v>-1998396.3400000036</v>
      </c>
      <c r="K84" s="251">
        <v>6260</v>
      </c>
      <c r="L84" s="251">
        <v>1849533.6800000072</v>
      </c>
      <c r="M84" s="248">
        <f t="shared" si="13"/>
        <v>25259540.969999284</v>
      </c>
    </row>
    <row r="85" spans="1:13">
      <c r="A85" s="551">
        <f t="shared" si="14"/>
        <v>39</v>
      </c>
      <c r="B85" s="806" t="s">
        <v>2943</v>
      </c>
      <c r="C85" s="126">
        <v>10091.859999999404</v>
      </c>
      <c r="D85" s="126">
        <v>15035.42999997735</v>
      </c>
      <c r="E85" s="423">
        <v>15929203.919999957</v>
      </c>
      <c r="F85" s="423">
        <v>161530876.69999981</v>
      </c>
      <c r="G85" s="423">
        <v>10951834.920000076</v>
      </c>
      <c r="H85" s="423">
        <v>6747805.6700000763</v>
      </c>
      <c r="I85" s="423">
        <v>2832914.7300000191</v>
      </c>
      <c r="J85" s="423">
        <v>127444.29999998212</v>
      </c>
      <c r="K85" s="423">
        <v>2622053.4700000286</v>
      </c>
      <c r="L85" s="423">
        <v>1295679.0099999905</v>
      </c>
      <c r="M85" s="389">
        <f t="shared" si="13"/>
        <v>202062940.0099999</v>
      </c>
    </row>
    <row r="86" spans="1:13">
      <c r="A86" s="551">
        <f t="shared" si="14"/>
        <v>40</v>
      </c>
      <c r="B86" s="555" t="s">
        <v>4</v>
      </c>
      <c r="C86" s="248">
        <f>SUM(C74:C85)</f>
        <v>2634891.0399999768</v>
      </c>
      <c r="D86" s="248">
        <f t="shared" ref="D86:L86" si="15">SUM(D74:D85)</f>
        <v>1614162.7299999893</v>
      </c>
      <c r="E86" s="248">
        <f t="shared" si="15"/>
        <v>53843401.679999948</v>
      </c>
      <c r="F86" s="248">
        <f t="shared" si="15"/>
        <v>316702348.68999958</v>
      </c>
      <c r="G86" s="248">
        <f t="shared" si="15"/>
        <v>37647125.699999809</v>
      </c>
      <c r="H86" s="248">
        <f t="shared" si="15"/>
        <v>134537498.41999984</v>
      </c>
      <c r="I86" s="248">
        <f t="shared" si="15"/>
        <v>24719907.300000191</v>
      </c>
      <c r="J86" s="248">
        <f t="shared" si="15"/>
        <v>3127730.9799999893</v>
      </c>
      <c r="K86" s="248">
        <f t="shared" si="15"/>
        <v>7975674.8700000048</v>
      </c>
      <c r="L86" s="248">
        <f t="shared" si="15"/>
        <v>-6761823.2999999821</v>
      </c>
      <c r="M86" s="248">
        <f>SUM(M74:M85)</f>
        <v>576040918.1099993</v>
      </c>
    </row>
    <row r="88" spans="1:13">
      <c r="B88" s="45" t="s">
        <v>1955</v>
      </c>
      <c r="C88" s="14"/>
      <c r="D88" s="14"/>
      <c r="E88" s="14"/>
    </row>
    <row r="89" spans="1:13">
      <c r="B89" s="14"/>
      <c r="C89" s="14"/>
      <c r="D89" s="14"/>
    </row>
    <row r="90" spans="1:13">
      <c r="A90" s="418"/>
      <c r="B90" s="380" t="s">
        <v>391</v>
      </c>
      <c r="C90" s="380" t="s">
        <v>375</v>
      </c>
      <c r="D90" s="380" t="s">
        <v>376</v>
      </c>
      <c r="E90" s="91" t="s">
        <v>377</v>
      </c>
      <c r="F90" s="91" t="s">
        <v>378</v>
      </c>
      <c r="G90" s="91" t="s">
        <v>379</v>
      </c>
      <c r="H90" s="91" t="s">
        <v>380</v>
      </c>
      <c r="I90" s="91" t="s">
        <v>593</v>
      </c>
      <c r="J90" s="91" t="s">
        <v>1040</v>
      </c>
      <c r="K90" s="91" t="s">
        <v>1056</v>
      </c>
      <c r="L90" s="91" t="s">
        <v>1059</v>
      </c>
      <c r="M90" s="91" t="s">
        <v>1077</v>
      </c>
    </row>
    <row r="91" spans="1:13">
      <c r="A91" s="246"/>
      <c r="B91" s="485"/>
      <c r="C91" s="256"/>
      <c r="D91" s="256"/>
      <c r="E91" s="246"/>
      <c r="F91" s="246"/>
      <c r="G91" s="246"/>
      <c r="H91" s="246"/>
      <c r="I91" s="246"/>
      <c r="J91" s="246"/>
      <c r="K91" s="246"/>
      <c r="M91" s="267" t="s">
        <v>1352</v>
      </c>
    </row>
    <row r="92" spans="1:13">
      <c r="A92" s="246"/>
      <c r="B92" s="120"/>
      <c r="C92" s="380"/>
      <c r="D92" s="380"/>
      <c r="E92" s="246"/>
      <c r="F92" s="246"/>
      <c r="G92" s="246"/>
      <c r="H92" s="246"/>
      <c r="I92" s="246"/>
      <c r="J92" s="246"/>
      <c r="K92" s="246"/>
      <c r="L92" s="246"/>
    </row>
    <row r="93" spans="1:13">
      <c r="A93" s="53"/>
      <c r="B93" s="134" t="s">
        <v>2006</v>
      </c>
      <c r="C93" s="380">
        <v>350.1</v>
      </c>
      <c r="D93" s="380">
        <v>350.2</v>
      </c>
      <c r="E93" s="91">
        <v>352</v>
      </c>
      <c r="F93" s="91">
        <v>353</v>
      </c>
      <c r="G93" s="91">
        <v>354</v>
      </c>
      <c r="H93" s="91">
        <v>355</v>
      </c>
      <c r="I93" s="91">
        <v>356</v>
      </c>
      <c r="J93" s="91">
        <v>357</v>
      </c>
      <c r="K93" s="91">
        <v>358</v>
      </c>
      <c r="L93" s="91">
        <v>359</v>
      </c>
      <c r="M93" s="3" t="s">
        <v>215</v>
      </c>
    </row>
    <row r="94" spans="1:13">
      <c r="A94" s="551">
        <f>A86+1</f>
        <v>41</v>
      </c>
      <c r="B94" s="807" t="s">
        <v>2932</v>
      </c>
      <c r="C94" s="553">
        <v>-472.32000000029802</v>
      </c>
      <c r="D94" s="553">
        <v>3469.9500000029802</v>
      </c>
      <c r="E94" s="251">
        <v>32491.990000009537</v>
      </c>
      <c r="F94" s="251">
        <v>308019.21000003815</v>
      </c>
      <c r="G94" s="251">
        <v>-53553.049999952316</v>
      </c>
      <c r="H94" s="251">
        <v>-10526.310000002384</v>
      </c>
      <c r="I94" s="251">
        <v>250895.78000020981</v>
      </c>
      <c r="J94" s="251">
        <v>150473.37000000477</v>
      </c>
      <c r="K94" s="251">
        <v>52607.70000000298</v>
      </c>
      <c r="L94" s="251">
        <v>-96328.859999984503</v>
      </c>
      <c r="M94" s="248">
        <f t="shared" ref="M94:M105" si="16">SUM(C94:L94)</f>
        <v>637077.46000032872</v>
      </c>
    </row>
    <row r="95" spans="1:13">
      <c r="A95" s="551">
        <f t="shared" ref="A95:A106" si="17">A94+1</f>
        <v>42</v>
      </c>
      <c r="B95" s="806" t="s">
        <v>2933</v>
      </c>
      <c r="C95" s="553">
        <v>15368.629999998957</v>
      </c>
      <c r="D95" s="553">
        <v>453668.90999999642</v>
      </c>
      <c r="E95" s="251">
        <v>330609.66999995708</v>
      </c>
      <c r="F95" s="251">
        <v>1007506.8400001526</v>
      </c>
      <c r="G95" s="251">
        <v>1798384.9600000381</v>
      </c>
      <c r="H95" s="251">
        <v>111151.15999999642</v>
      </c>
      <c r="I95" s="251">
        <v>162385.82999992371</v>
      </c>
      <c r="J95" s="251">
        <v>461566</v>
      </c>
      <c r="K95" s="251">
        <v>765121.57999999821</v>
      </c>
      <c r="L95" s="251">
        <v>1577199.75</v>
      </c>
      <c r="M95" s="248">
        <f t="shared" si="16"/>
        <v>6682963.3300000615</v>
      </c>
    </row>
    <row r="96" spans="1:13">
      <c r="A96" s="551">
        <f t="shared" si="17"/>
        <v>43</v>
      </c>
      <c r="B96" s="806" t="s">
        <v>2934</v>
      </c>
      <c r="C96" s="553">
        <v>-1780.4699999988079</v>
      </c>
      <c r="D96" s="553">
        <v>-14803.019999995828</v>
      </c>
      <c r="E96" s="251">
        <v>416085.66999995708</v>
      </c>
      <c r="F96" s="251">
        <v>-541232.58000016212</v>
      </c>
      <c r="G96" s="251">
        <v>240700.77999997139</v>
      </c>
      <c r="H96" s="251">
        <v>575023.68999999762</v>
      </c>
      <c r="I96" s="251">
        <v>4041872.5700000525</v>
      </c>
      <c r="J96" s="251">
        <v>232456.93999999762</v>
      </c>
      <c r="K96" s="251">
        <v>685020.76999999583</v>
      </c>
      <c r="L96" s="251">
        <v>-454675.31999999285</v>
      </c>
      <c r="M96" s="248">
        <f t="shared" si="16"/>
        <v>5178669.0299998224</v>
      </c>
    </row>
    <row r="97" spans="1:13">
      <c r="A97" s="551">
        <f t="shared" si="17"/>
        <v>44</v>
      </c>
      <c r="B97" s="807" t="s">
        <v>2935</v>
      </c>
      <c r="C97" s="553">
        <v>11283.219999998808</v>
      </c>
      <c r="D97" s="553">
        <v>569.87999999523163</v>
      </c>
      <c r="E97" s="251">
        <v>226973.82000008225</v>
      </c>
      <c r="F97" s="251">
        <v>32487032.869999886</v>
      </c>
      <c r="G97" s="251">
        <v>444125.16000008583</v>
      </c>
      <c r="H97" s="251">
        <v>-318433.02000001073</v>
      </c>
      <c r="I97" s="251">
        <v>801453.73000001907</v>
      </c>
      <c r="J97" s="251">
        <v>223187.46999999881</v>
      </c>
      <c r="K97" s="251">
        <v>78030.480000004172</v>
      </c>
      <c r="L97" s="251">
        <v>129433.88999998569</v>
      </c>
      <c r="M97" s="248">
        <f t="shared" si="16"/>
        <v>34083657.500000045</v>
      </c>
    </row>
    <row r="98" spans="1:13">
      <c r="A98" s="551">
        <f t="shared" si="17"/>
        <v>45</v>
      </c>
      <c r="B98" s="806" t="s">
        <v>2936</v>
      </c>
      <c r="C98" s="553">
        <v>13663.820000000298</v>
      </c>
      <c r="D98" s="553">
        <v>-43.219999998807907</v>
      </c>
      <c r="E98" s="251">
        <v>7516532.869999975</v>
      </c>
      <c r="F98" s="251">
        <v>7920287.8199999332</v>
      </c>
      <c r="G98" s="251">
        <v>1795503.7300000191</v>
      </c>
      <c r="H98" s="251">
        <v>-192522.06000000238</v>
      </c>
      <c r="I98" s="251">
        <v>-2226610.3799999952</v>
      </c>
      <c r="J98" s="251">
        <v>505964.87000000477</v>
      </c>
      <c r="K98" s="251">
        <v>176894.73999999464</v>
      </c>
      <c r="L98" s="251">
        <v>6435426.7700000107</v>
      </c>
      <c r="M98" s="248">
        <f t="shared" si="16"/>
        <v>21945098.959999941</v>
      </c>
    </row>
    <row r="99" spans="1:13">
      <c r="A99" s="551">
        <f t="shared" si="17"/>
        <v>46</v>
      </c>
      <c r="B99" s="806" t="s">
        <v>2937</v>
      </c>
      <c r="C99" s="553">
        <v>-760.85999999940395</v>
      </c>
      <c r="D99" s="553">
        <v>760.85999999940395</v>
      </c>
      <c r="E99" s="251">
        <v>170779.6099999547</v>
      </c>
      <c r="F99" s="251">
        <v>-63430.509999990463</v>
      </c>
      <c r="G99" s="251">
        <v>-75028.980000019073</v>
      </c>
      <c r="H99" s="251">
        <v>55521.069999992847</v>
      </c>
      <c r="I99" s="251">
        <v>1315800.5499999523</v>
      </c>
      <c r="J99" s="251">
        <v>1366285.8700000048</v>
      </c>
      <c r="K99" s="251">
        <v>477678.95999999344</v>
      </c>
      <c r="L99" s="251">
        <v>-316437.29999998212</v>
      </c>
      <c r="M99" s="248">
        <f t="shared" si="16"/>
        <v>2931169.2699999064</v>
      </c>
    </row>
    <row r="100" spans="1:13">
      <c r="A100" s="551">
        <f t="shared" si="17"/>
        <v>47</v>
      </c>
      <c r="B100" s="807" t="s">
        <v>2938</v>
      </c>
      <c r="C100" s="553">
        <v>12350.10000000149</v>
      </c>
      <c r="D100" s="553">
        <v>761</v>
      </c>
      <c r="E100" s="251">
        <v>-38331.869999945164</v>
      </c>
      <c r="F100" s="251">
        <v>108510.54999995232</v>
      </c>
      <c r="G100" s="251">
        <v>381557.22000002861</v>
      </c>
      <c r="H100" s="251">
        <v>60184.319999992847</v>
      </c>
      <c r="I100" s="251">
        <v>232397.56000006199</v>
      </c>
      <c r="J100" s="251">
        <v>227467.63999998569</v>
      </c>
      <c r="K100" s="251">
        <v>75899.5</v>
      </c>
      <c r="L100" s="251">
        <v>189532.37000000477</v>
      </c>
      <c r="M100" s="248">
        <f t="shared" si="16"/>
        <v>1250328.3900000826</v>
      </c>
    </row>
    <row r="101" spans="1:13">
      <c r="A101" s="551">
        <f t="shared" si="17"/>
        <v>48</v>
      </c>
      <c r="B101" s="806" t="s">
        <v>2939</v>
      </c>
      <c r="C101" s="553">
        <v>453134.23000000045</v>
      </c>
      <c r="D101" s="553">
        <v>-452616.23000000417</v>
      </c>
      <c r="E101" s="251">
        <v>-322839.59000003338</v>
      </c>
      <c r="F101" s="251">
        <v>399588.19000029564</v>
      </c>
      <c r="G101" s="251">
        <v>488428.25</v>
      </c>
      <c r="H101" s="251">
        <v>79969.689999997616</v>
      </c>
      <c r="I101" s="251">
        <v>323941.46000003815</v>
      </c>
      <c r="J101" s="251">
        <v>328970.46000000834</v>
      </c>
      <c r="K101" s="251">
        <v>109768.09000000358</v>
      </c>
      <c r="L101" s="251">
        <v>119904.56999999285</v>
      </c>
      <c r="M101" s="248">
        <f t="shared" si="16"/>
        <v>1528249.1200002991</v>
      </c>
    </row>
    <row r="102" spans="1:13">
      <c r="A102" s="551">
        <f t="shared" si="17"/>
        <v>49</v>
      </c>
      <c r="B102" s="806" t="s">
        <v>2940</v>
      </c>
      <c r="C102" s="553">
        <v>11820.789999999106</v>
      </c>
      <c r="D102" s="553">
        <v>-1179.8100000023842</v>
      </c>
      <c r="E102" s="251">
        <v>10510.920000076294</v>
      </c>
      <c r="F102" s="251">
        <v>28470.129999876022</v>
      </c>
      <c r="G102" s="251">
        <v>-1610010.7500002384</v>
      </c>
      <c r="H102" s="251">
        <v>1774212.9399999976</v>
      </c>
      <c r="I102" s="251">
        <v>580546.41999995708</v>
      </c>
      <c r="J102" s="251">
        <v>327556.61000001431</v>
      </c>
      <c r="K102" s="251">
        <v>109294.40000000596</v>
      </c>
      <c r="L102" s="251">
        <v>159001.70000001788</v>
      </c>
      <c r="M102" s="248">
        <f t="shared" si="16"/>
        <v>1390223.3499997035</v>
      </c>
    </row>
    <row r="103" spans="1:13">
      <c r="A103" s="551">
        <f t="shared" si="17"/>
        <v>50</v>
      </c>
      <c r="B103" s="807" t="s">
        <v>2941</v>
      </c>
      <c r="C103" s="553">
        <v>11839.039999999106</v>
      </c>
      <c r="D103" s="553">
        <v>-594.37999999523163</v>
      </c>
      <c r="E103" s="251">
        <v>134055.19999992847</v>
      </c>
      <c r="F103" s="251">
        <v>670382.52999973297</v>
      </c>
      <c r="G103" s="251">
        <v>655865.81999993324</v>
      </c>
      <c r="H103" s="251">
        <v>296130.62000000477</v>
      </c>
      <c r="I103" s="251">
        <v>10632.230000019073</v>
      </c>
      <c r="J103" s="251">
        <v>628441.90000000596</v>
      </c>
      <c r="K103" s="251">
        <v>314404.56999999285</v>
      </c>
      <c r="L103" s="251">
        <v>195515.81000000238</v>
      </c>
      <c r="M103" s="248">
        <f t="shared" si="16"/>
        <v>2916673.3399996236</v>
      </c>
    </row>
    <row r="104" spans="1:13">
      <c r="A104" s="551">
        <f t="shared" si="17"/>
        <v>51</v>
      </c>
      <c r="B104" s="807" t="s">
        <v>2942</v>
      </c>
      <c r="C104" s="553">
        <v>1653095.4375</v>
      </c>
      <c r="D104" s="553">
        <v>204540.5</v>
      </c>
      <c r="E104" s="251">
        <v>35215.730000019073</v>
      </c>
      <c r="F104" s="251">
        <v>13766.810000181198</v>
      </c>
      <c r="G104" s="251">
        <v>360544.09000039101</v>
      </c>
      <c r="H104" s="251">
        <v>38808.520000010729</v>
      </c>
      <c r="I104" s="251">
        <v>-3103026.25</v>
      </c>
      <c r="J104" s="251">
        <v>83416.110000014305</v>
      </c>
      <c r="K104" s="251">
        <v>41735.379999995232</v>
      </c>
      <c r="L104" s="251">
        <v>154301.34999999404</v>
      </c>
      <c r="M104" s="248">
        <f t="shared" si="16"/>
        <v>-517602.32249939442</v>
      </c>
    </row>
    <row r="105" spans="1:13">
      <c r="A105" s="551">
        <f t="shared" si="17"/>
        <v>52</v>
      </c>
      <c r="B105" s="806" t="s">
        <v>2943</v>
      </c>
      <c r="C105" s="126">
        <v>10091.859999999404</v>
      </c>
      <c r="D105" s="126">
        <v>-188.89000000059605</v>
      </c>
      <c r="E105" s="423">
        <v>25355.229999959469</v>
      </c>
      <c r="F105" s="423">
        <v>40429</v>
      </c>
      <c r="G105" s="423">
        <v>791795.29999995232</v>
      </c>
      <c r="H105" s="423">
        <v>77358.939999997616</v>
      </c>
      <c r="I105" s="423">
        <v>329882.05000019073</v>
      </c>
      <c r="J105" s="423">
        <v>115201.55000001192</v>
      </c>
      <c r="K105" s="423">
        <v>57634.439999997616</v>
      </c>
      <c r="L105" s="423">
        <v>202453.79000002146</v>
      </c>
      <c r="M105" s="389">
        <f t="shared" si="16"/>
        <v>1650013.2700001299</v>
      </c>
    </row>
    <row r="106" spans="1:13">
      <c r="A106" s="551">
        <f t="shared" si="17"/>
        <v>53</v>
      </c>
      <c r="B106" s="555" t="s">
        <v>4</v>
      </c>
      <c r="C106" s="248">
        <f>SUM(C94:C105)</f>
        <v>2189633.4774999991</v>
      </c>
      <c r="D106" s="248">
        <f t="shared" ref="D106:L106" si="18">SUM(D94:D105)</f>
        <v>194345.54999999702</v>
      </c>
      <c r="E106" s="248">
        <f t="shared" si="18"/>
        <v>8537439.2499999404</v>
      </c>
      <c r="F106" s="248">
        <f t="shared" si="18"/>
        <v>42379330.859999895</v>
      </c>
      <c r="G106" s="248">
        <f t="shared" si="18"/>
        <v>5218312.5300002098</v>
      </c>
      <c r="H106" s="248">
        <f t="shared" si="18"/>
        <v>2546879.5599999726</v>
      </c>
      <c r="I106" s="248">
        <f t="shared" si="18"/>
        <v>2720171.5500004292</v>
      </c>
      <c r="J106" s="248">
        <f t="shared" si="18"/>
        <v>4650988.7900000513</v>
      </c>
      <c r="K106" s="248">
        <f t="shared" si="18"/>
        <v>2944090.6099999845</v>
      </c>
      <c r="L106" s="248">
        <f t="shared" si="18"/>
        <v>8295328.5200000703</v>
      </c>
      <c r="M106" s="248">
        <f>SUM(M94:M105)</f>
        <v>79676520.697500557</v>
      </c>
    </row>
    <row r="108" spans="1:13">
      <c r="B108" s="45" t="s">
        <v>1956</v>
      </c>
      <c r="C108" s="14"/>
      <c r="D108" s="14"/>
      <c r="E108" s="14"/>
      <c r="F108" s="14"/>
      <c r="G108" s="14"/>
    </row>
    <row r="109" spans="1:13">
      <c r="B109" s="14"/>
      <c r="C109" s="14"/>
      <c r="D109" s="14"/>
      <c r="E109" s="14"/>
      <c r="F109" s="14"/>
      <c r="G109" s="14"/>
    </row>
    <row r="110" spans="1:13">
      <c r="A110" s="418"/>
      <c r="B110" s="380" t="s">
        <v>391</v>
      </c>
      <c r="C110" s="380" t="s">
        <v>375</v>
      </c>
      <c r="D110" s="380" t="s">
        <v>376</v>
      </c>
      <c r="E110" s="380" t="s">
        <v>377</v>
      </c>
      <c r="F110" s="380" t="s">
        <v>378</v>
      </c>
      <c r="G110" s="380" t="s">
        <v>379</v>
      </c>
      <c r="H110" s="91" t="s">
        <v>380</v>
      </c>
      <c r="I110" s="91" t="s">
        <v>593</v>
      </c>
      <c r="J110" s="91" t="s">
        <v>1040</v>
      </c>
      <c r="K110" s="91" t="s">
        <v>1056</v>
      </c>
      <c r="L110" s="91" t="s">
        <v>1059</v>
      </c>
      <c r="M110" s="91" t="s">
        <v>1077</v>
      </c>
    </row>
    <row r="111" spans="1:13">
      <c r="A111" s="246"/>
      <c r="B111" s="485"/>
      <c r="C111" s="256"/>
      <c r="D111" s="256"/>
      <c r="E111" s="256"/>
      <c r="F111" s="256"/>
      <c r="G111" s="256"/>
      <c r="H111" s="246"/>
      <c r="I111" s="246"/>
      <c r="J111" s="246"/>
      <c r="K111" s="246"/>
      <c r="M111" s="267" t="s">
        <v>1352</v>
      </c>
    </row>
    <row r="112" spans="1:13">
      <c r="A112" s="246"/>
      <c r="B112" s="120"/>
      <c r="C112" s="380"/>
      <c r="D112" s="380"/>
      <c r="E112" s="256"/>
      <c r="F112" s="256"/>
      <c r="G112" s="256"/>
      <c r="H112" s="246"/>
      <c r="I112" s="246"/>
      <c r="J112" s="246"/>
      <c r="K112" s="246"/>
      <c r="L112" s="246"/>
    </row>
    <row r="113" spans="1:13">
      <c r="A113" s="53"/>
      <c r="B113" s="134" t="s">
        <v>2006</v>
      </c>
      <c r="C113" s="380">
        <v>350.1</v>
      </c>
      <c r="D113" s="380">
        <v>350.2</v>
      </c>
      <c r="E113" s="380">
        <v>352</v>
      </c>
      <c r="F113" s="380">
        <v>353</v>
      </c>
      <c r="G113" s="380">
        <v>354</v>
      </c>
      <c r="H113" s="91">
        <v>355</v>
      </c>
      <c r="I113" s="91">
        <v>356</v>
      </c>
      <c r="J113" s="91">
        <v>357</v>
      </c>
      <c r="K113" s="91">
        <v>358</v>
      </c>
      <c r="L113" s="91">
        <v>359</v>
      </c>
      <c r="M113" s="3" t="s">
        <v>215</v>
      </c>
    </row>
    <row r="114" spans="1:13">
      <c r="A114" s="551">
        <f>A106+1</f>
        <v>54</v>
      </c>
      <c r="B114" s="807" t="s">
        <v>2932</v>
      </c>
      <c r="C114" s="530">
        <f t="shared" ref="C114:L114" si="19">C74-C94</f>
        <v>1862152.7299999669</v>
      </c>
      <c r="D114" s="530">
        <f t="shared" si="19"/>
        <v>-1.4901161193847656E-8</v>
      </c>
      <c r="E114" s="530">
        <f t="shared" si="19"/>
        <v>-4229183.1199998856</v>
      </c>
      <c r="F114" s="530">
        <f t="shared" si="19"/>
        <v>1288540.8799991608</v>
      </c>
      <c r="G114" s="530">
        <f t="shared" si="19"/>
        <v>-2155978.7900006771</v>
      </c>
      <c r="H114" s="530">
        <f t="shared" si="19"/>
        <v>40179967.359999955</v>
      </c>
      <c r="I114" s="530">
        <f t="shared" si="19"/>
        <v>-10805168.100000143</v>
      </c>
      <c r="J114" s="530">
        <f t="shared" si="19"/>
        <v>46090.479999989271</v>
      </c>
      <c r="K114" s="530">
        <f t="shared" si="19"/>
        <v>-1149425.6099999696</v>
      </c>
      <c r="L114" s="530">
        <f t="shared" si="19"/>
        <v>-18568417.810000002</v>
      </c>
      <c r="M114" s="248">
        <f t="shared" ref="M114:M125" si="20">SUM(C114:L114)</f>
        <v>6468578.0199983791</v>
      </c>
    </row>
    <row r="115" spans="1:13">
      <c r="A115" s="551">
        <f t="shared" ref="A115:A126" si="21">A114+1</f>
        <v>55</v>
      </c>
      <c r="B115" s="806" t="s">
        <v>2933</v>
      </c>
      <c r="C115" s="530">
        <f t="shared" ref="C115:L115" si="22">C75-C95</f>
        <v>-53.979999963194132</v>
      </c>
      <c r="D115" s="530">
        <f t="shared" si="22"/>
        <v>2.9802322387695313E-8</v>
      </c>
      <c r="E115" s="530">
        <f t="shared" si="22"/>
        <v>8727472.0199999809</v>
      </c>
      <c r="F115" s="530">
        <f t="shared" si="22"/>
        <v>13052909.34000206</v>
      </c>
      <c r="G115" s="530">
        <f t="shared" si="22"/>
        <v>-14439745.130000114</v>
      </c>
      <c r="H115" s="530">
        <f t="shared" si="22"/>
        <v>14579252.029999822</v>
      </c>
      <c r="I115" s="530">
        <f t="shared" si="22"/>
        <v>6934216.8400001526</v>
      </c>
      <c r="J115" s="530">
        <f t="shared" si="22"/>
        <v>-21022.09999999404</v>
      </c>
      <c r="K115" s="530">
        <f t="shared" si="22"/>
        <v>2471233.3399999589</v>
      </c>
      <c r="L115" s="530">
        <f t="shared" si="22"/>
        <v>5575.4599999785423</v>
      </c>
      <c r="M115" s="248">
        <f t="shared" si="20"/>
        <v>31309837.820001911</v>
      </c>
    </row>
    <row r="116" spans="1:13">
      <c r="A116" s="551">
        <f t="shared" si="21"/>
        <v>56</v>
      </c>
      <c r="B116" s="806" t="s">
        <v>2934</v>
      </c>
      <c r="C116" s="530">
        <f t="shared" ref="C116:L116" si="23">C76-C96</f>
        <v>-154587.8900000155</v>
      </c>
      <c r="D116" s="530">
        <f t="shared" si="23"/>
        <v>81069.599999979138</v>
      </c>
      <c r="E116" s="530">
        <f t="shared" si="23"/>
        <v>-3816423.0800000429</v>
      </c>
      <c r="F116" s="530">
        <f t="shared" si="23"/>
        <v>9310983.3899996281</v>
      </c>
      <c r="G116" s="530">
        <f t="shared" si="23"/>
        <v>9214238.5500004292</v>
      </c>
      <c r="H116" s="530">
        <f t="shared" si="23"/>
        <v>7717474.4599998593</v>
      </c>
      <c r="I116" s="530">
        <f t="shared" si="23"/>
        <v>6336700.6699999571</v>
      </c>
      <c r="J116" s="530">
        <f t="shared" si="23"/>
        <v>-234023.12999999523</v>
      </c>
      <c r="K116" s="530">
        <f t="shared" si="23"/>
        <v>-956806.08999998868</v>
      </c>
      <c r="L116" s="530">
        <f t="shared" si="23"/>
        <v>169198.72000002861</v>
      </c>
      <c r="M116" s="248">
        <f t="shared" si="20"/>
        <v>27667825.199999839</v>
      </c>
    </row>
    <row r="117" spans="1:13">
      <c r="A117" s="551">
        <f t="shared" si="21"/>
        <v>57</v>
      </c>
      <c r="B117" s="807" t="s">
        <v>2935</v>
      </c>
      <c r="C117" s="530">
        <f t="shared" ref="C117:L117" si="24">C77-C97</f>
        <v>0</v>
      </c>
      <c r="D117" s="530">
        <f t="shared" si="24"/>
        <v>-13.090000003576279</v>
      </c>
      <c r="E117" s="530">
        <f t="shared" si="24"/>
        <v>11191794.349999994</v>
      </c>
      <c r="F117" s="530">
        <f t="shared" si="24"/>
        <v>-4664717.3799991608</v>
      </c>
      <c r="G117" s="530">
        <f t="shared" si="24"/>
        <v>18804319.74000001</v>
      </c>
      <c r="H117" s="530">
        <f t="shared" si="24"/>
        <v>7635660.0100000203</v>
      </c>
      <c r="I117" s="530">
        <f t="shared" si="24"/>
        <v>6878168.9400000572</v>
      </c>
      <c r="J117" s="530">
        <f t="shared" si="24"/>
        <v>-649631.94999998808</v>
      </c>
      <c r="K117" s="530">
        <f t="shared" si="24"/>
        <v>1449495.5000000149</v>
      </c>
      <c r="L117" s="530">
        <f t="shared" si="24"/>
        <v>14473.120000004768</v>
      </c>
      <c r="M117" s="248">
        <f t="shared" si="20"/>
        <v>40659549.240000948</v>
      </c>
    </row>
    <row r="118" spans="1:13">
      <c r="A118" s="551">
        <f t="shared" si="21"/>
        <v>58</v>
      </c>
      <c r="B118" s="806" t="s">
        <v>2936</v>
      </c>
      <c r="C118" s="530">
        <f t="shared" ref="C118:L118" si="25">C78-C98</f>
        <v>-98.389999993145466</v>
      </c>
      <c r="D118" s="530">
        <f t="shared" si="25"/>
        <v>68763.300000011921</v>
      </c>
      <c r="E118" s="530">
        <f t="shared" si="25"/>
        <v>1394624.7400000393</v>
      </c>
      <c r="F118" s="530">
        <f t="shared" si="25"/>
        <v>10571789.969998121</v>
      </c>
      <c r="G118" s="530">
        <f t="shared" si="25"/>
        <v>3159262.6499996185</v>
      </c>
      <c r="H118" s="530">
        <f t="shared" si="25"/>
        <v>3378309.6700001359</v>
      </c>
      <c r="I118" s="530">
        <f t="shared" si="25"/>
        <v>1318502.2499998808</v>
      </c>
      <c r="J118" s="530">
        <f t="shared" si="25"/>
        <v>-308.20000001788139</v>
      </c>
      <c r="K118" s="530">
        <f t="shared" si="25"/>
        <v>-30034.970000013709</v>
      </c>
      <c r="L118" s="530">
        <f t="shared" si="25"/>
        <v>267093.8599999845</v>
      </c>
      <c r="M118" s="248">
        <f t="shared" si="20"/>
        <v>20127904.879997768</v>
      </c>
    </row>
    <row r="119" spans="1:13">
      <c r="A119" s="551">
        <f t="shared" si="21"/>
        <v>59</v>
      </c>
      <c r="B119" s="806" t="s">
        <v>2937</v>
      </c>
      <c r="C119" s="530">
        <f t="shared" ref="C119:L119" si="26">C79-C99</f>
        <v>395111.15999998152</v>
      </c>
      <c r="D119" s="530">
        <f t="shared" si="26"/>
        <v>390634.67000000179</v>
      </c>
      <c r="E119" s="530">
        <f t="shared" si="26"/>
        <v>4752999.0600000024</v>
      </c>
      <c r="F119" s="530">
        <f t="shared" si="26"/>
        <v>25391959.540001631</v>
      </c>
      <c r="G119" s="530">
        <f t="shared" si="26"/>
        <v>2457184.970000267</v>
      </c>
      <c r="H119" s="530">
        <f t="shared" si="26"/>
        <v>6853509.1200000644</v>
      </c>
      <c r="I119" s="530">
        <f t="shared" si="26"/>
        <v>3043927.8300001621</v>
      </c>
      <c r="J119" s="530">
        <f t="shared" si="26"/>
        <v>-187248.84000000358</v>
      </c>
      <c r="K119" s="530">
        <f t="shared" si="26"/>
        <v>-963026.72999997437</v>
      </c>
      <c r="L119" s="530">
        <f t="shared" si="26"/>
        <v>-192813.06000000238</v>
      </c>
      <c r="M119" s="248">
        <f t="shared" si="20"/>
        <v>41942237.72000213</v>
      </c>
    </row>
    <row r="120" spans="1:13">
      <c r="A120" s="551">
        <f t="shared" si="21"/>
        <v>60</v>
      </c>
      <c r="B120" s="807" t="s">
        <v>2938</v>
      </c>
      <c r="C120" s="530">
        <f t="shared" ref="C120:L120" si="27">C80-C100</f>
        <v>1.8200000151991844</v>
      </c>
      <c r="D120" s="530">
        <f t="shared" si="27"/>
        <v>768283.44999998808</v>
      </c>
      <c r="E120" s="530">
        <f t="shared" si="27"/>
        <v>3222964.7899999022</v>
      </c>
      <c r="F120" s="530">
        <f t="shared" si="27"/>
        <v>17513037.769998789</v>
      </c>
      <c r="G120" s="530">
        <f t="shared" si="27"/>
        <v>1417802.1600000858</v>
      </c>
      <c r="H120" s="530">
        <f t="shared" si="27"/>
        <v>9374208.6600000262</v>
      </c>
      <c r="I120" s="530">
        <f t="shared" si="27"/>
        <v>-2998213.3400002718</v>
      </c>
      <c r="J120" s="530">
        <f t="shared" si="27"/>
        <v>2270473.5200000107</v>
      </c>
      <c r="K120" s="530">
        <f t="shared" si="27"/>
        <v>-1874400.5699999928</v>
      </c>
      <c r="L120" s="530">
        <f t="shared" si="27"/>
        <v>-132809.30000001192</v>
      </c>
      <c r="M120" s="248">
        <f t="shared" si="20"/>
        <v>29561348.959998541</v>
      </c>
    </row>
    <row r="121" spans="1:13">
      <c r="A121" s="551">
        <f t="shared" si="21"/>
        <v>61</v>
      </c>
      <c r="B121" s="806" t="s">
        <v>2939</v>
      </c>
      <c r="C121" s="530">
        <f t="shared" ref="C121:L121" si="28">C81-C101</f>
        <v>-1.1175870895385742E-8</v>
      </c>
      <c r="D121" s="530">
        <f t="shared" si="28"/>
        <v>43316.510000005364</v>
      </c>
      <c r="E121" s="530">
        <f t="shared" si="28"/>
        <v>6907614.6299999952</v>
      </c>
      <c r="F121" s="530">
        <f t="shared" si="28"/>
        <v>67142326.430000544</v>
      </c>
      <c r="G121" s="530">
        <f t="shared" si="28"/>
        <v>683648.93999958038</v>
      </c>
      <c r="H121" s="530">
        <f t="shared" si="28"/>
        <v>2065605.2099998593</v>
      </c>
      <c r="I121" s="530">
        <f t="shared" si="28"/>
        <v>5234458.8200001717</v>
      </c>
      <c r="J121" s="530">
        <f t="shared" si="28"/>
        <v>-221075.84000000358</v>
      </c>
      <c r="K121" s="530">
        <f t="shared" si="28"/>
        <v>3360494.2099999487</v>
      </c>
      <c r="L121" s="530">
        <f t="shared" si="28"/>
        <v>199885.07000002265</v>
      </c>
      <c r="M121" s="248">
        <f t="shared" si="20"/>
        <v>85416273.980000108</v>
      </c>
    </row>
    <row r="122" spans="1:13">
      <c r="A122" s="551">
        <f t="shared" si="21"/>
        <v>62</v>
      </c>
      <c r="B122" s="806" t="s">
        <v>2940</v>
      </c>
      <c r="C122" s="530">
        <f t="shared" ref="C122:L122" si="29">C82-C102</f>
        <v>-7.4505805969238281E-9</v>
      </c>
      <c r="D122" s="530">
        <f t="shared" si="29"/>
        <v>39924.920000016689</v>
      </c>
      <c r="E122" s="530">
        <f t="shared" si="29"/>
        <v>2728941.189999938</v>
      </c>
      <c r="F122" s="530">
        <f t="shared" si="29"/>
        <v>7683803.8199999332</v>
      </c>
      <c r="G122" s="530">
        <f t="shared" si="29"/>
        <v>-334146.34999966621</v>
      </c>
      <c r="H122" s="530">
        <f t="shared" si="29"/>
        <v>5689842.5100000501</v>
      </c>
      <c r="I122" s="530">
        <f t="shared" si="29"/>
        <v>3397025.3899999857</v>
      </c>
      <c r="J122" s="530">
        <f t="shared" si="29"/>
        <v>7139.3499999940395</v>
      </c>
      <c r="K122" s="530">
        <f t="shared" si="29"/>
        <v>-1388304.5199999511</v>
      </c>
      <c r="L122" s="530">
        <f t="shared" si="29"/>
        <v>387195.71999996901</v>
      </c>
      <c r="M122" s="248">
        <f t="shared" si="20"/>
        <v>18211422.030000262</v>
      </c>
    </row>
    <row r="123" spans="1:13">
      <c r="A123" s="551">
        <f t="shared" si="21"/>
        <v>63</v>
      </c>
      <c r="B123" s="807" t="s">
        <v>2941</v>
      </c>
      <c r="C123" s="530">
        <f t="shared" ref="C123:L123" si="30">C83-C103</f>
        <v>2.2351741790771484E-8</v>
      </c>
      <c r="D123" s="530">
        <f t="shared" si="30"/>
        <v>291.17999997735023</v>
      </c>
      <c r="E123" s="530">
        <f t="shared" si="30"/>
        <v>-3874753.6199998856</v>
      </c>
      <c r="F123" s="530">
        <f t="shared" si="30"/>
        <v>-39548378.039999962</v>
      </c>
      <c r="G123" s="530">
        <f t="shared" si="30"/>
        <v>2442367.7500002384</v>
      </c>
      <c r="H123" s="530">
        <f t="shared" si="30"/>
        <v>10133008.810000062</v>
      </c>
      <c r="I123" s="530">
        <f t="shared" si="30"/>
        <v>-1467530.0499999523</v>
      </c>
      <c r="J123" s="530">
        <f t="shared" si="30"/>
        <v>-464081.40000000596</v>
      </c>
      <c r="K123" s="530">
        <f t="shared" si="30"/>
        <v>1583416.0499999523</v>
      </c>
      <c r="L123" s="530">
        <f t="shared" si="30"/>
        <v>5008.8499999940395</v>
      </c>
      <c r="M123" s="248">
        <f t="shared" si="20"/>
        <v>-31190650.469999559</v>
      </c>
    </row>
    <row r="124" spans="1:13">
      <c r="A124" s="551">
        <f t="shared" si="21"/>
        <v>64</v>
      </c>
      <c r="B124" s="807" t="s">
        <v>2942</v>
      </c>
      <c r="C124" s="530">
        <f t="shared" ref="C124:L124" si="31">C84-C104</f>
        <v>-1657267.8875000179</v>
      </c>
      <c r="D124" s="530">
        <f t="shared" si="31"/>
        <v>12322.32000002265</v>
      </c>
      <c r="E124" s="530">
        <f t="shared" si="31"/>
        <v>2396062.7799999714</v>
      </c>
      <c r="F124" s="530">
        <f t="shared" si="31"/>
        <v>5090314.4099991322</v>
      </c>
      <c r="G124" s="530">
        <f t="shared" si="31"/>
        <v>1019819.0599997044</v>
      </c>
      <c r="H124" s="530">
        <f t="shared" si="31"/>
        <v>17713334.289999932</v>
      </c>
      <c r="I124" s="530">
        <f t="shared" si="31"/>
        <v>1624613.8199999332</v>
      </c>
      <c r="J124" s="530">
        <f t="shared" si="31"/>
        <v>-2081812.4500000179</v>
      </c>
      <c r="K124" s="530">
        <f t="shared" si="31"/>
        <v>-35475.379999995232</v>
      </c>
      <c r="L124" s="530">
        <f t="shared" si="31"/>
        <v>1695232.3300000131</v>
      </c>
      <c r="M124" s="248">
        <f t="shared" si="20"/>
        <v>25777143.292498678</v>
      </c>
    </row>
    <row r="125" spans="1:13">
      <c r="A125" s="551">
        <f t="shared" si="21"/>
        <v>65</v>
      </c>
      <c r="B125" s="806" t="s">
        <v>2943</v>
      </c>
      <c r="C125" s="121">
        <f t="shared" ref="C125:L125" si="32">C85-C105</f>
        <v>0</v>
      </c>
      <c r="D125" s="121">
        <f t="shared" si="32"/>
        <v>15224.319999977946</v>
      </c>
      <c r="E125" s="121">
        <f t="shared" si="32"/>
        <v>15903848.689999998</v>
      </c>
      <c r="F125" s="121">
        <f t="shared" si="32"/>
        <v>161490447.69999981</v>
      </c>
      <c r="G125" s="121">
        <f t="shared" si="32"/>
        <v>10160039.620000124</v>
      </c>
      <c r="H125" s="121">
        <f t="shared" si="32"/>
        <v>6670446.7300000787</v>
      </c>
      <c r="I125" s="121">
        <f t="shared" si="32"/>
        <v>2503032.6799998283</v>
      </c>
      <c r="J125" s="121">
        <f t="shared" si="32"/>
        <v>12242.749999970198</v>
      </c>
      <c r="K125" s="121">
        <f t="shared" si="32"/>
        <v>2564419.030000031</v>
      </c>
      <c r="L125" s="121">
        <f t="shared" si="32"/>
        <v>1093225.219999969</v>
      </c>
      <c r="M125" s="389">
        <f t="shared" si="20"/>
        <v>200412926.7399998</v>
      </c>
    </row>
    <row r="126" spans="1:13">
      <c r="A126" s="551">
        <f t="shared" si="21"/>
        <v>66</v>
      </c>
      <c r="B126" s="555" t="s">
        <v>4</v>
      </c>
      <c r="C126" s="248">
        <f>SUM(C114:C125)</f>
        <v>445257.56249997765</v>
      </c>
      <c r="D126" s="248">
        <f t="shared" ref="D126:L126" si="33">SUM(D114:D125)</f>
        <v>1419817.1799999923</v>
      </c>
      <c r="E126" s="248">
        <f t="shared" si="33"/>
        <v>45305962.430000007</v>
      </c>
      <c r="F126" s="248">
        <f t="shared" si="33"/>
        <v>274323017.82999969</v>
      </c>
      <c r="G126" s="248">
        <f t="shared" si="33"/>
        <v>32428813.169999599</v>
      </c>
      <c r="H126" s="248">
        <f t="shared" si="33"/>
        <v>131990618.85999987</v>
      </c>
      <c r="I126" s="248">
        <f t="shared" si="33"/>
        <v>21999735.749999762</v>
      </c>
      <c r="J126" s="248">
        <f t="shared" si="33"/>
        <v>-1523257.810000062</v>
      </c>
      <c r="K126" s="248">
        <f t="shared" si="33"/>
        <v>5031584.2600000203</v>
      </c>
      <c r="L126" s="248">
        <f t="shared" si="33"/>
        <v>-15057151.820000052</v>
      </c>
      <c r="M126" s="248">
        <f>SUM(M114:M125)</f>
        <v>496364397.41249871</v>
      </c>
    </row>
    <row r="128" spans="1:13">
      <c r="B128" s="1" t="s">
        <v>1724</v>
      </c>
    </row>
    <row r="129" spans="1:13">
      <c r="B129" s="519" t="s">
        <v>1725</v>
      </c>
    </row>
    <row r="130" spans="1:13">
      <c r="B130" s="16"/>
      <c r="C130" s="91">
        <v>350.1</v>
      </c>
      <c r="D130" s="91">
        <v>350.2</v>
      </c>
      <c r="E130" s="91">
        <v>352</v>
      </c>
      <c r="F130" s="91">
        <v>353</v>
      </c>
      <c r="G130" s="91">
        <v>354</v>
      </c>
      <c r="H130" s="91">
        <v>355</v>
      </c>
      <c r="I130" s="91">
        <v>356</v>
      </c>
      <c r="J130" s="91">
        <v>357</v>
      </c>
      <c r="K130" s="91">
        <v>358</v>
      </c>
      <c r="L130" s="91">
        <v>359</v>
      </c>
      <c r="M130" s="3" t="s">
        <v>215</v>
      </c>
    </row>
    <row r="131" spans="1:13">
      <c r="A131" s="551">
        <f>A126+1</f>
        <v>67</v>
      </c>
      <c r="B131" s="16"/>
      <c r="C131" s="7">
        <f t="shared" ref="C131:M131" si="34">C23-C11</f>
        <v>1030499.904085815</v>
      </c>
      <c r="D131" s="7">
        <f t="shared" si="34"/>
        <v>-425809.22028771043</v>
      </c>
      <c r="E131" s="7">
        <f t="shared" si="34"/>
        <v>38115411.993642509</v>
      </c>
      <c r="F131" s="7">
        <f t="shared" si="34"/>
        <v>160272324.82972956</v>
      </c>
      <c r="G131" s="7">
        <f t="shared" si="34"/>
        <v>49389689.465382099</v>
      </c>
      <c r="H131" s="7">
        <f t="shared" si="34"/>
        <v>40165852.563785493</v>
      </c>
      <c r="I131" s="7">
        <f t="shared" si="34"/>
        <v>10029895.512284994</v>
      </c>
      <c r="J131" s="7">
        <f t="shared" si="34"/>
        <v>4714292.2083087862</v>
      </c>
      <c r="K131" s="7">
        <f t="shared" si="34"/>
        <v>2969302.0129371285</v>
      </c>
      <c r="L131" s="7">
        <f t="shared" si="34"/>
        <v>-9386200.633643508</v>
      </c>
      <c r="M131" s="7">
        <f t="shared" si="34"/>
        <v>296875258.63622475</v>
      </c>
    </row>
    <row r="132" spans="1:13">
      <c r="B132" s="16"/>
      <c r="C132" s="7"/>
      <c r="D132" s="7"/>
      <c r="E132" s="7"/>
      <c r="F132" s="7"/>
      <c r="G132" s="7"/>
      <c r="H132" s="7"/>
      <c r="I132" s="7"/>
      <c r="J132" s="7"/>
      <c r="K132" s="7"/>
      <c r="L132" s="7"/>
      <c r="M132" s="7"/>
    </row>
    <row r="133" spans="1:13">
      <c r="B133" s="519" t="s">
        <v>1726</v>
      </c>
      <c r="C133" s="7"/>
      <c r="D133" s="7"/>
      <c r="E133" s="7"/>
      <c r="F133" s="7"/>
      <c r="G133" s="7"/>
      <c r="H133" s="7"/>
      <c r="I133" s="7"/>
      <c r="J133" s="7"/>
      <c r="K133" s="7"/>
      <c r="L133" s="7"/>
      <c r="M133" s="7"/>
    </row>
    <row r="134" spans="1:13">
      <c r="B134" s="16"/>
      <c r="C134" s="91">
        <v>350.1</v>
      </c>
      <c r="D134" s="91">
        <v>350.2</v>
      </c>
      <c r="E134" s="91">
        <v>352</v>
      </c>
      <c r="F134" s="91">
        <v>353</v>
      </c>
      <c r="G134" s="91">
        <v>354</v>
      </c>
      <c r="H134" s="91">
        <v>355</v>
      </c>
      <c r="I134" s="91">
        <v>356</v>
      </c>
      <c r="J134" s="91">
        <v>357</v>
      </c>
      <c r="K134" s="91">
        <v>358</v>
      </c>
      <c r="L134" s="91">
        <v>359</v>
      </c>
      <c r="M134" s="3" t="s">
        <v>215</v>
      </c>
    </row>
    <row r="135" spans="1:13">
      <c r="A135" s="551">
        <f>A131+1</f>
        <v>68</v>
      </c>
      <c r="B135" s="16"/>
      <c r="C135" s="7">
        <f t="shared" ref="C135:M135" si="35">C106</f>
        <v>2189633.4774999991</v>
      </c>
      <c r="D135" s="7">
        <f t="shared" si="35"/>
        <v>194345.54999999702</v>
      </c>
      <c r="E135" s="7">
        <f t="shared" si="35"/>
        <v>8537439.2499999404</v>
      </c>
      <c r="F135" s="7">
        <f t="shared" si="35"/>
        <v>42379330.859999895</v>
      </c>
      <c r="G135" s="7">
        <f t="shared" si="35"/>
        <v>5218312.5300002098</v>
      </c>
      <c r="H135" s="7">
        <f t="shared" si="35"/>
        <v>2546879.5599999726</v>
      </c>
      <c r="I135" s="7">
        <f t="shared" si="35"/>
        <v>2720171.5500004292</v>
      </c>
      <c r="J135" s="7">
        <f t="shared" si="35"/>
        <v>4650988.7900000513</v>
      </c>
      <c r="K135" s="7">
        <f t="shared" si="35"/>
        <v>2944090.6099999845</v>
      </c>
      <c r="L135" s="7">
        <f t="shared" si="35"/>
        <v>8295328.5200000703</v>
      </c>
      <c r="M135" s="7">
        <f t="shared" si="35"/>
        <v>79676520.697500557</v>
      </c>
    </row>
    <row r="136" spans="1:13">
      <c r="B136" s="16"/>
      <c r="C136" s="7"/>
      <c r="D136" s="7"/>
      <c r="E136" s="7"/>
      <c r="F136" s="7"/>
      <c r="G136" s="7"/>
      <c r="H136" s="7"/>
      <c r="I136" s="7"/>
      <c r="J136" s="7"/>
      <c r="K136" s="7"/>
      <c r="L136" s="7"/>
      <c r="M136" s="7"/>
    </row>
    <row r="137" spans="1:13">
      <c r="B137" s="519" t="s">
        <v>1727</v>
      </c>
      <c r="C137" s="7"/>
      <c r="D137" s="7"/>
      <c r="E137" s="7"/>
      <c r="F137" s="7"/>
      <c r="G137" s="7"/>
      <c r="H137" s="7"/>
      <c r="I137" s="7"/>
      <c r="J137" s="7"/>
      <c r="K137" s="7"/>
      <c r="L137" s="7"/>
      <c r="M137" s="7"/>
    </row>
    <row r="138" spans="1:13">
      <c r="C138" s="91">
        <v>350.1</v>
      </c>
      <c r="D138" s="91">
        <v>350.2</v>
      </c>
      <c r="E138" s="91">
        <v>352</v>
      </c>
      <c r="F138" s="91">
        <v>353</v>
      </c>
      <c r="G138" s="91">
        <v>354</v>
      </c>
      <c r="H138" s="91">
        <v>355</v>
      </c>
      <c r="I138" s="91">
        <v>356</v>
      </c>
      <c r="J138" s="91">
        <v>357</v>
      </c>
      <c r="K138" s="91">
        <v>358</v>
      </c>
      <c r="L138" s="91">
        <v>359</v>
      </c>
      <c r="M138" s="3" t="s">
        <v>215</v>
      </c>
    </row>
    <row r="139" spans="1:13">
      <c r="A139" s="551">
        <f>A135+1</f>
        <v>69</v>
      </c>
      <c r="C139" s="7">
        <f t="shared" ref="C139:M139" si="36">C131-C135</f>
        <v>-1159133.5734141842</v>
      </c>
      <c r="D139" s="7">
        <f t="shared" si="36"/>
        <v>-620154.77028770745</v>
      </c>
      <c r="E139" s="7">
        <f t="shared" si="36"/>
        <v>29577972.743642569</v>
      </c>
      <c r="F139" s="7">
        <f t="shared" si="36"/>
        <v>117892993.96972966</v>
      </c>
      <c r="G139" s="7">
        <f t="shared" si="36"/>
        <v>44171376.935381889</v>
      </c>
      <c r="H139" s="7">
        <f t="shared" si="36"/>
        <v>37618973.003785521</v>
      </c>
      <c r="I139" s="7">
        <f t="shared" si="36"/>
        <v>7309723.962284565</v>
      </c>
      <c r="J139" s="7">
        <f t="shared" si="36"/>
        <v>63303.418308734894</v>
      </c>
      <c r="K139" s="7">
        <f t="shared" si="36"/>
        <v>25211.402937144041</v>
      </c>
      <c r="L139" s="7">
        <f t="shared" si="36"/>
        <v>-17681529.153643578</v>
      </c>
      <c r="M139" s="7">
        <f t="shared" si="36"/>
        <v>217198737.93872419</v>
      </c>
    </row>
    <row r="141" spans="1:13">
      <c r="B141" s="45" t="s">
        <v>1957</v>
      </c>
      <c r="C141" s="14"/>
      <c r="D141" s="14"/>
      <c r="E141" s="14"/>
      <c r="F141" s="14"/>
      <c r="G141" s="14"/>
    </row>
    <row r="142" spans="1:13">
      <c r="A142" s="418"/>
      <c r="B142" s="380" t="s">
        <v>391</v>
      </c>
      <c r="C142" s="380" t="s">
        <v>375</v>
      </c>
      <c r="D142" s="380" t="s">
        <v>376</v>
      </c>
      <c r="E142" s="380" t="s">
        <v>377</v>
      </c>
      <c r="F142" s="380" t="s">
        <v>378</v>
      </c>
      <c r="G142" s="380" t="s">
        <v>379</v>
      </c>
      <c r="H142" s="91" t="s">
        <v>380</v>
      </c>
      <c r="I142" s="91" t="s">
        <v>593</v>
      </c>
      <c r="J142" s="91" t="s">
        <v>1040</v>
      </c>
      <c r="K142" s="91" t="s">
        <v>1056</v>
      </c>
      <c r="L142" s="91" t="s">
        <v>1059</v>
      </c>
      <c r="M142" s="91" t="s">
        <v>1077</v>
      </c>
    </row>
    <row r="143" spans="1:13">
      <c r="A143" s="246"/>
      <c r="B143" s="483"/>
      <c r="C143" s="256"/>
      <c r="D143" s="256"/>
      <c r="E143" s="256"/>
      <c r="F143" s="569"/>
      <c r="G143" s="256"/>
      <c r="H143" s="246"/>
      <c r="I143" s="246"/>
      <c r="J143" s="246"/>
      <c r="K143" s="246"/>
      <c r="L143" s="246"/>
      <c r="M143" s="267" t="s">
        <v>1352</v>
      </c>
    </row>
    <row r="144" spans="1:13">
      <c r="A144" s="246"/>
      <c r="B144" s="120"/>
      <c r="C144" s="380"/>
      <c r="D144" s="380"/>
      <c r="E144" s="256"/>
      <c r="F144" s="256"/>
      <c r="G144" s="256"/>
      <c r="H144" s="246"/>
      <c r="I144" s="246"/>
      <c r="J144" s="246"/>
      <c r="K144" s="246"/>
      <c r="L144" s="246"/>
    </row>
    <row r="145" spans="1:13">
      <c r="A145" s="53"/>
      <c r="B145" s="134" t="s">
        <v>2006</v>
      </c>
      <c r="C145" s="380">
        <v>350.1</v>
      </c>
      <c r="D145" s="380">
        <v>350.2</v>
      </c>
      <c r="E145" s="380">
        <v>352</v>
      </c>
      <c r="F145" s="380">
        <v>353</v>
      </c>
      <c r="G145" s="380">
        <v>354</v>
      </c>
      <c r="H145" s="91">
        <v>355</v>
      </c>
      <c r="I145" s="91">
        <v>356</v>
      </c>
      <c r="J145" s="91">
        <v>357</v>
      </c>
      <c r="K145" s="91">
        <v>358</v>
      </c>
      <c r="L145" s="91">
        <v>359</v>
      </c>
      <c r="M145" s="3" t="s">
        <v>215</v>
      </c>
    </row>
    <row r="146" spans="1:13">
      <c r="A146" s="551">
        <f>A139+1</f>
        <v>70</v>
      </c>
      <c r="B146" s="807" t="s">
        <v>2932</v>
      </c>
      <c r="C146" s="530">
        <f t="shared" ref="C146:C157" si="37">C114*($C$139/$C$126)</f>
        <v>-4847719.4548895471</v>
      </c>
      <c r="D146" s="530">
        <f t="shared" ref="D146:D157" si="38">D114*($D$139/$D$126)</f>
        <v>6.5086028873032397E-9</v>
      </c>
      <c r="E146" s="530">
        <f t="shared" ref="E146:E157" si="39">E114*($E$139/$E$126)</f>
        <v>-2761019.8821954448</v>
      </c>
      <c r="F146" s="530">
        <f t="shared" ref="F146:F157" si="40">F114*($F$139/$F$126)</f>
        <v>553763.01776335482</v>
      </c>
      <c r="G146" s="530">
        <f t="shared" ref="G146:G157" si="41">G114*($G$139/$G$126)</f>
        <v>-2936664.7277091714</v>
      </c>
      <c r="H146" s="530">
        <f t="shared" ref="H146:H157" si="42">H114*($H$139/$H$126)</f>
        <v>11451791.956609234</v>
      </c>
      <c r="I146" s="530">
        <f t="shared" ref="I146:I157" si="43">I114*($I$139/$I$126)</f>
        <v>-3590170.2217984456</v>
      </c>
      <c r="J146" s="530">
        <f t="shared" ref="J146:J157" si="44">J114*($J$139/$J$126)</f>
        <v>-1915.4242416059442</v>
      </c>
      <c r="K146" s="530">
        <f t="shared" ref="K146:K157" si="45">K114*($K$139/$K$126)</f>
        <v>-5759.3455068129379</v>
      </c>
      <c r="L146" s="530">
        <f t="shared" ref="L146:L157" si="46">L114*($L$139/$L$126)</f>
        <v>-21804789.163940869</v>
      </c>
      <c r="M146" s="248">
        <f t="shared" ref="M146:M157" si="47">SUM(C146:L146)</f>
        <v>-23942483.245909303</v>
      </c>
    </row>
    <row r="147" spans="1:13">
      <c r="A147" s="551">
        <f t="shared" ref="A147:A158" si="48">A146+1</f>
        <v>71</v>
      </c>
      <c r="B147" s="806" t="s">
        <v>2933</v>
      </c>
      <c r="C147" s="530">
        <f t="shared" si="37"/>
        <v>140.52547451170551</v>
      </c>
      <c r="D147" s="530">
        <f t="shared" si="38"/>
        <v>-1.3017205774606479E-8</v>
      </c>
      <c r="E147" s="530">
        <f t="shared" si="39"/>
        <v>5697725.3253874332</v>
      </c>
      <c r="F147" s="530">
        <f t="shared" si="40"/>
        <v>5609615.1693035364</v>
      </c>
      <c r="G147" s="530">
        <f t="shared" si="41"/>
        <v>-19668417.14633394</v>
      </c>
      <c r="H147" s="530">
        <f t="shared" si="42"/>
        <v>4155268.709768584</v>
      </c>
      <c r="I147" s="530">
        <f t="shared" si="43"/>
        <v>2303991.8102210308</v>
      </c>
      <c r="J147" s="530">
        <f t="shared" si="44"/>
        <v>873.63464102483363</v>
      </c>
      <c r="K147" s="530">
        <f t="shared" si="45"/>
        <v>12382.433894974263</v>
      </c>
      <c r="L147" s="530">
        <f t="shared" si="46"/>
        <v>6547.2314892680597</v>
      </c>
      <c r="M147" s="248">
        <f t="shared" si="47"/>
        <v>-1881872.3061535889</v>
      </c>
    </row>
    <row r="148" spans="1:13">
      <c r="A148" s="551">
        <f t="shared" si="48"/>
        <v>72</v>
      </c>
      <c r="B148" s="806" t="s">
        <v>2934</v>
      </c>
      <c r="C148" s="530">
        <f t="shared" si="37"/>
        <v>402436.76566927659</v>
      </c>
      <c r="D148" s="530">
        <f t="shared" si="38"/>
        <v>-35409.980857749346</v>
      </c>
      <c r="E148" s="530">
        <f t="shared" si="39"/>
        <v>-2491549.7162842122</v>
      </c>
      <c r="F148" s="530">
        <f t="shared" si="40"/>
        <v>4001485.9756673174</v>
      </c>
      <c r="G148" s="530">
        <f t="shared" si="41"/>
        <v>12550740.048085475</v>
      </c>
      <c r="H148" s="530">
        <f t="shared" si="42"/>
        <v>2199576.4992668149</v>
      </c>
      <c r="I148" s="530">
        <f t="shared" si="43"/>
        <v>2105458.5953071662</v>
      </c>
      <c r="J148" s="530">
        <f t="shared" si="44"/>
        <v>9725.5133011978724</v>
      </c>
      <c r="K148" s="530">
        <f t="shared" si="45"/>
        <v>-4794.2005184074815</v>
      </c>
      <c r="L148" s="530">
        <f t="shared" si="46"/>
        <v>198689.11041103335</v>
      </c>
      <c r="M148" s="248">
        <f t="shared" si="47"/>
        <v>18936358.610047914</v>
      </c>
    </row>
    <row r="149" spans="1:13">
      <c r="A149" s="551">
        <f t="shared" si="48"/>
        <v>73</v>
      </c>
      <c r="B149" s="807" t="s">
        <v>2935</v>
      </c>
      <c r="C149" s="530">
        <f t="shared" si="37"/>
        <v>0</v>
      </c>
      <c r="D149" s="530">
        <f t="shared" si="38"/>
        <v>5.7175149446240541</v>
      </c>
      <c r="E149" s="530">
        <f t="shared" si="39"/>
        <v>7306556.8080186285</v>
      </c>
      <c r="F149" s="530">
        <f t="shared" si="40"/>
        <v>-2004707.8159935349</v>
      </c>
      <c r="G149" s="530">
        <f t="shared" si="41"/>
        <v>25613416.405179933</v>
      </c>
      <c r="H149" s="530">
        <f t="shared" si="42"/>
        <v>2176258.3603532603</v>
      </c>
      <c r="I149" s="530">
        <f t="shared" si="43"/>
        <v>2285369.1011884264</v>
      </c>
      <c r="J149" s="530">
        <f t="shared" si="44"/>
        <v>26997.349238975326</v>
      </c>
      <c r="K149" s="530">
        <f t="shared" si="45"/>
        <v>7262.8844550199983</v>
      </c>
      <c r="L149" s="530">
        <f t="shared" si="46"/>
        <v>16995.703854453488</v>
      </c>
      <c r="M149" s="248">
        <f t="shared" si="47"/>
        <v>35428154.513810113</v>
      </c>
    </row>
    <row r="150" spans="1:13">
      <c r="A150" s="551">
        <f t="shared" si="48"/>
        <v>74</v>
      </c>
      <c r="B150" s="806" t="s">
        <v>2936</v>
      </c>
      <c r="C150" s="530">
        <f t="shared" si="37"/>
        <v>256.1374850994967</v>
      </c>
      <c r="D150" s="530">
        <f t="shared" si="38"/>
        <v>-30034.774276877208</v>
      </c>
      <c r="E150" s="530">
        <f t="shared" si="39"/>
        <v>910479.99722032971</v>
      </c>
      <c r="F150" s="530">
        <f t="shared" si="40"/>
        <v>4543329.9073525229</v>
      </c>
      <c r="G150" s="530">
        <f t="shared" si="41"/>
        <v>4303240.47381745</v>
      </c>
      <c r="H150" s="530">
        <f t="shared" si="42"/>
        <v>962860.40153325791</v>
      </c>
      <c r="I150" s="530">
        <f t="shared" si="43"/>
        <v>438091.05712328147</v>
      </c>
      <c r="J150" s="530">
        <f t="shared" si="44"/>
        <v>12.808149346618649</v>
      </c>
      <c r="K150" s="530">
        <f t="shared" si="45"/>
        <v>-150.49409723596199</v>
      </c>
      <c r="L150" s="530">
        <f t="shared" si="46"/>
        <v>313646.82569488138</v>
      </c>
      <c r="M150" s="248">
        <f t="shared" si="47"/>
        <v>11441732.340002054</v>
      </c>
    </row>
    <row r="151" spans="1:13">
      <c r="A151" s="551">
        <f t="shared" si="48"/>
        <v>75</v>
      </c>
      <c r="B151" s="806" t="s">
        <v>2937</v>
      </c>
      <c r="C151" s="530">
        <f t="shared" si="37"/>
        <v>-1028588.0563491271</v>
      </c>
      <c r="D151" s="530">
        <f t="shared" si="38"/>
        <v>-170623.34323935059</v>
      </c>
      <c r="E151" s="530">
        <f t="shared" si="39"/>
        <v>3102992.8315604883</v>
      </c>
      <c r="F151" s="530">
        <f t="shared" si="40"/>
        <v>10912442.406798508</v>
      </c>
      <c r="G151" s="530">
        <f t="shared" si="41"/>
        <v>3346938.5062246537</v>
      </c>
      <c r="H151" s="530">
        <f t="shared" si="42"/>
        <v>1953335.5991000202</v>
      </c>
      <c r="I151" s="530">
        <f t="shared" si="43"/>
        <v>1011388.1571699008</v>
      </c>
      <c r="J151" s="530">
        <f t="shared" si="44"/>
        <v>7781.6713418624222</v>
      </c>
      <c r="K151" s="530">
        <f t="shared" si="45"/>
        <v>-4825.3698387373279</v>
      </c>
      <c r="L151" s="530">
        <f t="shared" si="46"/>
        <v>-226419.29777614865</v>
      </c>
      <c r="M151" s="248">
        <f t="shared" si="47"/>
        <v>18904423.104992069</v>
      </c>
    </row>
    <row r="152" spans="1:13">
      <c r="A152" s="551">
        <f t="shared" si="48"/>
        <v>76</v>
      </c>
      <c r="B152" s="807" t="s">
        <v>2938</v>
      </c>
      <c r="C152" s="530">
        <f t="shared" si="37"/>
        <v>-4.7379838073649916</v>
      </c>
      <c r="D152" s="530">
        <f t="shared" si="38"/>
        <v>-335574.64521635987</v>
      </c>
      <c r="E152" s="530">
        <f t="shared" si="39"/>
        <v>2104110.7968873754</v>
      </c>
      <c r="F152" s="530">
        <f t="shared" si="40"/>
        <v>7526398.8874954898</v>
      </c>
      <c r="G152" s="530">
        <f t="shared" si="41"/>
        <v>1931192.2795589375</v>
      </c>
      <c r="H152" s="530">
        <f t="shared" si="42"/>
        <v>2671766.4145998214</v>
      </c>
      <c r="I152" s="530">
        <f t="shared" si="43"/>
        <v>-996198.87004513072</v>
      </c>
      <c r="J152" s="530">
        <f t="shared" si="44"/>
        <v>-94356.145133081955</v>
      </c>
      <c r="K152" s="530">
        <f t="shared" si="45"/>
        <v>-9391.9261993800137</v>
      </c>
      <c r="L152" s="530">
        <f t="shared" si="46"/>
        <v>-155957.21806471091</v>
      </c>
      <c r="M152" s="248">
        <f t="shared" si="47"/>
        <v>12641984.835899154</v>
      </c>
    </row>
    <row r="153" spans="1:13">
      <c r="A153" s="551">
        <f t="shared" si="48"/>
        <v>77</v>
      </c>
      <c r="B153" s="806" t="s">
        <v>2939</v>
      </c>
      <c r="C153" s="530">
        <f t="shared" si="37"/>
        <v>2.909400818315063E-8</v>
      </c>
      <c r="D153" s="530">
        <f t="shared" si="38"/>
        <v>-18919.999481002655</v>
      </c>
      <c r="E153" s="530">
        <f t="shared" si="39"/>
        <v>4509632.4256526008</v>
      </c>
      <c r="F153" s="530">
        <f t="shared" si="40"/>
        <v>28855070.010315523</v>
      </c>
      <c r="G153" s="530">
        <f t="shared" si="41"/>
        <v>931200.12940011383</v>
      </c>
      <c r="H153" s="530">
        <f t="shared" si="42"/>
        <v>588723.25399038219</v>
      </c>
      <c r="I153" s="530">
        <f t="shared" si="43"/>
        <v>1739223.1207207777</v>
      </c>
      <c r="J153" s="530">
        <f t="shared" si="44"/>
        <v>9187.4509262976317</v>
      </c>
      <c r="K153" s="530">
        <f t="shared" si="45"/>
        <v>16838.190362780075</v>
      </c>
      <c r="L153" s="530">
        <f t="shared" si="46"/>
        <v>234723.91955887681</v>
      </c>
      <c r="M153" s="248">
        <f t="shared" si="47"/>
        <v>36865678.501446381</v>
      </c>
    </row>
    <row r="154" spans="1:13">
      <c r="A154" s="551">
        <f t="shared" si="48"/>
        <v>78</v>
      </c>
      <c r="B154" s="806" t="s">
        <v>2940</v>
      </c>
      <c r="C154" s="530">
        <f t="shared" si="37"/>
        <v>1.9396005455433752E-8</v>
      </c>
      <c r="D154" s="530">
        <f t="shared" si="38"/>
        <v>-17438.604026023673</v>
      </c>
      <c r="E154" s="530">
        <f t="shared" si="39"/>
        <v>1781587.7603644955</v>
      </c>
      <c r="F154" s="530">
        <f t="shared" si="40"/>
        <v>3302189.6761766127</v>
      </c>
      <c r="G154" s="530">
        <f t="shared" si="41"/>
        <v>-455141.6760164302</v>
      </c>
      <c r="H154" s="530">
        <f t="shared" si="42"/>
        <v>1621676.0981060176</v>
      </c>
      <c r="I154" s="530">
        <f t="shared" si="43"/>
        <v>1128709.8252428889</v>
      </c>
      <c r="J154" s="530">
        <f t="shared" si="44"/>
        <v>-296.69649913173316</v>
      </c>
      <c r="K154" s="530">
        <f t="shared" si="45"/>
        <v>-6956.2791448069629</v>
      </c>
      <c r="L154" s="530">
        <f t="shared" si="46"/>
        <v>454681.76805203012</v>
      </c>
      <c r="M154" s="248">
        <f t="shared" si="47"/>
        <v>7809011.8722556718</v>
      </c>
    </row>
    <row r="155" spans="1:13">
      <c r="A155" s="551">
        <f t="shared" si="48"/>
        <v>79</v>
      </c>
      <c r="B155" s="807" t="s">
        <v>2941</v>
      </c>
      <c r="C155" s="530">
        <f t="shared" si="37"/>
        <v>-5.8188016366301261E-8</v>
      </c>
      <c r="D155" s="530">
        <f t="shared" si="38"/>
        <v>-127.18304056465162</v>
      </c>
      <c r="E155" s="530">
        <f t="shared" si="39"/>
        <v>-2529630.7773565375</v>
      </c>
      <c r="F155" s="530">
        <f t="shared" si="40"/>
        <v>-16996301.406510778</v>
      </c>
      <c r="G155" s="530">
        <f t="shared" si="41"/>
        <v>3326755.929504232</v>
      </c>
      <c r="H155" s="530">
        <f t="shared" si="42"/>
        <v>2888033.9236445152</v>
      </c>
      <c r="I155" s="530">
        <f t="shared" si="43"/>
        <v>-487607.65555365518</v>
      </c>
      <c r="J155" s="530">
        <f t="shared" si="44"/>
        <v>19286.255288264369</v>
      </c>
      <c r="K155" s="530">
        <f t="shared" si="45"/>
        <v>7933.9106712464463</v>
      </c>
      <c r="L155" s="530">
        <f t="shared" si="46"/>
        <v>5881.8645358602707</v>
      </c>
      <c r="M155" s="248">
        <f t="shared" si="47"/>
        <v>-13765775.138817476</v>
      </c>
    </row>
    <row r="156" spans="1:13">
      <c r="A156" s="551">
        <f t="shared" si="48"/>
        <v>80</v>
      </c>
      <c r="B156" s="807" t="s">
        <v>2942</v>
      </c>
      <c r="C156" s="530">
        <f t="shared" si="37"/>
        <v>4314345.2471794188</v>
      </c>
      <c r="D156" s="530">
        <f t="shared" si="38"/>
        <v>-5382.2038757311775</v>
      </c>
      <c r="E156" s="530">
        <f t="shared" si="39"/>
        <v>1564268.2728215822</v>
      </c>
      <c r="F156" s="530">
        <f t="shared" si="40"/>
        <v>2187612.2929427326</v>
      </c>
      <c r="G156" s="530">
        <f t="shared" si="41"/>
        <v>1389098.3881829907</v>
      </c>
      <c r="H156" s="530">
        <f t="shared" si="42"/>
        <v>5048521.2526303055</v>
      </c>
      <c r="I156" s="530">
        <f t="shared" si="43"/>
        <v>539800.96417804947</v>
      </c>
      <c r="J156" s="530">
        <f t="shared" si="44"/>
        <v>86515.784457181289</v>
      </c>
      <c r="K156" s="530">
        <f t="shared" si="45"/>
        <v>-177.75397435720916</v>
      </c>
      <c r="L156" s="530">
        <f t="shared" si="46"/>
        <v>1990701.8421159983</v>
      </c>
      <c r="M156" s="248">
        <f t="shared" si="47"/>
        <v>17115304.086658169</v>
      </c>
    </row>
    <row r="157" spans="1:13">
      <c r="A157" s="551">
        <f t="shared" si="48"/>
        <v>81</v>
      </c>
      <c r="B157" s="806" t="s">
        <v>2943</v>
      </c>
      <c r="C157" s="121">
        <f t="shared" si="37"/>
        <v>0</v>
      </c>
      <c r="D157" s="121">
        <f t="shared" si="38"/>
        <v>-6649.753788986357</v>
      </c>
      <c r="E157" s="121">
        <f t="shared" si="39"/>
        <v>10382818.901565833</v>
      </c>
      <c r="F157" s="121">
        <f t="shared" si="40"/>
        <v>69402095.84841837</v>
      </c>
      <c r="G157" s="121">
        <f t="shared" si="41"/>
        <v>13839018.325487649</v>
      </c>
      <c r="H157" s="121">
        <f t="shared" si="42"/>
        <v>1901160.534183305</v>
      </c>
      <c r="I157" s="121">
        <f t="shared" si="43"/>
        <v>831668.07853027503</v>
      </c>
      <c r="J157" s="121">
        <f t="shared" si="44"/>
        <v>-508.78316159583386</v>
      </c>
      <c r="K157" s="121">
        <f t="shared" si="45"/>
        <v>12849.352832861156</v>
      </c>
      <c r="L157" s="121">
        <f t="shared" si="46"/>
        <v>1283768.2604257488</v>
      </c>
      <c r="M157" s="389">
        <f t="shared" si="47"/>
        <v>97646220.764493451</v>
      </c>
    </row>
    <row r="158" spans="1:13">
      <c r="A158" s="551">
        <f t="shared" si="48"/>
        <v>82</v>
      </c>
      <c r="B158" s="555" t="s">
        <v>4</v>
      </c>
      <c r="C158" s="248">
        <f>SUM(C146:C157)</f>
        <v>-1159133.5734141832</v>
      </c>
      <c r="D158" s="248">
        <f t="shared" ref="D158:L158" si="49">SUM(D146:D157)</f>
        <v>-620154.77028770745</v>
      </c>
      <c r="E158" s="248">
        <f t="shared" si="49"/>
        <v>29577972.743642569</v>
      </c>
      <c r="F158" s="248">
        <f t="shared" si="49"/>
        <v>117892993.96972966</v>
      </c>
      <c r="G158" s="248">
        <f t="shared" si="49"/>
        <v>44171376.935381897</v>
      </c>
      <c r="H158" s="248">
        <f t="shared" si="49"/>
        <v>37618973.003785528</v>
      </c>
      <c r="I158" s="248">
        <f t="shared" si="49"/>
        <v>7309723.9622845659</v>
      </c>
      <c r="J158" s="248">
        <f t="shared" si="49"/>
        <v>63303.418308734887</v>
      </c>
      <c r="K158" s="248">
        <f t="shared" si="49"/>
        <v>25211.402937144045</v>
      </c>
      <c r="L158" s="248">
        <f t="shared" si="49"/>
        <v>-17681529.153643578</v>
      </c>
      <c r="M158" s="248">
        <f>SUM(M146:M157)</f>
        <v>217198737.93872461</v>
      </c>
    </row>
    <row r="160" spans="1:13">
      <c r="B160" s="424" t="s">
        <v>256</v>
      </c>
    </row>
    <row r="161" spans="2:44">
      <c r="B161" s="517" t="s">
        <v>2212</v>
      </c>
      <c r="C161" s="14"/>
      <c r="D161" s="14"/>
      <c r="E161" s="14"/>
      <c r="F161" s="14"/>
      <c r="G161" s="14"/>
      <c r="H161" s="14"/>
      <c r="I161" s="14"/>
      <c r="J161" s="14"/>
      <c r="K161" s="14"/>
      <c r="L161" s="14"/>
    </row>
    <row r="162" spans="2:44">
      <c r="B162" s="1029" t="s">
        <v>2257</v>
      </c>
      <c r="C162" s="517"/>
      <c r="D162" s="517"/>
      <c r="E162" s="517"/>
      <c r="F162" s="517"/>
      <c r="G162" s="517"/>
      <c r="H162" s="517"/>
      <c r="I162" s="14"/>
      <c r="J162" s="517"/>
      <c r="K162" s="517"/>
      <c r="L162" s="517"/>
      <c r="M162" s="517"/>
      <c r="N162" s="515"/>
      <c r="O162" s="515"/>
      <c r="P162" s="515"/>
      <c r="Q162" s="515"/>
      <c r="R162" s="515"/>
      <c r="S162" s="515"/>
      <c r="T162" s="515"/>
      <c r="U162" s="515"/>
      <c r="V162" s="515"/>
      <c r="W162" s="515"/>
      <c r="X162" s="515"/>
      <c r="Y162" s="515"/>
      <c r="Z162" s="515"/>
      <c r="AA162" s="515"/>
      <c r="AB162" s="515"/>
      <c r="AC162" s="515"/>
      <c r="AD162" s="515"/>
      <c r="AE162" s="515"/>
      <c r="AF162" s="515"/>
      <c r="AG162" s="515"/>
      <c r="AH162" s="515"/>
      <c r="AI162" s="515"/>
      <c r="AJ162" s="515"/>
      <c r="AK162" s="515"/>
      <c r="AL162" s="515"/>
      <c r="AM162" s="515"/>
      <c r="AN162" s="515"/>
      <c r="AO162" s="515"/>
      <c r="AP162" s="515"/>
      <c r="AQ162" s="515"/>
      <c r="AR162" s="515"/>
    </row>
    <row r="163" spans="2:44">
      <c r="B163" s="14" t="s">
        <v>2213</v>
      </c>
      <c r="C163" s="14"/>
      <c r="D163" s="14"/>
      <c r="E163" s="14"/>
      <c r="F163" s="14"/>
      <c r="G163" s="14"/>
      <c r="H163" s="14"/>
      <c r="I163" s="14"/>
      <c r="J163" s="14"/>
      <c r="K163" s="14"/>
      <c r="L163" s="14"/>
      <c r="M163" s="14"/>
    </row>
    <row r="164" spans="2:44">
      <c r="B164" s="514" t="s">
        <v>2214</v>
      </c>
      <c r="C164" s="14"/>
      <c r="D164" s="14"/>
      <c r="E164" s="14"/>
      <c r="F164" s="14"/>
      <c r="G164" s="14"/>
      <c r="H164" s="14"/>
      <c r="I164" s="14"/>
      <c r="J164" s="14"/>
      <c r="K164" s="14"/>
      <c r="L164" s="14"/>
      <c r="M164" s="14"/>
    </row>
    <row r="165" spans="2:44">
      <c r="B165" s="514" t="s">
        <v>2216</v>
      </c>
      <c r="C165" s="14"/>
      <c r="D165" s="14"/>
      <c r="E165" s="14"/>
      <c r="F165" s="14"/>
      <c r="G165" s="14"/>
      <c r="H165" s="14"/>
      <c r="I165" s="14"/>
      <c r="J165" s="14"/>
      <c r="K165" s="14"/>
      <c r="L165" s="14"/>
      <c r="M165" s="14"/>
    </row>
    <row r="166" spans="2:44">
      <c r="B166" s="123" t="s">
        <v>2215</v>
      </c>
      <c r="C166" s="14"/>
      <c r="D166" s="14"/>
      <c r="E166" s="14"/>
      <c r="F166" s="14"/>
      <c r="G166" s="14"/>
      <c r="H166" s="14"/>
      <c r="I166" s="14"/>
      <c r="J166" s="14"/>
      <c r="K166" s="14"/>
      <c r="L166" s="14"/>
      <c r="M166" s="14"/>
    </row>
    <row r="167" spans="2:44">
      <c r="B167" s="517" t="s">
        <v>2217</v>
      </c>
      <c r="C167" s="14"/>
      <c r="D167" s="14"/>
      <c r="E167" s="14"/>
      <c r="F167" s="14"/>
      <c r="G167" s="14"/>
      <c r="H167" s="14"/>
      <c r="I167" s="14"/>
      <c r="J167" s="14"/>
      <c r="K167" s="14"/>
      <c r="L167" s="14"/>
      <c r="M167" s="14"/>
    </row>
    <row r="168" spans="2:44">
      <c r="B168" s="514" t="s">
        <v>2218</v>
      </c>
      <c r="C168" s="14"/>
      <c r="D168" s="14"/>
      <c r="E168" s="14"/>
      <c r="F168" s="14"/>
      <c r="G168" s="14"/>
      <c r="H168" s="14"/>
      <c r="I168" s="14"/>
      <c r="J168" s="14"/>
      <c r="K168" s="14"/>
      <c r="L168" s="14"/>
      <c r="M168" s="14"/>
    </row>
    <row r="169" spans="2:44">
      <c r="B169" s="514" t="s">
        <v>2219</v>
      </c>
      <c r="C169" s="14"/>
      <c r="D169" s="14"/>
      <c r="E169" s="14"/>
      <c r="F169" s="14"/>
      <c r="G169" s="14"/>
      <c r="H169" s="14"/>
      <c r="I169" s="14"/>
      <c r="J169" s="14"/>
      <c r="K169" s="14"/>
      <c r="L169" s="14"/>
      <c r="M169" s="14"/>
    </row>
    <row r="170" spans="2:44">
      <c r="B170" s="514" t="s">
        <v>2220</v>
      </c>
      <c r="C170" s="14"/>
      <c r="D170" s="14"/>
      <c r="E170" s="14"/>
      <c r="F170" s="14"/>
      <c r="G170" s="14"/>
      <c r="H170" s="14"/>
      <c r="I170" s="14"/>
      <c r="J170" s="14"/>
      <c r="K170" s="14"/>
      <c r="L170" s="14"/>
      <c r="M170" s="14"/>
    </row>
    <row r="171" spans="2:44">
      <c r="B171" s="517" t="str">
        <f>"2) Amounts on Line "&amp;A34&amp;" must match 6-Plant Study amounts for Distribution Plant - ISO for previous year."</f>
        <v>2) Amounts on Line 15 must match 6-Plant Study amounts for Distribution Plant - ISO for previous year.</v>
      </c>
      <c r="C171" s="14"/>
      <c r="D171" s="14"/>
      <c r="E171" s="14"/>
      <c r="F171" s="14"/>
      <c r="G171" s="14"/>
      <c r="H171" s="14"/>
      <c r="I171" s="14"/>
      <c r="J171" s="14"/>
      <c r="K171" s="14"/>
      <c r="L171" s="14"/>
    </row>
    <row r="172" spans="2:44">
      <c r="B172" s="514" t="str">
        <f>"Amounts on Line "&amp;A35&amp;" must match amounts on 6-PlantStudy for Distribution Plant - ISO."</f>
        <v>Amounts on Line 16 must match amounts on 6-PlantStudy for Distribution Plant - ISO.</v>
      </c>
      <c r="C172" s="14"/>
      <c r="D172" s="14"/>
      <c r="E172" s="14"/>
      <c r="F172" s="14"/>
      <c r="G172" s="14"/>
      <c r="H172" s="14"/>
      <c r="I172" s="14"/>
      <c r="J172" s="14"/>
      <c r="K172" s="14"/>
      <c r="L172" s="14"/>
    </row>
    <row r="173" spans="2:44">
      <c r="B173" s="517" t="s">
        <v>2507</v>
      </c>
      <c r="C173" s="14"/>
      <c r="D173" s="14"/>
      <c r="E173" s="14"/>
      <c r="F173" s="14"/>
      <c r="G173" s="14"/>
      <c r="H173" s="14"/>
      <c r="I173" s="14"/>
      <c r="J173" s="14"/>
      <c r="K173" s="14"/>
      <c r="L173" s="14"/>
    </row>
    <row r="174" spans="2:44">
      <c r="B174" s="14" t="str">
        <f>"4) Column 12 matches 'Activity for Incentive Projects' on 14-IncentivePlant, Lines "&amp;'14-IncentivePlant'!A95&amp;" to "&amp;'14-IncentivePlant'!A108&amp;".  Other columns from SCE internal accounting records."</f>
        <v>4) Column 12 matches 'Activity for Incentive Projects' on 14-IncentivePlant, Lines 40 to 53.  Other columns from SCE internal accounting records.</v>
      </c>
      <c r="C174" s="14"/>
      <c r="D174" s="14"/>
      <c r="E174" s="14"/>
      <c r="F174" s="14"/>
      <c r="G174" s="14"/>
      <c r="H174" s="14"/>
      <c r="I174" s="14"/>
      <c r="J174" s="14"/>
      <c r="K174" s="14"/>
      <c r="L174" s="14"/>
    </row>
    <row r="175" spans="2:44">
      <c r="B175" s="517" t="str">
        <f>"5) Amount in matrix on lines "&amp;A74&amp;" to "&amp;A85&amp;" minus amount in matrix on lines "&amp;A94&amp;" to "&amp;A105&amp;""</f>
        <v>5) Amount in matrix on lines 28 to 39 minus amount in matrix on lines 41 to 52</v>
      </c>
      <c r="C175" s="14"/>
      <c r="D175" s="14"/>
      <c r="E175" s="14"/>
      <c r="F175" s="14"/>
      <c r="G175" s="14"/>
      <c r="H175" s="14"/>
      <c r="I175" s="14"/>
      <c r="J175" s="14"/>
      <c r="K175" s="14"/>
      <c r="L175" s="14"/>
    </row>
    <row r="176" spans="2:44">
      <c r="B176" s="14" t="str">
        <f>"6) Amount on Line "&amp;A23&amp;" less amount on Line "&amp;A11&amp;" for each account."</f>
        <v>6) Amount on Line 13 less amount on Line 1 for each account.</v>
      </c>
      <c r="C176" s="14"/>
      <c r="D176" s="14"/>
      <c r="E176" s="14"/>
      <c r="F176" s="14"/>
      <c r="G176" s="14"/>
      <c r="H176" s="14"/>
      <c r="I176" s="14"/>
      <c r="J176" s="14"/>
      <c r="K176" s="14"/>
      <c r="L176" s="14"/>
    </row>
    <row r="177" spans="2:12">
      <c r="B177" s="14" t="str">
        <f>"7) Line "&amp;A106&amp;""</f>
        <v>7) Line 53</v>
      </c>
      <c r="C177" s="14"/>
      <c r="D177" s="14"/>
      <c r="E177" s="14"/>
      <c r="F177" s="14"/>
      <c r="G177" s="14"/>
      <c r="H177" s="14"/>
      <c r="I177" s="14"/>
      <c r="J177" s="14"/>
      <c r="K177" s="14"/>
      <c r="L177" s="14"/>
    </row>
    <row r="178" spans="2:12">
      <c r="B178" s="14" t="str">
        <f>"8) Amount on Line "&amp;A131&amp;" less amount on Line "&amp;A135&amp;" for each account."</f>
        <v>8) Amount on Line 67 less amount on Line 68 for each account.</v>
      </c>
      <c r="C178" s="14"/>
      <c r="D178" s="14"/>
      <c r="E178" s="14"/>
      <c r="F178" s="14"/>
      <c r="G178" s="14"/>
      <c r="H178" s="14"/>
      <c r="I178" s="14"/>
      <c r="J178" s="14"/>
      <c r="K178" s="14"/>
      <c r="L178" s="14"/>
    </row>
    <row r="179" spans="2:12">
      <c r="B179" s="517" t="str">
        <f>"9) For each column (FERC Account) divide Line "&amp;A139&amp;" by Line "&amp;A126&amp;" to arrive at a ratio for each column."</f>
        <v>9) For each column (FERC Account) divide Line 69 by Line 66 to arrive at a ratio for each column.</v>
      </c>
      <c r="C179" s="14"/>
      <c r="D179" s="14"/>
      <c r="E179" s="14"/>
      <c r="F179" s="14"/>
      <c r="G179" s="14"/>
      <c r="H179" s="14"/>
      <c r="I179" s="14"/>
      <c r="J179" s="14"/>
      <c r="K179" s="14"/>
      <c r="L179" s="14"/>
    </row>
    <row r="180" spans="2:12">
      <c r="B180" s="517" t="str">
        <f>"Apply the ratio of each column to each monthly value from Lines "&amp;A114&amp;"-"&amp;A125&amp;" to calculate the values for"</f>
        <v>Apply the ratio of each column to each monthly value from Lines 54-65 to calculate the values for</v>
      </c>
      <c r="C180" s="14"/>
      <c r="D180" s="14"/>
      <c r="E180" s="14"/>
      <c r="F180" s="14"/>
      <c r="G180" s="14"/>
      <c r="H180" s="14"/>
      <c r="I180" s="14"/>
      <c r="J180" s="14"/>
      <c r="K180" s="14"/>
      <c r="L180" s="14"/>
    </row>
    <row r="181" spans="2:12">
      <c r="B181" s="517" t="str">
        <f>"the corresponsing months listed in Lines "&amp;A146&amp;"-"&amp;A157&amp;"."</f>
        <v>the corresponsing months listed in Lines 70-81.</v>
      </c>
      <c r="C181" s="14"/>
      <c r="D181" s="14"/>
      <c r="E181" s="14"/>
      <c r="F181" s="14"/>
      <c r="G181" s="14"/>
      <c r="H181" s="14"/>
      <c r="I181" s="14"/>
      <c r="J181" s="14"/>
      <c r="K181" s="14"/>
      <c r="L181" s="14"/>
    </row>
    <row r="182" spans="2:12">
      <c r="B182" s="14"/>
      <c r="C182" s="14"/>
      <c r="D182" s="14"/>
      <c r="E182" s="14"/>
      <c r="F182" s="14"/>
      <c r="G182" s="14"/>
      <c r="H182" s="14"/>
      <c r="I182" s="14"/>
      <c r="J182" s="14"/>
      <c r="K182" s="14"/>
      <c r="L182" s="14"/>
    </row>
  </sheetData>
  <phoneticPr fontId="23" type="noConversion"/>
  <pageMargins left="0.75" right="0.75" top="1" bottom="1" header="0.5" footer="0.5"/>
  <pageSetup scale="70" orientation="landscape" cellComments="asDisplayed" r:id="rId1"/>
  <headerFooter alignWithMargins="0">
    <oddHeader>&amp;CSchedule 6
Plant In Service
&amp;RTO2019 Draft Annual Update
Attachment 5
TO13 True Up TRR</oddHeader>
    <oddFooter>&amp;R&amp;A</oddFooter>
  </headerFooter>
  <rowBreaks count="3" manualBreakCount="3">
    <brk id="37" max="16383" man="1"/>
    <brk id="87" max="16383" man="1"/>
    <brk id="12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36" customWidth="1"/>
    <col min="3" max="5" width="15.7109375" style="136" customWidth="1"/>
    <col min="6" max="6" width="12.28515625" style="136" customWidth="1"/>
    <col min="8" max="8" width="15.5703125" customWidth="1"/>
  </cols>
  <sheetData>
    <row r="1" spans="1:8">
      <c r="A1" s="1" t="s">
        <v>474</v>
      </c>
      <c r="B1" s="183"/>
      <c r="C1" s="183"/>
      <c r="D1" s="183"/>
      <c r="E1" s="184" t="s">
        <v>494</v>
      </c>
      <c r="F1" s="198"/>
      <c r="G1" s="12"/>
    </row>
    <row r="2" spans="1:8">
      <c r="B2" s="183"/>
      <c r="C2" s="183"/>
      <c r="G2" s="12"/>
    </row>
    <row r="3" spans="1:8">
      <c r="A3" s="1030" t="s">
        <v>1963</v>
      </c>
      <c r="B3" s="1031"/>
      <c r="C3" s="1031"/>
      <c r="D3" s="1031"/>
      <c r="E3" s="1032" t="s">
        <v>1958</v>
      </c>
      <c r="F3" s="184">
        <v>2017</v>
      </c>
      <c r="G3" s="12"/>
    </row>
    <row r="4" spans="1:8">
      <c r="A4" s="181"/>
      <c r="B4" s="183"/>
      <c r="C4" s="183"/>
      <c r="D4" s="183"/>
      <c r="E4" s="183"/>
      <c r="F4" s="183"/>
      <c r="G4" s="12"/>
    </row>
    <row r="5" spans="1:8">
      <c r="B5" s="181"/>
      <c r="C5" s="91" t="s">
        <v>391</v>
      </c>
      <c r="E5" s="91" t="s">
        <v>375</v>
      </c>
      <c r="F5" s="91" t="s">
        <v>376</v>
      </c>
      <c r="G5" s="12"/>
    </row>
    <row r="6" spans="1:8">
      <c r="B6" s="181"/>
      <c r="C6" s="91"/>
      <c r="E6" s="91"/>
      <c r="F6" s="91"/>
      <c r="G6" s="12"/>
    </row>
    <row r="7" spans="1:8">
      <c r="A7" s="53" t="s">
        <v>360</v>
      </c>
      <c r="B7" s="181"/>
      <c r="C7" s="182" t="s">
        <v>215</v>
      </c>
      <c r="D7" s="182"/>
      <c r="E7" s="182" t="s">
        <v>1243</v>
      </c>
      <c r="F7" s="182" t="s">
        <v>476</v>
      </c>
      <c r="G7" s="12"/>
    </row>
    <row r="8" spans="1:8">
      <c r="A8" s="2">
        <v>1</v>
      </c>
      <c r="B8" s="174" t="s">
        <v>110</v>
      </c>
      <c r="C8" s="174" t="s">
        <v>411</v>
      </c>
      <c r="D8" s="174" t="s">
        <v>480</v>
      </c>
      <c r="E8" s="174" t="s">
        <v>1244</v>
      </c>
      <c r="F8" s="174" t="s">
        <v>477</v>
      </c>
      <c r="G8" s="185" t="s">
        <v>187</v>
      </c>
    </row>
    <row r="9" spans="1:8" ht="12.75" customHeight="1">
      <c r="A9" s="2">
        <f>A8+1</f>
        <v>2</v>
      </c>
      <c r="B9" s="175" t="s">
        <v>470</v>
      </c>
      <c r="C9" s="186"/>
      <c r="D9" s="186"/>
      <c r="E9" s="186"/>
      <c r="F9" s="187"/>
      <c r="G9" s="12"/>
    </row>
    <row r="10" spans="1:8">
      <c r="A10" s="2">
        <f t="shared" ref="A10:A28" si="0">A9+1</f>
        <v>3</v>
      </c>
      <c r="B10" s="1304">
        <v>352</v>
      </c>
      <c r="C10" s="188">
        <v>879621910</v>
      </c>
      <c r="D10" s="168" t="s">
        <v>481</v>
      </c>
      <c r="E10" s="1134">
        <v>569698022.82553017</v>
      </c>
      <c r="F10" s="170">
        <f>E10/C10</f>
        <v>0.64766238351831207</v>
      </c>
      <c r="G10" s="12"/>
      <c r="H10" s="1133"/>
    </row>
    <row r="11" spans="1:8">
      <c r="A11" s="2">
        <f t="shared" si="0"/>
        <v>4</v>
      </c>
      <c r="B11" s="1304">
        <v>353</v>
      </c>
      <c r="C11" s="126">
        <v>5902949228</v>
      </c>
      <c r="D11" s="168" t="s">
        <v>482</v>
      </c>
      <c r="E11" s="126">
        <v>3409447773.6593328</v>
      </c>
      <c r="F11" s="171">
        <f>E11/C11</f>
        <v>0.57758378769158081</v>
      </c>
      <c r="G11" s="12"/>
      <c r="H11" s="515"/>
    </row>
    <row r="12" spans="1:8">
      <c r="A12" s="2">
        <f t="shared" si="0"/>
        <v>5</v>
      </c>
      <c r="B12" s="178" t="s">
        <v>465</v>
      </c>
      <c r="C12" s="166">
        <f>SUM(C10:C11)</f>
        <v>6782571138</v>
      </c>
      <c r="D12" s="13" t="str">
        <f>"L "&amp;A10&amp;" + L "&amp;A11&amp;""</f>
        <v>L 3 + L 4</v>
      </c>
      <c r="E12" s="166">
        <f>SUM(E10:E11)</f>
        <v>3979145796.4848628</v>
      </c>
      <c r="F12" s="170">
        <f>E12/C12</f>
        <v>0.58667218013996492</v>
      </c>
      <c r="G12" s="12"/>
    </row>
    <row r="13" spans="1:8">
      <c r="A13" s="2">
        <f t="shared" si="0"/>
        <v>6</v>
      </c>
      <c r="B13" s="189"/>
      <c r="C13" s="190"/>
      <c r="D13" s="190"/>
      <c r="E13" s="190"/>
      <c r="F13" s="170"/>
      <c r="G13" s="12"/>
    </row>
    <row r="14" spans="1:8">
      <c r="A14" s="2">
        <f t="shared" si="0"/>
        <v>7</v>
      </c>
      <c r="B14" s="177" t="s">
        <v>466</v>
      </c>
      <c r="C14" s="191"/>
      <c r="D14" s="191"/>
      <c r="E14" s="191"/>
      <c r="F14" s="192"/>
      <c r="G14" s="12"/>
    </row>
    <row r="15" spans="1:8">
      <c r="A15" s="2">
        <f t="shared" si="0"/>
        <v>8</v>
      </c>
      <c r="B15" s="1304">
        <v>350</v>
      </c>
      <c r="C15" s="802">
        <v>343195020</v>
      </c>
      <c r="D15" s="168" t="s">
        <v>483</v>
      </c>
      <c r="E15" s="802">
        <v>252777320.81821257</v>
      </c>
      <c r="F15" s="170">
        <f>E15/C15</f>
        <v>0.73654134264014837</v>
      </c>
      <c r="G15" s="12"/>
      <c r="H15" s="515"/>
    </row>
    <row r="16" spans="1:8">
      <c r="A16" s="2">
        <f t="shared" si="0"/>
        <v>9</v>
      </c>
      <c r="B16" s="176"/>
      <c r="C16" s="166"/>
      <c r="D16" s="166"/>
      <c r="E16" s="166"/>
      <c r="F16" s="170"/>
      <c r="G16" s="12"/>
    </row>
    <row r="17" spans="1:8">
      <c r="A17" s="2">
        <f t="shared" si="0"/>
        <v>10</v>
      </c>
      <c r="B17" s="177" t="s">
        <v>467</v>
      </c>
      <c r="C17" s="166">
        <f>C12+C15</f>
        <v>7125766158</v>
      </c>
      <c r="D17" s="13" t="str">
        <f>"L "&amp;A12&amp;" + L "&amp;A15&amp;""</f>
        <v>L 5 + L 8</v>
      </c>
      <c r="E17" s="166">
        <f>E12+E15</f>
        <v>4231923117.3030753</v>
      </c>
      <c r="F17" s="170">
        <f>E17/C17</f>
        <v>0.59389026014444124</v>
      </c>
      <c r="G17" s="12"/>
    </row>
    <row r="18" spans="1:8">
      <c r="A18" s="2">
        <f t="shared" si="0"/>
        <v>11</v>
      </c>
      <c r="B18" s="189"/>
      <c r="C18" s="190"/>
      <c r="D18" s="190"/>
      <c r="E18" s="190"/>
      <c r="F18" s="170"/>
      <c r="G18" s="12"/>
    </row>
    <row r="19" spans="1:8">
      <c r="A19" s="2">
        <f t="shared" si="0"/>
        <v>12</v>
      </c>
      <c r="B19" s="177" t="s">
        <v>468</v>
      </c>
      <c r="C19" s="190"/>
      <c r="D19" s="190"/>
      <c r="E19" s="190"/>
      <c r="F19" s="170"/>
      <c r="G19" s="12"/>
    </row>
    <row r="20" spans="1:8">
      <c r="A20" s="2">
        <f t="shared" si="0"/>
        <v>13</v>
      </c>
      <c r="B20" s="1304">
        <v>354</v>
      </c>
      <c r="C20" s="811">
        <v>2343145352</v>
      </c>
      <c r="D20" s="168" t="s">
        <v>484</v>
      </c>
      <c r="E20" s="811">
        <v>2283380921.6603918</v>
      </c>
      <c r="F20" s="193">
        <f>E20/C20</f>
        <v>0.97449392958546255</v>
      </c>
      <c r="G20" s="12"/>
      <c r="H20" s="515"/>
    </row>
    <row r="21" spans="1:8">
      <c r="A21" s="2">
        <f t="shared" si="0"/>
        <v>14</v>
      </c>
      <c r="B21" s="1304">
        <v>355</v>
      </c>
      <c r="C21" s="811">
        <v>1292702467</v>
      </c>
      <c r="D21" s="168" t="s">
        <v>485</v>
      </c>
      <c r="E21" s="811">
        <v>364424080.39844126</v>
      </c>
      <c r="F21" s="193">
        <f t="shared" ref="F21:F26" si="1">E21/C21</f>
        <v>0.28190870652870909</v>
      </c>
      <c r="G21" s="12"/>
      <c r="H21" s="515"/>
    </row>
    <row r="22" spans="1:8">
      <c r="A22" s="2">
        <f t="shared" si="0"/>
        <v>15</v>
      </c>
      <c r="B22" s="1304">
        <v>356</v>
      </c>
      <c r="C22" s="811">
        <v>1524531167</v>
      </c>
      <c r="D22" s="168" t="s">
        <v>486</v>
      </c>
      <c r="E22" s="811">
        <v>1245933686.1010468</v>
      </c>
      <c r="F22" s="193">
        <f t="shared" si="1"/>
        <v>0.81725694631275903</v>
      </c>
      <c r="G22" s="12"/>
      <c r="H22" s="515"/>
    </row>
    <row r="23" spans="1:8">
      <c r="A23" s="2">
        <f t="shared" si="0"/>
        <v>16</v>
      </c>
      <c r="B23" s="1304">
        <v>357</v>
      </c>
      <c r="C23" s="811">
        <v>256348021</v>
      </c>
      <c r="D23" s="168" t="s">
        <v>487</v>
      </c>
      <c r="E23" s="811">
        <v>190222488.72271055</v>
      </c>
      <c r="F23" s="193">
        <f t="shared" si="1"/>
        <v>0.74204781445420465</v>
      </c>
      <c r="G23" s="12"/>
      <c r="H23" s="515"/>
    </row>
    <row r="24" spans="1:8">
      <c r="A24" s="2">
        <f t="shared" si="0"/>
        <v>17</v>
      </c>
      <c r="B24" s="1304">
        <v>358</v>
      </c>
      <c r="C24" s="811">
        <v>376710004</v>
      </c>
      <c r="D24" s="168" t="s">
        <v>488</v>
      </c>
      <c r="E24" s="811">
        <v>84920373.966592565</v>
      </c>
      <c r="F24" s="193">
        <f t="shared" si="1"/>
        <v>0.22542638386261854</v>
      </c>
      <c r="G24" s="12"/>
      <c r="H24" s="515"/>
    </row>
    <row r="25" spans="1:8">
      <c r="A25" s="2">
        <f t="shared" si="0"/>
        <v>18</v>
      </c>
      <c r="B25" s="1304">
        <v>359</v>
      </c>
      <c r="C25" s="194">
        <v>193773411</v>
      </c>
      <c r="D25" s="168" t="s">
        <v>489</v>
      </c>
      <c r="E25" s="194">
        <v>172640884.93140152</v>
      </c>
      <c r="F25" s="195">
        <f t="shared" si="1"/>
        <v>0.89094207528504266</v>
      </c>
      <c r="G25" s="12"/>
      <c r="H25" s="515"/>
    </row>
    <row r="26" spans="1:8">
      <c r="A26" s="2">
        <f t="shared" si="0"/>
        <v>19</v>
      </c>
      <c r="B26" s="178" t="s">
        <v>469</v>
      </c>
      <c r="C26" s="166">
        <f>SUM(C20:C25)</f>
        <v>5987210422</v>
      </c>
      <c r="D26" s="169" t="str">
        <f>"Sum L"&amp;A20&amp;" to L"&amp;A25&amp;""</f>
        <v>Sum L13 to L18</v>
      </c>
      <c r="E26" s="166">
        <f>SUM(E20:E25)</f>
        <v>4341522435.7805843</v>
      </c>
      <c r="F26" s="170">
        <f t="shared" si="1"/>
        <v>0.72513276296882156</v>
      </c>
      <c r="G26" s="12"/>
    </row>
    <row r="27" spans="1:8">
      <c r="A27" s="2">
        <f t="shared" si="0"/>
        <v>20</v>
      </c>
      <c r="B27" s="196"/>
      <c r="C27" s="166"/>
      <c r="D27" s="166"/>
      <c r="E27" s="166"/>
      <c r="F27" s="170"/>
      <c r="G27" s="12"/>
    </row>
    <row r="28" spans="1:8">
      <c r="A28" s="2">
        <f t="shared" si="0"/>
        <v>21</v>
      </c>
      <c r="B28" s="197" t="s">
        <v>479</v>
      </c>
      <c r="C28" s="172">
        <f>C17+C26</f>
        <v>13112976580</v>
      </c>
      <c r="D28" s="13" t="str">
        <f>"L "&amp;A17&amp;" + L "&amp;A26&amp;""</f>
        <v>L 10 + L 19</v>
      </c>
      <c r="E28" s="172">
        <f>E17+E26</f>
        <v>8573445553.0836601</v>
      </c>
      <c r="F28" s="173">
        <f>E28/C28</f>
        <v>0.65381383858794784</v>
      </c>
      <c r="G28" s="12" t="s">
        <v>392</v>
      </c>
    </row>
    <row r="29" spans="1:8">
      <c r="A29" s="2"/>
      <c r="B29" s="141"/>
      <c r="C29" s="137"/>
      <c r="D29" s="137"/>
      <c r="E29" s="137"/>
      <c r="F29" s="140"/>
    </row>
    <row r="30" spans="1:8">
      <c r="A30" s="2"/>
      <c r="B30" s="138"/>
      <c r="C30" s="139"/>
      <c r="D30" s="139"/>
      <c r="E30" s="653"/>
      <c r="F30" s="139"/>
    </row>
    <row r="31" spans="1:8">
      <c r="A31" s="181" t="s">
        <v>478</v>
      </c>
      <c r="C31" s="139"/>
      <c r="D31" s="139"/>
      <c r="E31" s="139"/>
      <c r="F31" s="139"/>
    </row>
    <row r="32" spans="1:8">
      <c r="A32" s="2"/>
      <c r="B32" s="144"/>
      <c r="C32" s="139"/>
      <c r="D32" s="139"/>
      <c r="E32" s="139"/>
      <c r="F32" s="139"/>
    </row>
    <row r="33" spans="1:9">
      <c r="A33" s="53" t="s">
        <v>360</v>
      </c>
      <c r="B33" s="181"/>
      <c r="C33" s="182" t="s">
        <v>215</v>
      </c>
      <c r="D33" s="182"/>
      <c r="E33" s="182" t="s">
        <v>336</v>
      </c>
      <c r="F33" s="182" t="s">
        <v>476</v>
      </c>
    </row>
    <row r="34" spans="1:9">
      <c r="A34" s="2">
        <f>A28+1</f>
        <v>22</v>
      </c>
      <c r="B34" s="174" t="s">
        <v>110</v>
      </c>
      <c r="C34" s="174" t="s">
        <v>411</v>
      </c>
      <c r="D34" s="174" t="s">
        <v>480</v>
      </c>
      <c r="E34" s="174" t="s">
        <v>1244</v>
      </c>
      <c r="F34" s="174" t="s">
        <v>477</v>
      </c>
    </row>
    <row r="35" spans="1:9">
      <c r="A35" s="2">
        <f t="shared" ref="A35:A42" si="2">A34+1</f>
        <v>23</v>
      </c>
      <c r="B35" s="175" t="s">
        <v>471</v>
      </c>
      <c r="C35" s="137"/>
      <c r="D35" s="137"/>
      <c r="E35" s="137"/>
      <c r="F35" s="140"/>
    </row>
    <row r="36" spans="1:9">
      <c r="A36" s="2">
        <f t="shared" si="2"/>
        <v>24</v>
      </c>
      <c r="B36" s="1304">
        <v>360</v>
      </c>
      <c r="C36" s="802">
        <v>125242449</v>
      </c>
      <c r="D36" s="168" t="s">
        <v>490</v>
      </c>
      <c r="E36" s="1135">
        <v>0</v>
      </c>
      <c r="F36" s="170">
        <f>E36/C36</f>
        <v>0</v>
      </c>
      <c r="H36" s="515"/>
    </row>
    <row r="37" spans="1:9">
      <c r="A37" s="2">
        <f t="shared" si="2"/>
        <v>25</v>
      </c>
      <c r="B37" s="177" t="s">
        <v>472</v>
      </c>
      <c r="D37" s="166"/>
      <c r="E37" s="1351"/>
      <c r="F37" s="170"/>
    </row>
    <row r="38" spans="1:9">
      <c r="A38" s="2">
        <f t="shared" si="2"/>
        <v>26</v>
      </c>
      <c r="B38" s="1304">
        <v>361</v>
      </c>
      <c r="C38" s="802">
        <v>644469720</v>
      </c>
      <c r="D38" s="168" t="s">
        <v>491</v>
      </c>
      <c r="E38" s="802">
        <v>0</v>
      </c>
      <c r="F38" s="170">
        <f>E38/C39</f>
        <v>0</v>
      </c>
      <c r="H38" s="515"/>
    </row>
    <row r="39" spans="1:9">
      <c r="A39" s="2">
        <f t="shared" si="2"/>
        <v>27</v>
      </c>
      <c r="B39" s="1304">
        <v>362</v>
      </c>
      <c r="C39" s="167">
        <v>2539477720</v>
      </c>
      <c r="D39" s="168" t="s">
        <v>492</v>
      </c>
      <c r="E39" s="167">
        <v>0</v>
      </c>
      <c r="F39" s="171">
        <f>E39/C39</f>
        <v>0</v>
      </c>
      <c r="H39" s="515"/>
    </row>
    <row r="40" spans="1:9">
      <c r="A40" s="2">
        <f t="shared" si="2"/>
        <v>28</v>
      </c>
      <c r="B40" s="178" t="s">
        <v>473</v>
      </c>
      <c r="C40" s="166">
        <f>SUM(C38:C39)</f>
        <v>3183947440</v>
      </c>
      <c r="D40" s="13" t="str">
        <f>"L "&amp;A38&amp;" + L "&amp;A39&amp;""</f>
        <v>L 26 + L 27</v>
      </c>
      <c r="E40" s="166">
        <f>SUM(E38:E39)</f>
        <v>0</v>
      </c>
      <c r="F40" s="170">
        <f>E40/C40</f>
        <v>0</v>
      </c>
    </row>
    <row r="41" spans="1:9">
      <c r="A41" s="2">
        <f t="shared" si="2"/>
        <v>29</v>
      </c>
      <c r="B41" s="179"/>
      <c r="C41" s="148"/>
      <c r="D41" s="166"/>
      <c r="E41" s="166"/>
      <c r="F41" s="170"/>
    </row>
    <row r="42" spans="1:9">
      <c r="A42" s="2">
        <f t="shared" si="2"/>
        <v>30</v>
      </c>
      <c r="B42" s="180" t="s">
        <v>1353</v>
      </c>
      <c r="C42" s="172">
        <f>C36+C40</f>
        <v>3309189889</v>
      </c>
      <c r="D42" s="13" t="str">
        <f>"L "&amp;A36&amp;" + L "&amp;A40&amp;""</f>
        <v>L 24 + L 28</v>
      </c>
      <c r="E42" s="172">
        <f>E36+E40</f>
        <v>0</v>
      </c>
      <c r="F42" s="173">
        <f>E42/C42</f>
        <v>0</v>
      </c>
      <c r="G42" s="12" t="s">
        <v>393</v>
      </c>
      <c r="H42" s="12"/>
    </row>
    <row r="43" spans="1:9">
      <c r="A43" s="2"/>
      <c r="B43" s="145"/>
      <c r="C43" s="146"/>
      <c r="D43" s="146"/>
      <c r="E43" s="146"/>
      <c r="F43" s="147"/>
      <c r="H43" s="149"/>
      <c r="I43" s="12"/>
    </row>
    <row r="44" spans="1:9">
      <c r="A44" s="63"/>
      <c r="E44" s="142"/>
    </row>
    <row r="45" spans="1:9">
      <c r="A45" s="90" t="s">
        <v>256</v>
      </c>
    </row>
    <row r="46" spans="1:9">
      <c r="A46" s="13" t="s">
        <v>493</v>
      </c>
      <c r="E46" s="142"/>
    </row>
    <row r="47" spans="1:9">
      <c r="A47" s="13" t="s">
        <v>498</v>
      </c>
    </row>
    <row r="48" spans="1:9">
      <c r="A48" s="13" t="s">
        <v>495</v>
      </c>
      <c r="C48" s="142"/>
      <c r="D48" s="142"/>
    </row>
    <row r="49" spans="1:4">
      <c r="A49" s="13" t="s">
        <v>497</v>
      </c>
      <c r="C49" s="143"/>
      <c r="D49" s="143"/>
    </row>
    <row r="50" spans="1:4">
      <c r="A50" s="63"/>
      <c r="C50" s="142"/>
      <c r="D50" s="142"/>
    </row>
    <row r="51" spans="1:4">
      <c r="A51" s="90" t="s">
        <v>417</v>
      </c>
    </row>
    <row r="52" spans="1:4">
      <c r="A52" s="13" t="s">
        <v>496</v>
      </c>
    </row>
    <row r="53" spans="1:4">
      <c r="A53" s="13" t="s">
        <v>1602</v>
      </c>
    </row>
    <row r="54" spans="1:4">
      <c r="A54" s="519" t="s">
        <v>2475</v>
      </c>
    </row>
  </sheetData>
  <pageMargins left="0.7" right="0.7" top="0.75" bottom="0.75" header="0.3" footer="0.3"/>
  <pageSetup scale="90" orientation="portrait" cellComments="asDisplayed" r:id="rId1"/>
  <headerFooter>
    <oddHeader>&amp;CSchedule 7
Transmission Plant Study Summary
&amp;RTO2019 Draft Annual Update
Attachment 5
TO13 True Up TRR</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zoomScaleNormal="100" workbookViewId="0"/>
  </sheetViews>
  <sheetFormatPr defaultRowHeight="12.75"/>
  <cols>
    <col min="1" max="1" width="4.7109375" customWidth="1"/>
    <col min="2" max="2" width="7.7109375" customWidth="1"/>
    <col min="3" max="3" width="10.7109375" customWidth="1"/>
    <col min="4" max="4" width="13.7109375" customWidth="1"/>
    <col min="5" max="6" width="14.7109375" customWidth="1"/>
    <col min="7" max="10" width="13.7109375" customWidth="1"/>
    <col min="11" max="12" width="11.7109375" customWidth="1"/>
    <col min="13" max="13" width="13.7109375" customWidth="1"/>
    <col min="14" max="14" width="14.7109375" customWidth="1"/>
    <col min="15" max="15" width="13.7109375" style="14" customWidth="1"/>
    <col min="16" max="23" width="9.140625" style="14"/>
  </cols>
  <sheetData>
    <row r="1" spans="1:18">
      <c r="A1" s="1" t="s">
        <v>181</v>
      </c>
      <c r="B1" s="1"/>
      <c r="C1" s="246"/>
      <c r="D1" s="246"/>
      <c r="E1" s="246"/>
      <c r="F1" s="246"/>
      <c r="G1" s="246"/>
      <c r="H1" s="246"/>
      <c r="I1" s="246"/>
      <c r="J1" s="570" t="s">
        <v>494</v>
      </c>
      <c r="K1" s="198"/>
      <c r="L1" s="246"/>
      <c r="M1" s="246"/>
      <c r="N1" s="246"/>
      <c r="O1" s="256"/>
      <c r="P1" s="256"/>
      <c r="Q1" s="256"/>
      <c r="R1" s="256"/>
    </row>
    <row r="2" spans="1:18">
      <c r="A2" s="246"/>
      <c r="B2" s="246"/>
      <c r="C2" s="246"/>
      <c r="D2" s="246"/>
      <c r="E2" s="246"/>
      <c r="F2" s="246"/>
      <c r="G2" s="246"/>
      <c r="H2" s="246"/>
      <c r="I2" s="246"/>
      <c r="L2" s="246"/>
      <c r="M2" s="246"/>
      <c r="N2" s="246"/>
      <c r="O2" s="256"/>
      <c r="P2" s="256"/>
      <c r="Q2" s="256"/>
      <c r="R2" s="256"/>
    </row>
    <row r="3" spans="1:18">
      <c r="A3" s="246"/>
      <c r="B3" s="1" t="s">
        <v>358</v>
      </c>
      <c r="C3" s="246"/>
      <c r="D3" s="246"/>
      <c r="E3" s="246"/>
      <c r="F3" s="246"/>
      <c r="G3" s="1028" t="s">
        <v>1958</v>
      </c>
      <c r="H3" s="419">
        <v>2017</v>
      </c>
      <c r="I3" s="246"/>
      <c r="J3" s="246"/>
      <c r="K3" s="246"/>
      <c r="L3" s="246"/>
      <c r="M3" s="246"/>
      <c r="N3" s="246"/>
      <c r="O3" s="256"/>
      <c r="P3" s="256"/>
      <c r="Q3" s="256"/>
      <c r="R3" s="256"/>
    </row>
    <row r="4" spans="1:18">
      <c r="A4" s="246"/>
      <c r="B4" s="246"/>
      <c r="C4" s="246"/>
      <c r="D4" s="246"/>
      <c r="E4" s="246"/>
      <c r="F4" s="246"/>
      <c r="G4" s="246"/>
      <c r="H4" s="246"/>
      <c r="I4" s="246"/>
      <c r="J4" s="246"/>
      <c r="K4" s="246"/>
      <c r="L4" s="246"/>
      <c r="M4" s="246"/>
      <c r="N4" s="246"/>
      <c r="O4" s="256"/>
      <c r="P4" s="256"/>
      <c r="Q4" s="256"/>
      <c r="R4" s="256"/>
    </row>
    <row r="5" spans="1:18">
      <c r="A5" s="246"/>
      <c r="B5" s="246"/>
      <c r="C5" s="515" t="s">
        <v>1731</v>
      </c>
      <c r="D5" s="246"/>
      <c r="E5" s="246"/>
      <c r="F5" s="246"/>
      <c r="G5" s="246"/>
      <c r="H5" s="246"/>
      <c r="I5" s="246"/>
      <c r="J5" s="515"/>
      <c r="K5" s="246"/>
      <c r="L5" s="246"/>
      <c r="M5" s="246"/>
      <c r="N5" s="246"/>
      <c r="O5" s="256"/>
      <c r="P5" s="256"/>
      <c r="Q5" s="256"/>
      <c r="R5" s="256"/>
    </row>
    <row r="6" spans="1:18">
      <c r="A6" s="246"/>
      <c r="B6" s="246"/>
      <c r="C6" s="246"/>
      <c r="D6" s="246"/>
      <c r="E6" s="246"/>
      <c r="F6" s="246"/>
      <c r="G6" s="246"/>
      <c r="H6" s="246"/>
      <c r="I6" s="246"/>
      <c r="J6" s="246"/>
      <c r="K6" s="246"/>
      <c r="L6" s="246"/>
      <c r="M6" s="246"/>
      <c r="N6" s="246"/>
      <c r="O6" s="256"/>
      <c r="P6" s="256"/>
      <c r="Q6" s="256"/>
      <c r="R6" s="256"/>
    </row>
    <row r="7" spans="1:18">
      <c r="A7" s="246"/>
      <c r="B7" s="246"/>
      <c r="C7" s="91" t="s">
        <v>391</v>
      </c>
      <c r="D7" s="91" t="s">
        <v>375</v>
      </c>
      <c r="E7" s="91" t="s">
        <v>376</v>
      </c>
      <c r="F7" s="91" t="s">
        <v>377</v>
      </c>
      <c r="G7" s="91" t="s">
        <v>378</v>
      </c>
      <c r="H7" s="91" t="s">
        <v>379</v>
      </c>
      <c r="I7" s="91" t="s">
        <v>380</v>
      </c>
      <c r="J7" s="91" t="s">
        <v>593</v>
      </c>
      <c r="K7" s="91" t="s">
        <v>1040</v>
      </c>
      <c r="L7" s="91" t="s">
        <v>1056</v>
      </c>
      <c r="M7" s="91" t="s">
        <v>1059</v>
      </c>
      <c r="N7" s="91" t="s">
        <v>1077</v>
      </c>
      <c r="O7" s="256"/>
      <c r="P7" s="256"/>
      <c r="Q7" s="256"/>
      <c r="R7" s="256"/>
    </row>
    <row r="8" spans="1:18">
      <c r="A8" s="246"/>
      <c r="B8" s="246"/>
      <c r="C8" s="267"/>
      <c r="D8" s="246"/>
      <c r="E8" s="246"/>
      <c r="F8" s="246"/>
      <c r="G8" s="246"/>
      <c r="H8" s="246"/>
      <c r="I8" s="246"/>
      <c r="J8" s="246"/>
      <c r="K8" s="246"/>
      <c r="L8" s="246"/>
      <c r="M8" s="246"/>
      <c r="N8" s="491" t="s">
        <v>1866</v>
      </c>
      <c r="O8" s="256"/>
      <c r="P8" s="256"/>
      <c r="Q8" s="256"/>
      <c r="R8" s="256"/>
    </row>
    <row r="9" spans="1:18">
      <c r="A9" s="246"/>
      <c r="B9" s="246"/>
      <c r="C9" s="483"/>
      <c r="D9" s="571" t="s">
        <v>12</v>
      </c>
      <c r="E9" s="246"/>
      <c r="F9" s="246"/>
      <c r="G9" s="246"/>
      <c r="H9" s="246"/>
      <c r="I9" s="246"/>
      <c r="J9" s="246"/>
      <c r="K9" s="246"/>
      <c r="L9" s="246"/>
      <c r="M9" s="246"/>
      <c r="N9" s="246"/>
      <c r="O9" s="256"/>
      <c r="P9" s="256"/>
      <c r="Q9" s="256"/>
      <c r="R9" s="256"/>
    </row>
    <row r="10" spans="1:18">
      <c r="A10" s="246"/>
      <c r="B10" s="246"/>
      <c r="C10" s="120"/>
      <c r="D10" s="571" t="s">
        <v>1057</v>
      </c>
      <c r="E10" s="246"/>
      <c r="F10" s="246"/>
      <c r="G10" s="246"/>
      <c r="H10" s="246"/>
      <c r="I10" s="246"/>
      <c r="J10" s="246"/>
      <c r="K10" s="246"/>
      <c r="L10" s="246"/>
      <c r="M10" s="246"/>
      <c r="N10" s="246"/>
      <c r="O10" s="256"/>
      <c r="P10" s="256"/>
      <c r="Q10" s="256"/>
      <c r="R10" s="256"/>
    </row>
    <row r="11" spans="1:18" ht="12.75" customHeight="1">
      <c r="A11" s="53" t="s">
        <v>360</v>
      </c>
      <c r="B11" s="53"/>
      <c r="C11" s="134" t="s">
        <v>2006</v>
      </c>
      <c r="D11" s="91">
        <v>350.1</v>
      </c>
      <c r="E11" s="91">
        <v>350.2</v>
      </c>
      <c r="F11" s="91">
        <v>352</v>
      </c>
      <c r="G11" s="91">
        <v>353</v>
      </c>
      <c r="H11" s="91">
        <v>354</v>
      </c>
      <c r="I11" s="91">
        <v>355</v>
      </c>
      <c r="J11" s="91">
        <v>356</v>
      </c>
      <c r="K11" s="91">
        <v>357</v>
      </c>
      <c r="L11" s="91">
        <v>358</v>
      </c>
      <c r="M11" s="91">
        <v>359</v>
      </c>
      <c r="N11" s="3" t="s">
        <v>215</v>
      </c>
      <c r="O11" s="256"/>
      <c r="P11" s="256"/>
      <c r="Q11" s="256"/>
      <c r="R11" s="256"/>
    </row>
    <row r="12" spans="1:18" ht="12.75" customHeight="1">
      <c r="A12" s="551">
        <v>1</v>
      </c>
      <c r="B12" s="551"/>
      <c r="C12" s="1121" t="s">
        <v>2863</v>
      </c>
      <c r="D12" s="553">
        <v>0</v>
      </c>
      <c r="E12" s="553">
        <v>18079938.998426363</v>
      </c>
      <c r="F12" s="553">
        <v>72260282.663679585</v>
      </c>
      <c r="G12" s="553">
        <v>439653027.79319572</v>
      </c>
      <c r="H12" s="553">
        <v>465353601.53802383</v>
      </c>
      <c r="I12" s="553">
        <v>46058792.048423626</v>
      </c>
      <c r="J12" s="553">
        <v>407738326.31860054</v>
      </c>
      <c r="K12" s="553">
        <v>839658.64846191066</v>
      </c>
      <c r="L12" s="553">
        <v>2896107.6429296676</v>
      </c>
      <c r="M12" s="553">
        <v>14910822.350216078</v>
      </c>
      <c r="N12" s="248">
        <f>SUM(D12:M12)</f>
        <v>1467790558.0019572</v>
      </c>
      <c r="O12" s="256"/>
      <c r="P12" s="256"/>
      <c r="Q12" s="256"/>
      <c r="R12" s="256"/>
    </row>
    <row r="13" spans="1:18" ht="12.75" customHeight="1">
      <c r="A13" s="551">
        <f>A12+1</f>
        <v>2</v>
      </c>
      <c r="B13" s="551"/>
      <c r="C13" s="807" t="s">
        <v>2932</v>
      </c>
      <c r="D13" s="250">
        <v>0</v>
      </c>
      <c r="E13" s="250">
        <f t="shared" ref="E13:E23" si="0">E144+E91+E12</f>
        <v>18283074.409950785</v>
      </c>
      <c r="F13" s="250">
        <f t="shared" ref="F13:F23" si="1">F144+F91+F12</f>
        <v>73627072.690222651</v>
      </c>
      <c r="G13" s="250">
        <f t="shared" ref="G13:G23" si="2">G144+G91+G12</f>
        <v>446326174.85132235</v>
      </c>
      <c r="H13" s="250">
        <f t="shared" ref="H13:H23" si="3">H144+H91+H12</f>
        <v>469783097.10650742</v>
      </c>
      <c r="I13" s="250">
        <f t="shared" ref="I13:I23" si="4">I144+I91+I12</f>
        <v>46771080.569277771</v>
      </c>
      <c r="J13" s="250">
        <f t="shared" ref="J13:J23" si="5">J144+J91+J12</f>
        <v>411072224.82005233</v>
      </c>
      <c r="K13" s="250">
        <f t="shared" ref="K13:K23" si="6">K144+K91+K12</f>
        <v>1077877.997520084</v>
      </c>
      <c r="L13" s="250">
        <f t="shared" ref="L13:L23" si="7">L144+L91+L12</f>
        <v>3343627.3651621658</v>
      </c>
      <c r="M13" s="250">
        <f t="shared" ref="M13:M23" si="8">M144+M91+M12</f>
        <v>15147897.645356456</v>
      </c>
      <c r="N13" s="248">
        <f t="shared" ref="N13:N24" si="9">SUM(D13:M13)</f>
        <v>1485432127.4553719</v>
      </c>
      <c r="O13" s="256"/>
      <c r="P13" s="256"/>
      <c r="Q13" s="256"/>
      <c r="R13" s="256"/>
    </row>
    <row r="14" spans="1:18" ht="12.75" customHeight="1">
      <c r="A14" s="551">
        <f t="shared" ref="A14:A25" si="10">A13+1</f>
        <v>3</v>
      </c>
      <c r="B14" s="551"/>
      <c r="C14" s="806" t="s">
        <v>2933</v>
      </c>
      <c r="D14" s="250">
        <v>0</v>
      </c>
      <c r="E14" s="250">
        <f t="shared" si="0"/>
        <v>18491562.375210054</v>
      </c>
      <c r="F14" s="250">
        <f t="shared" si="1"/>
        <v>75140142.930927396</v>
      </c>
      <c r="G14" s="250">
        <f t="shared" si="2"/>
        <v>453003079.15780473</v>
      </c>
      <c r="H14" s="250">
        <f t="shared" si="3"/>
        <v>476560306.28777623</v>
      </c>
      <c r="I14" s="250">
        <f t="shared" si="4"/>
        <v>47636155.455254272</v>
      </c>
      <c r="J14" s="250">
        <f t="shared" si="5"/>
        <v>402185494.54356444</v>
      </c>
      <c r="K14" s="250">
        <f t="shared" si="6"/>
        <v>1311598.4678517887</v>
      </c>
      <c r="L14" s="250">
        <f t="shared" si="7"/>
        <v>3570987.3121263641</v>
      </c>
      <c r="M14" s="250">
        <f t="shared" si="8"/>
        <v>15359991.335384177</v>
      </c>
      <c r="N14" s="248">
        <f t="shared" si="9"/>
        <v>1493259317.8658996</v>
      </c>
      <c r="O14" s="256"/>
      <c r="P14" s="256"/>
      <c r="Q14" s="256"/>
      <c r="R14" s="256"/>
    </row>
    <row r="15" spans="1:18" ht="12.75" customHeight="1">
      <c r="A15" s="551">
        <f t="shared" si="10"/>
        <v>4</v>
      </c>
      <c r="B15" s="551"/>
      <c r="C15" s="806" t="s">
        <v>2934</v>
      </c>
      <c r="D15" s="250">
        <v>0</v>
      </c>
      <c r="E15" s="250">
        <f t="shared" si="0"/>
        <v>18700677.196388949</v>
      </c>
      <c r="F15" s="250">
        <f t="shared" si="1"/>
        <v>77454664.599281624</v>
      </c>
      <c r="G15" s="250">
        <f t="shared" si="2"/>
        <v>459647498.64067471</v>
      </c>
      <c r="H15" s="250">
        <f t="shared" si="3"/>
        <v>479223452.10188353</v>
      </c>
      <c r="I15" s="250">
        <f t="shared" si="4"/>
        <v>47811229.261169814</v>
      </c>
      <c r="J15" s="250">
        <f t="shared" si="5"/>
        <v>403962631.4812693</v>
      </c>
      <c r="K15" s="250">
        <f t="shared" si="6"/>
        <v>2161365.029190931</v>
      </c>
      <c r="L15" s="250">
        <f t="shared" si="7"/>
        <v>4982805.2087529991</v>
      </c>
      <c r="M15" s="250">
        <f t="shared" si="8"/>
        <v>15572879.018001089</v>
      </c>
      <c r="N15" s="248">
        <f t="shared" si="9"/>
        <v>1509517202.5366132</v>
      </c>
      <c r="O15" s="256"/>
      <c r="P15" s="256"/>
      <c r="Q15" s="256"/>
      <c r="R15" s="256"/>
    </row>
    <row r="16" spans="1:18" ht="12.75" customHeight="1">
      <c r="A16" s="551">
        <f t="shared" si="10"/>
        <v>5</v>
      </c>
      <c r="B16" s="551"/>
      <c r="C16" s="807" t="s">
        <v>2935</v>
      </c>
      <c r="D16" s="250">
        <v>0</v>
      </c>
      <c r="E16" s="250">
        <f t="shared" si="0"/>
        <v>18909667.731226407</v>
      </c>
      <c r="F16" s="250">
        <f t="shared" si="1"/>
        <v>78699445.88568157</v>
      </c>
      <c r="G16" s="250">
        <f t="shared" si="2"/>
        <v>466347420.94207615</v>
      </c>
      <c r="H16" s="250">
        <f t="shared" si="3"/>
        <v>483567401.71931058</v>
      </c>
      <c r="I16" s="250">
        <f t="shared" si="4"/>
        <v>48267189.338494368</v>
      </c>
      <c r="J16" s="250">
        <f t="shared" si="5"/>
        <v>407039636.59672302</v>
      </c>
      <c r="K16" s="250">
        <f t="shared" si="6"/>
        <v>2402701.3399775955</v>
      </c>
      <c r="L16" s="250">
        <f t="shared" si="7"/>
        <v>5263330.5499269972</v>
      </c>
      <c r="M16" s="250">
        <f t="shared" si="8"/>
        <v>15782988.480628785</v>
      </c>
      <c r="N16" s="248">
        <f t="shared" si="9"/>
        <v>1526279782.5840454</v>
      </c>
      <c r="O16" s="256"/>
      <c r="P16" s="256"/>
      <c r="Q16" s="256"/>
      <c r="R16" s="256"/>
    </row>
    <row r="17" spans="1:18" ht="12.75" customHeight="1">
      <c r="A17" s="551">
        <f t="shared" si="10"/>
        <v>6</v>
      </c>
      <c r="B17" s="551"/>
      <c r="C17" s="806" t="s">
        <v>2936</v>
      </c>
      <c r="D17" s="250">
        <v>0</v>
      </c>
      <c r="E17" s="250">
        <f t="shared" si="0"/>
        <v>19118620.07564646</v>
      </c>
      <c r="F17" s="250">
        <f t="shared" si="1"/>
        <v>80036363.737399995</v>
      </c>
      <c r="G17" s="250">
        <f t="shared" si="2"/>
        <v>473096344.52037412</v>
      </c>
      <c r="H17" s="250">
        <f t="shared" si="3"/>
        <v>485004798.05206043</v>
      </c>
      <c r="I17" s="250">
        <f t="shared" si="4"/>
        <v>47597525.196934588</v>
      </c>
      <c r="J17" s="250">
        <f t="shared" si="5"/>
        <v>407318599.3825748</v>
      </c>
      <c r="K17" s="250">
        <f t="shared" si="6"/>
        <v>2633858.6483167219</v>
      </c>
      <c r="L17" s="250">
        <f t="shared" si="7"/>
        <v>5506958.4352983506</v>
      </c>
      <c r="M17" s="250">
        <f t="shared" si="8"/>
        <v>15994174.041096589</v>
      </c>
      <c r="N17" s="248">
        <f t="shared" si="9"/>
        <v>1536307242.0897021</v>
      </c>
      <c r="O17" s="256"/>
      <c r="P17" s="256"/>
      <c r="Q17" s="256"/>
      <c r="R17" s="256"/>
    </row>
    <row r="18" spans="1:18" ht="12.75" customHeight="1">
      <c r="A18" s="551">
        <f t="shared" si="10"/>
        <v>7</v>
      </c>
      <c r="B18" s="551"/>
      <c r="C18" s="806" t="s">
        <v>2937</v>
      </c>
      <c r="D18" s="250">
        <v>0</v>
      </c>
      <c r="E18" s="250">
        <f t="shared" si="0"/>
        <v>19327524.934924394</v>
      </c>
      <c r="F18" s="250">
        <f t="shared" si="1"/>
        <v>81886320.264141396</v>
      </c>
      <c r="G18" s="250">
        <f t="shared" si="2"/>
        <v>479864477.19041979</v>
      </c>
      <c r="H18" s="250">
        <f t="shared" si="3"/>
        <v>480069077.79424375</v>
      </c>
      <c r="I18" s="250">
        <f t="shared" si="4"/>
        <v>49424852.711053334</v>
      </c>
      <c r="J18" s="250">
        <f t="shared" si="5"/>
        <v>407916407.56129134</v>
      </c>
      <c r="K18" s="250">
        <f t="shared" si="6"/>
        <v>2808958.6132304156</v>
      </c>
      <c r="L18" s="250">
        <f t="shared" si="7"/>
        <v>5656063.5397488456</v>
      </c>
      <c r="M18" s="250">
        <f t="shared" si="8"/>
        <v>16219697.368054364</v>
      </c>
      <c r="N18" s="248">
        <f t="shared" si="9"/>
        <v>1543173379.977108</v>
      </c>
      <c r="O18" s="256"/>
      <c r="P18" s="256"/>
      <c r="Q18" s="256"/>
      <c r="R18" s="256"/>
    </row>
    <row r="19" spans="1:18" ht="12.75" customHeight="1">
      <c r="A19" s="551">
        <f t="shared" si="10"/>
        <v>8</v>
      </c>
      <c r="B19" s="551"/>
      <c r="C19" s="807" t="s">
        <v>2938</v>
      </c>
      <c r="D19" s="250">
        <v>0</v>
      </c>
      <c r="E19" s="250">
        <f t="shared" si="0"/>
        <v>19535939.31771525</v>
      </c>
      <c r="F19" s="250">
        <f t="shared" si="1"/>
        <v>83209698.217631146</v>
      </c>
      <c r="G19" s="250">
        <f t="shared" si="2"/>
        <v>486678422.1880492</v>
      </c>
      <c r="H19" s="250">
        <f t="shared" si="3"/>
        <v>484602129.78047675</v>
      </c>
      <c r="I19" s="250">
        <f t="shared" si="4"/>
        <v>49566101.905318722</v>
      </c>
      <c r="J19" s="250">
        <f t="shared" si="5"/>
        <v>411148566.92279261</v>
      </c>
      <c r="K19" s="250">
        <f t="shared" si="6"/>
        <v>3043680.979743958</v>
      </c>
      <c r="L19" s="250">
        <f t="shared" si="7"/>
        <v>5912706.8683590489</v>
      </c>
      <c r="M19" s="250">
        <f t="shared" si="8"/>
        <v>16438961.843922794</v>
      </c>
      <c r="N19" s="248">
        <f t="shared" si="9"/>
        <v>1560136208.0240097</v>
      </c>
      <c r="O19" s="256"/>
      <c r="P19" s="256"/>
      <c r="Q19" s="256"/>
      <c r="R19" s="256"/>
    </row>
    <row r="20" spans="1:18" ht="12.75" customHeight="1">
      <c r="A20" s="551">
        <f t="shared" si="10"/>
        <v>9</v>
      </c>
      <c r="B20" s="551"/>
      <c r="C20" s="806" t="s">
        <v>2939</v>
      </c>
      <c r="D20" s="250">
        <v>0</v>
      </c>
      <c r="E20" s="250">
        <f t="shared" si="0"/>
        <v>19743388.578740194</v>
      </c>
      <c r="F20" s="250">
        <f t="shared" si="1"/>
        <v>84460036.791029483</v>
      </c>
      <c r="G20" s="250">
        <f t="shared" si="2"/>
        <v>493515293.20765096</v>
      </c>
      <c r="H20" s="250">
        <f t="shared" si="3"/>
        <v>488634545.79531443</v>
      </c>
      <c r="I20" s="250">
        <f t="shared" si="4"/>
        <v>50204820.364489891</v>
      </c>
      <c r="J20" s="250">
        <f t="shared" si="5"/>
        <v>414201933.5039587</v>
      </c>
      <c r="K20" s="250">
        <f t="shared" si="6"/>
        <v>3298126.7404027972</v>
      </c>
      <c r="L20" s="250">
        <f t="shared" si="7"/>
        <v>6201499.3508342719</v>
      </c>
      <c r="M20" s="250">
        <f t="shared" si="8"/>
        <v>16657071.332364535</v>
      </c>
      <c r="N20" s="248">
        <f t="shared" si="9"/>
        <v>1576916715.6647851</v>
      </c>
      <c r="O20" s="256"/>
      <c r="P20" s="256"/>
      <c r="Q20" s="256"/>
      <c r="R20" s="256"/>
    </row>
    <row r="21" spans="1:18" ht="12.75" customHeight="1">
      <c r="A21" s="551">
        <f t="shared" si="10"/>
        <v>10</v>
      </c>
      <c r="B21" s="551"/>
      <c r="C21" s="806" t="s">
        <v>2940</v>
      </c>
      <c r="D21" s="250">
        <v>0</v>
      </c>
      <c r="E21" s="250">
        <f t="shared" si="0"/>
        <v>19949988.222996626</v>
      </c>
      <c r="F21" s="250">
        <f t="shared" si="1"/>
        <v>87149817.090723664</v>
      </c>
      <c r="G21" s="250">
        <f t="shared" si="2"/>
        <v>500380751.10412252</v>
      </c>
      <c r="H21" s="250">
        <f t="shared" si="3"/>
        <v>496124235.29402435</v>
      </c>
      <c r="I21" s="250">
        <f t="shared" si="4"/>
        <v>45310593.076925673</v>
      </c>
      <c r="J21" s="250">
        <f t="shared" si="5"/>
        <v>414179541.90300149</v>
      </c>
      <c r="K21" s="250">
        <f t="shared" si="6"/>
        <v>3118476.9551363308</v>
      </c>
      <c r="L21" s="250">
        <f t="shared" si="7"/>
        <v>6331117.0684480099</v>
      </c>
      <c r="M21" s="250">
        <f t="shared" si="8"/>
        <v>16925640.361200709</v>
      </c>
      <c r="N21" s="248">
        <f t="shared" si="9"/>
        <v>1589470161.0765798</v>
      </c>
      <c r="O21" s="256"/>
      <c r="P21" s="256"/>
      <c r="Q21" s="256"/>
      <c r="R21" s="256"/>
    </row>
    <row r="22" spans="1:18" ht="12.75" customHeight="1">
      <c r="A22" s="551">
        <f t="shared" si="10"/>
        <v>11</v>
      </c>
      <c r="B22" s="551"/>
      <c r="C22" s="807" t="s">
        <v>2941</v>
      </c>
      <c r="D22" s="250">
        <v>0</v>
      </c>
      <c r="E22" s="250">
        <f t="shared" si="0"/>
        <v>20156605.145749789</v>
      </c>
      <c r="F22" s="250">
        <f t="shared" si="1"/>
        <v>88391524.529199556</v>
      </c>
      <c r="G22" s="250">
        <f t="shared" si="2"/>
        <v>507287056.90689486</v>
      </c>
      <c r="H22" s="250">
        <f t="shared" si="3"/>
        <v>500349205.03031373</v>
      </c>
      <c r="I22" s="250">
        <f t="shared" si="4"/>
        <v>46259391.526633874</v>
      </c>
      <c r="J22" s="250">
        <f t="shared" si="5"/>
        <v>416574500.36996233</v>
      </c>
      <c r="K22" s="250">
        <f t="shared" si="6"/>
        <v>3355895.0802641739</v>
      </c>
      <c r="L22" s="250">
        <f t="shared" si="7"/>
        <v>6557520.3382251989</v>
      </c>
      <c r="M22" s="250">
        <f t="shared" si="8"/>
        <v>17145720.416830435</v>
      </c>
      <c r="N22" s="248">
        <f t="shared" si="9"/>
        <v>1606077419.344074</v>
      </c>
      <c r="O22" s="256"/>
      <c r="P22" s="256"/>
      <c r="Q22" s="256"/>
      <c r="R22" s="256"/>
    </row>
    <row r="23" spans="1:18" ht="12.75" customHeight="1">
      <c r="A23" s="551">
        <f t="shared" si="10"/>
        <v>12</v>
      </c>
      <c r="B23" s="551"/>
      <c r="C23" s="807" t="s">
        <v>2942</v>
      </c>
      <c r="D23" s="250">
        <v>0</v>
      </c>
      <c r="E23" s="250">
        <f t="shared" si="0"/>
        <v>20363790.069113381</v>
      </c>
      <c r="F23" s="250">
        <f t="shared" si="1"/>
        <v>89640731.168409079</v>
      </c>
      <c r="G23" s="250">
        <f t="shared" si="2"/>
        <v>514150750.60707814</v>
      </c>
      <c r="H23" s="250">
        <f t="shared" si="3"/>
        <v>504670194.91693181</v>
      </c>
      <c r="I23" s="250">
        <f t="shared" si="4"/>
        <v>46878035.730770186</v>
      </c>
      <c r="J23" s="250">
        <f t="shared" si="5"/>
        <v>417410165.32326251</v>
      </c>
      <c r="K23" s="250">
        <f t="shared" si="6"/>
        <v>3589936.3438196182</v>
      </c>
      <c r="L23" s="250">
        <f t="shared" si="7"/>
        <v>6782544.0355923707</v>
      </c>
      <c r="M23" s="250">
        <f t="shared" si="8"/>
        <v>17366006.142752264</v>
      </c>
      <c r="N23" s="248">
        <f t="shared" si="9"/>
        <v>1620852154.337729</v>
      </c>
      <c r="O23" s="256"/>
      <c r="P23" s="256"/>
      <c r="Q23" s="256"/>
      <c r="R23" s="256"/>
    </row>
    <row r="24" spans="1:18">
      <c r="A24" s="551">
        <f t="shared" si="10"/>
        <v>13</v>
      </c>
      <c r="B24" s="551"/>
      <c r="C24" s="806" t="s">
        <v>2943</v>
      </c>
      <c r="D24" s="126">
        <v>0</v>
      </c>
      <c r="E24" s="126">
        <v>20570771.263630729</v>
      </c>
      <c r="F24" s="126">
        <v>90912859.780426696</v>
      </c>
      <c r="G24" s="126">
        <v>521029730.80537939</v>
      </c>
      <c r="H24" s="126">
        <v>508793022.97917277</v>
      </c>
      <c r="I24" s="126">
        <v>46422545.596403174</v>
      </c>
      <c r="J24" s="126">
        <v>417546824.75694561</v>
      </c>
      <c r="K24" s="126">
        <v>3830318.0792135773</v>
      </c>
      <c r="L24" s="126">
        <v>6981972.4030607948</v>
      </c>
      <c r="M24" s="126">
        <v>17589054.284521047</v>
      </c>
      <c r="N24" s="389">
        <f t="shared" si="9"/>
        <v>1633677099.9487538</v>
      </c>
      <c r="O24" s="256"/>
      <c r="P24" s="256"/>
      <c r="Q24" s="256"/>
      <c r="R24" s="256"/>
    </row>
    <row r="25" spans="1:18">
      <c r="A25" s="551">
        <f t="shared" si="10"/>
        <v>14</v>
      </c>
      <c r="B25" s="246"/>
      <c r="C25" s="555" t="s">
        <v>1311</v>
      </c>
      <c r="D25" s="248">
        <f t="shared" ref="D25:M25" si="11">AVERAGE(D12:D24)</f>
        <v>0</v>
      </c>
      <c r="E25" s="248">
        <f>AVERAGE(E12:E24)</f>
        <v>19325503.716901489</v>
      </c>
      <c r="F25" s="248">
        <f t="shared" si="11"/>
        <v>81759150.796057984</v>
      </c>
      <c r="G25" s="248">
        <f t="shared" si="11"/>
        <v>480075386.76269561</v>
      </c>
      <c r="H25" s="248">
        <f t="shared" si="11"/>
        <v>486364236.03046459</v>
      </c>
      <c r="I25" s="248">
        <f t="shared" si="11"/>
        <v>47554485.598549947</v>
      </c>
      <c r="J25" s="248">
        <f t="shared" si="11"/>
        <v>410638065.65261525</v>
      </c>
      <c r="K25" s="248">
        <f t="shared" si="11"/>
        <v>2574804.0710099926</v>
      </c>
      <c r="L25" s="248">
        <f t="shared" si="11"/>
        <v>5383633.8552665459</v>
      </c>
      <c r="M25" s="248">
        <f t="shared" si="11"/>
        <v>16239300.355409946</v>
      </c>
      <c r="N25" s="248">
        <f>AVERAGE(N12:N24)</f>
        <v>1549914566.8389716</v>
      </c>
      <c r="O25" s="256"/>
      <c r="P25" s="256"/>
      <c r="Q25" s="256"/>
      <c r="R25" s="256"/>
    </row>
    <row r="26" spans="1:18">
      <c r="A26" s="246"/>
      <c r="B26" s="246"/>
      <c r="C26" s="246"/>
      <c r="D26" s="246"/>
      <c r="E26" s="246"/>
      <c r="F26" s="246"/>
      <c r="G26" s="246"/>
      <c r="H26" s="246"/>
      <c r="I26" s="246"/>
      <c r="J26" s="246"/>
      <c r="K26" s="246"/>
      <c r="L26" s="246"/>
      <c r="M26" s="246"/>
      <c r="N26" s="246"/>
      <c r="O26" s="256"/>
      <c r="P26" s="256"/>
      <c r="Q26" s="256"/>
      <c r="R26" s="256"/>
    </row>
    <row r="27" spans="1:18">
      <c r="A27" s="246"/>
      <c r="B27" s="418" t="s">
        <v>1732</v>
      </c>
      <c r="C27" s="246"/>
      <c r="D27" s="246"/>
      <c r="E27" s="246"/>
      <c r="F27" s="246"/>
      <c r="G27" s="246"/>
      <c r="H27" s="246"/>
      <c r="I27" s="246"/>
      <c r="J27" s="246"/>
      <c r="K27" s="246"/>
      <c r="L27" s="246"/>
      <c r="M27" s="246"/>
      <c r="N27" s="246"/>
      <c r="O27" s="256"/>
      <c r="P27" s="256"/>
      <c r="Q27" s="256"/>
      <c r="R27" s="256"/>
    </row>
    <row r="28" spans="1:18">
      <c r="A28" s="246"/>
      <c r="B28" s="418"/>
      <c r="C28" s="246"/>
      <c r="D28" s="246"/>
      <c r="E28" s="246"/>
      <c r="F28" s="246"/>
      <c r="G28" s="246"/>
      <c r="H28" s="246"/>
      <c r="I28" s="246"/>
      <c r="J28" s="246"/>
      <c r="K28" s="246"/>
      <c r="L28" s="246"/>
      <c r="M28" s="246"/>
      <c r="N28" s="246"/>
      <c r="O28" s="256"/>
      <c r="P28" s="256"/>
      <c r="Q28" s="256"/>
      <c r="R28" s="256"/>
    </row>
    <row r="29" spans="1:18">
      <c r="A29" s="246"/>
      <c r="B29" s="246"/>
      <c r="C29" s="91" t="s">
        <v>391</v>
      </c>
      <c r="D29" s="91" t="s">
        <v>375</v>
      </c>
      <c r="E29" s="91" t="s">
        <v>376</v>
      </c>
      <c r="F29" s="91" t="s">
        <v>377</v>
      </c>
      <c r="G29" s="91" t="s">
        <v>378</v>
      </c>
      <c r="H29" s="246"/>
      <c r="I29" s="246"/>
      <c r="J29" s="246"/>
      <c r="K29" s="246"/>
      <c r="L29" s="246"/>
      <c r="M29" s="246"/>
      <c r="N29" s="246"/>
      <c r="O29" s="256"/>
      <c r="P29" s="256"/>
      <c r="Q29" s="256"/>
      <c r="R29" s="256"/>
    </row>
    <row r="30" spans="1:18">
      <c r="A30" s="246"/>
      <c r="B30" s="246"/>
      <c r="C30" s="246"/>
      <c r="D30" s="571" t="s">
        <v>12</v>
      </c>
      <c r="E30" s="246"/>
      <c r="F30" s="246"/>
      <c r="G30" s="491" t="s">
        <v>1865</v>
      </c>
      <c r="H30" s="246"/>
      <c r="I30" s="246"/>
      <c r="J30" s="246"/>
      <c r="K30" s="246"/>
      <c r="L30" s="246"/>
      <c r="M30" s="246"/>
      <c r="N30" s="246"/>
      <c r="O30" s="573"/>
      <c r="P30" s="256"/>
      <c r="Q30" s="256"/>
      <c r="R30" s="256"/>
    </row>
    <row r="31" spans="1:18">
      <c r="A31" s="246"/>
      <c r="B31" s="246"/>
      <c r="C31" s="246"/>
      <c r="D31" s="571" t="s">
        <v>1057</v>
      </c>
      <c r="E31" s="246"/>
      <c r="F31" s="246"/>
      <c r="G31" s="246"/>
      <c r="H31" s="246"/>
      <c r="I31" s="246"/>
      <c r="J31" s="246"/>
      <c r="K31" s="246"/>
      <c r="L31" s="246"/>
      <c r="M31" s="246"/>
      <c r="N31" s="246"/>
      <c r="O31" s="495"/>
      <c r="P31" s="256"/>
      <c r="Q31" s="256"/>
      <c r="R31" s="256"/>
    </row>
    <row r="32" spans="1:18">
      <c r="A32" s="246"/>
      <c r="B32" s="246"/>
      <c r="C32" s="134" t="s">
        <v>2006</v>
      </c>
      <c r="D32" s="91">
        <v>360</v>
      </c>
      <c r="E32" s="91">
        <v>361</v>
      </c>
      <c r="F32" s="91">
        <v>362</v>
      </c>
      <c r="G32" s="3" t="s">
        <v>215</v>
      </c>
      <c r="H32" s="1033" t="s">
        <v>187</v>
      </c>
      <c r="I32" s="256"/>
      <c r="J32" s="256"/>
      <c r="K32" s="246"/>
      <c r="L32" s="246"/>
      <c r="M32" s="246"/>
      <c r="N32" s="246"/>
      <c r="O32" s="495"/>
      <c r="P32" s="256"/>
      <c r="Q32" s="256"/>
      <c r="R32" s="256"/>
    </row>
    <row r="33" spans="1:18">
      <c r="A33" s="551">
        <f>A25+1</f>
        <v>15</v>
      </c>
      <c r="C33" s="806" t="s">
        <v>2863</v>
      </c>
      <c r="D33" s="1162">
        <v>0</v>
      </c>
      <c r="E33" s="1162">
        <v>0</v>
      </c>
      <c r="F33" s="1162">
        <v>0</v>
      </c>
      <c r="G33" s="248">
        <f>SUM(D33:F33)</f>
        <v>0</v>
      </c>
      <c r="H33" s="514" t="s">
        <v>2007</v>
      </c>
      <c r="I33" s="256"/>
      <c r="J33" s="256"/>
      <c r="K33" s="246"/>
      <c r="L33" s="246"/>
      <c r="M33" s="246"/>
      <c r="N33" s="246"/>
      <c r="O33" s="495"/>
      <c r="P33" s="256"/>
      <c r="Q33" s="256"/>
      <c r="R33" s="256"/>
    </row>
    <row r="34" spans="1:18">
      <c r="A34" s="551">
        <v>16</v>
      </c>
      <c r="C34" s="806" t="s">
        <v>2943</v>
      </c>
      <c r="D34" s="423">
        <v>0</v>
      </c>
      <c r="E34" s="423">
        <v>0</v>
      </c>
      <c r="F34" s="423">
        <v>0</v>
      </c>
      <c r="G34" s="389">
        <f>SUM(D34:F34)</f>
        <v>0</v>
      </c>
      <c r="H34" s="514" t="s">
        <v>100</v>
      </c>
      <c r="I34" s="256"/>
      <c r="J34" s="256"/>
      <c r="K34" s="246"/>
      <c r="L34" s="246"/>
      <c r="O34" s="495"/>
      <c r="P34" s="256"/>
      <c r="Q34" s="256"/>
      <c r="R34" s="256"/>
    </row>
    <row r="35" spans="1:18">
      <c r="A35" s="551">
        <f>A34+1</f>
        <v>17</v>
      </c>
      <c r="C35" s="247" t="s">
        <v>1488</v>
      </c>
      <c r="D35" s="248">
        <f>AVERAGE(D33:D34)</f>
        <v>0</v>
      </c>
      <c r="E35" s="248">
        <f>AVERAGE(E33:E34)</f>
        <v>0</v>
      </c>
      <c r="F35" s="248">
        <f>AVERAGE(F33:F34)</f>
        <v>0</v>
      </c>
      <c r="G35" s="248">
        <f>AVERAGE(G33:G34)</f>
        <v>0</v>
      </c>
      <c r="H35" s="265" t="str">
        <f>"Average of Line "&amp;A33&amp;" and Line "&amp;A34&amp;""</f>
        <v>Average of Line 15 and Line 16</v>
      </c>
      <c r="I35" s="246"/>
      <c r="J35" s="246"/>
      <c r="K35" s="246"/>
      <c r="M35" s="552"/>
      <c r="N35" s="528"/>
      <c r="O35" s="495"/>
      <c r="P35" s="256"/>
      <c r="Q35" s="256"/>
      <c r="R35" s="256"/>
    </row>
    <row r="36" spans="1:18">
      <c r="C36" s="247"/>
      <c r="I36" s="246"/>
      <c r="J36" s="246"/>
      <c r="K36" s="246"/>
      <c r="M36" s="563"/>
      <c r="N36" s="565"/>
      <c r="O36" s="495"/>
      <c r="P36" s="256"/>
      <c r="Q36" s="256"/>
      <c r="R36" s="256"/>
    </row>
    <row r="37" spans="1:18">
      <c r="B37" s="418" t="s">
        <v>1728</v>
      </c>
      <c r="I37" s="246"/>
      <c r="J37" s="246"/>
      <c r="K37" s="246"/>
      <c r="L37" s="246"/>
      <c r="M37" s="552"/>
      <c r="N37" s="565"/>
      <c r="O37" s="495"/>
      <c r="P37" s="256"/>
      <c r="Q37" s="256"/>
      <c r="R37" s="256"/>
    </row>
    <row r="38" spans="1:18" ht="15">
      <c r="B38" s="392"/>
      <c r="C38" s="380" t="s">
        <v>391</v>
      </c>
      <c r="D38" s="380" t="s">
        <v>375</v>
      </c>
      <c r="E38" s="380" t="s">
        <v>376</v>
      </c>
      <c r="F38" s="380" t="s">
        <v>377</v>
      </c>
      <c r="G38" s="380" t="s">
        <v>378</v>
      </c>
      <c r="J38" s="246"/>
      <c r="K38" s="249"/>
      <c r="L38" s="246"/>
      <c r="O38" s="256"/>
      <c r="P38" s="256"/>
      <c r="Q38" s="256"/>
      <c r="R38" s="256"/>
    </row>
    <row r="39" spans="1:18" ht="15">
      <c r="B39" s="392"/>
      <c r="C39" s="380"/>
      <c r="D39" s="380"/>
      <c r="E39" s="594" t="s">
        <v>2049</v>
      </c>
      <c r="F39" s="380"/>
      <c r="G39" s="380"/>
      <c r="J39" s="246"/>
      <c r="K39" s="249"/>
      <c r="L39" s="246"/>
      <c r="O39" s="256"/>
      <c r="P39" s="256"/>
      <c r="Q39" s="256"/>
      <c r="R39" s="256"/>
    </row>
    <row r="40" spans="1:18">
      <c r="C40" s="14"/>
      <c r="D40" s="14"/>
      <c r="E40" s="483" t="s">
        <v>215</v>
      </c>
      <c r="F40" s="14"/>
      <c r="G40" s="14"/>
      <c r="J40" s="246"/>
      <c r="K40" s="249"/>
      <c r="L40" s="246"/>
      <c r="O40" s="256"/>
      <c r="P40" s="256"/>
      <c r="Q40" s="256"/>
      <c r="R40" s="256"/>
    </row>
    <row r="41" spans="1:18">
      <c r="B41" s="246"/>
      <c r="C41" s="14"/>
      <c r="D41" s="256"/>
      <c r="E41" s="483" t="s">
        <v>2048</v>
      </c>
      <c r="F41" s="120" t="s">
        <v>1335</v>
      </c>
      <c r="G41" s="120" t="s">
        <v>1336</v>
      </c>
      <c r="J41" s="246"/>
      <c r="K41" s="249"/>
      <c r="L41" s="246"/>
      <c r="O41" s="256"/>
      <c r="P41" s="256"/>
      <c r="Q41" s="256"/>
      <c r="R41" s="256"/>
    </row>
    <row r="42" spans="1:18">
      <c r="B42" s="246"/>
      <c r="C42" s="14"/>
      <c r="D42" s="256"/>
      <c r="E42" s="483" t="s">
        <v>1489</v>
      </c>
      <c r="F42" s="483" t="s">
        <v>1489</v>
      </c>
      <c r="G42" s="483" t="s">
        <v>1489</v>
      </c>
      <c r="J42" s="246"/>
      <c r="K42" s="249"/>
      <c r="L42" s="246"/>
      <c r="Q42" s="256"/>
      <c r="R42" s="256"/>
    </row>
    <row r="43" spans="1:18">
      <c r="B43" s="246"/>
      <c r="C43" s="134" t="s">
        <v>2006</v>
      </c>
      <c r="D43" s="256"/>
      <c r="E43" s="484" t="s">
        <v>1490</v>
      </c>
      <c r="F43" s="484" t="s">
        <v>1490</v>
      </c>
      <c r="G43" s="484" t="s">
        <v>1490</v>
      </c>
      <c r="H43" s="424" t="s">
        <v>198</v>
      </c>
      <c r="J43" s="246"/>
      <c r="K43" s="390"/>
      <c r="L43" s="246"/>
      <c r="O43" s="256"/>
      <c r="P43" s="256"/>
      <c r="Q43" s="256"/>
      <c r="R43" s="256"/>
    </row>
    <row r="44" spans="1:18">
      <c r="A44" s="551">
        <f>A35+1</f>
        <v>18</v>
      </c>
      <c r="B44" s="246"/>
      <c r="C44" s="806" t="s">
        <v>2863</v>
      </c>
      <c r="D44" s="556" t="s">
        <v>1486</v>
      </c>
      <c r="E44" s="250">
        <f>SUM(F44:G44)</f>
        <v>1917414678</v>
      </c>
      <c r="F44" s="1162">
        <v>1073416375</v>
      </c>
      <c r="G44" s="660">
        <v>843998303</v>
      </c>
      <c r="H44" s="495" t="s">
        <v>2050</v>
      </c>
      <c r="I44" s="14"/>
      <c r="J44" s="256"/>
      <c r="L44" s="246"/>
      <c r="O44" s="256"/>
      <c r="P44" s="256"/>
      <c r="Q44" s="256"/>
      <c r="R44" s="256"/>
    </row>
    <row r="45" spans="1:18">
      <c r="A45" s="551">
        <f>A44+1</f>
        <v>19</v>
      </c>
      <c r="B45" s="246"/>
      <c r="C45" s="806" t="s">
        <v>2943</v>
      </c>
      <c r="D45" s="247" t="s">
        <v>1487</v>
      </c>
      <c r="E45" s="490">
        <f>SUM(F45:G45)</f>
        <v>1736829507</v>
      </c>
      <c r="F45" s="1162">
        <v>1094912964</v>
      </c>
      <c r="G45" s="660">
        <v>641916543</v>
      </c>
      <c r="H45" s="495" t="s">
        <v>2051</v>
      </c>
      <c r="I45" s="14"/>
      <c r="J45" s="256"/>
      <c r="K45" s="572"/>
      <c r="L45" s="246"/>
      <c r="O45" s="256"/>
      <c r="P45" s="256"/>
      <c r="Q45" s="256"/>
      <c r="R45" s="256"/>
    </row>
    <row r="46" spans="1:18">
      <c r="A46" s="551">
        <f>A45+1</f>
        <v>20</v>
      </c>
      <c r="B46" s="246"/>
      <c r="D46" s="247" t="s">
        <v>1488</v>
      </c>
      <c r="E46" s="248">
        <f>AVERAGE(E44:E45)</f>
        <v>1827122092.5</v>
      </c>
      <c r="H46" s="265" t="str">
        <f>"Average of Line "&amp;A44&amp;" and Line "&amp;A45&amp;""</f>
        <v>Average of Line 18 and Line 19</v>
      </c>
      <c r="J46" s="246"/>
      <c r="K46" s="572"/>
      <c r="L46" s="246"/>
      <c r="O46" s="256"/>
      <c r="P46" s="256"/>
      <c r="Q46" s="256"/>
      <c r="R46" s="256"/>
    </row>
    <row r="47" spans="1:18">
      <c r="I47" s="246"/>
      <c r="J47" s="246"/>
      <c r="K47" s="246"/>
      <c r="L47" s="246"/>
      <c r="O47" s="256"/>
      <c r="P47" s="256"/>
      <c r="Q47" s="256"/>
      <c r="R47" s="256"/>
    </row>
    <row r="48" spans="1:18">
      <c r="B48" s="1" t="s">
        <v>1491</v>
      </c>
      <c r="C48" s="22"/>
      <c r="D48" s="560"/>
      <c r="E48" s="246"/>
      <c r="F48" s="246"/>
      <c r="G48" s="246"/>
      <c r="H48" s="246"/>
      <c r="I48" s="246"/>
      <c r="J48" s="246"/>
      <c r="K48" s="246"/>
      <c r="L48" s="246"/>
      <c r="M48" s="246"/>
      <c r="N48" s="246"/>
      <c r="O48" s="256"/>
      <c r="P48" s="256"/>
      <c r="Q48" s="256"/>
      <c r="R48" s="256"/>
    </row>
    <row r="49" spans="1:18">
      <c r="B49" s="1"/>
      <c r="C49" s="22"/>
      <c r="D49" s="560"/>
      <c r="E49" s="246"/>
      <c r="F49" s="246"/>
      <c r="G49" s="246"/>
      <c r="H49" s="246"/>
      <c r="I49" s="246"/>
      <c r="J49" s="246"/>
      <c r="K49" s="246"/>
      <c r="L49" s="246"/>
      <c r="M49" s="246"/>
      <c r="N49" s="246"/>
      <c r="O49" s="256"/>
      <c r="P49" s="256"/>
      <c r="Q49" s="256"/>
      <c r="R49" s="256"/>
    </row>
    <row r="50" spans="1:18">
      <c r="B50" s="246"/>
      <c r="C50" s="1"/>
      <c r="D50" s="22"/>
      <c r="E50" s="560"/>
      <c r="F50" s="390" t="s">
        <v>194</v>
      </c>
      <c r="G50" s="424" t="s">
        <v>198</v>
      </c>
      <c r="H50" s="246"/>
      <c r="I50" s="246"/>
      <c r="J50" s="246"/>
      <c r="K50" s="246"/>
      <c r="L50" s="246"/>
      <c r="M50" s="246"/>
      <c r="N50" s="246"/>
      <c r="O50" s="256"/>
      <c r="P50" s="256"/>
      <c r="Q50" s="256"/>
      <c r="R50" s="256"/>
    </row>
    <row r="51" spans="1:18">
      <c r="A51" s="551">
        <f>A46+1</f>
        <v>21</v>
      </c>
      <c r="B51" s="246"/>
      <c r="C51" s="22"/>
      <c r="D51" s="22"/>
      <c r="E51" s="556" t="s">
        <v>1492</v>
      </c>
      <c r="F51" s="557">
        <f>E46</f>
        <v>1827122092.5</v>
      </c>
      <c r="G51" s="265" t="str">
        <f>"Line "&amp;A46&amp;""</f>
        <v>Line 20</v>
      </c>
      <c r="H51" s="246"/>
      <c r="I51" s="246"/>
      <c r="J51" s="246"/>
      <c r="K51" s="246"/>
      <c r="L51" s="246"/>
      <c r="M51" s="246"/>
      <c r="N51" s="246"/>
      <c r="O51" s="256"/>
      <c r="P51" s="256"/>
      <c r="Q51" s="256"/>
      <c r="R51" s="256"/>
    </row>
    <row r="52" spans="1:18">
      <c r="A52" s="551">
        <f>A51+1</f>
        <v>22</v>
      </c>
      <c r="B52" s="246"/>
      <c r="C52" s="22"/>
      <c r="D52" s="22"/>
      <c r="E52" s="568" t="s">
        <v>265</v>
      </c>
      <c r="F52" s="572">
        <f>'27-Allocators'!G15</f>
        <v>5.6231891976617258E-2</v>
      </c>
      <c r="G52" s="495" t="str">
        <f>"27-Allocators, Line "&amp;'27-Allocators'!A15&amp;""</f>
        <v>27-Allocators, Line 9</v>
      </c>
      <c r="H52" s="246"/>
      <c r="I52" s="246"/>
      <c r="J52" s="246"/>
      <c r="K52" s="246"/>
      <c r="L52" s="246"/>
      <c r="M52" s="246"/>
      <c r="N52" s="246"/>
      <c r="O52" s="256"/>
      <c r="P52" s="256"/>
      <c r="Q52" s="256"/>
      <c r="R52" s="256"/>
    </row>
    <row r="53" spans="1:18">
      <c r="A53" s="551">
        <f>A52+1</f>
        <v>23</v>
      </c>
      <c r="B53" s="246"/>
      <c r="C53" s="22"/>
      <c r="D53" s="22"/>
      <c r="E53" s="568" t="s">
        <v>1493</v>
      </c>
      <c r="F53" s="557">
        <f>F51*F52</f>
        <v>102742532.13355088</v>
      </c>
      <c r="G53" s="495" t="str">
        <f>"Line "&amp;A51&amp;" * Line "&amp;A52&amp;""</f>
        <v>Line 21 * Line 22</v>
      </c>
      <c r="H53" s="246"/>
      <c r="I53" s="246"/>
      <c r="J53" s="246"/>
      <c r="K53" s="246"/>
      <c r="L53" s="246"/>
      <c r="M53" s="246"/>
      <c r="O53" s="256"/>
      <c r="P53" s="256"/>
      <c r="Q53" s="256"/>
      <c r="R53" s="256"/>
    </row>
    <row r="54" spans="1:18">
      <c r="B54" s="22"/>
      <c r="C54" s="22"/>
      <c r="D54" s="568"/>
      <c r="E54" s="557"/>
      <c r="F54" s="246"/>
      <c r="G54" s="256"/>
      <c r="H54" s="246"/>
      <c r="I54" s="246"/>
      <c r="J54" s="246"/>
      <c r="K54" s="246"/>
      <c r="L54" s="246"/>
      <c r="M54" s="246"/>
      <c r="O54" s="256"/>
      <c r="P54" s="256"/>
      <c r="Q54" s="256"/>
      <c r="R54" s="256"/>
    </row>
    <row r="55" spans="1:18">
      <c r="B55" s="1" t="s">
        <v>2675</v>
      </c>
      <c r="C55" s="22"/>
      <c r="D55" s="560"/>
      <c r="E55" s="246"/>
      <c r="F55" s="246"/>
      <c r="G55" s="256"/>
      <c r="H55" s="246"/>
      <c r="I55" s="246"/>
      <c r="J55" s="246"/>
      <c r="K55" s="246"/>
      <c r="L55" s="246"/>
      <c r="M55" s="246"/>
      <c r="O55" s="256"/>
      <c r="P55" s="256"/>
      <c r="Q55" s="256"/>
      <c r="R55" s="256"/>
    </row>
    <row r="56" spans="1:18">
      <c r="B56" s="246"/>
      <c r="C56" s="246"/>
      <c r="D56" s="246"/>
      <c r="E56" s="246"/>
      <c r="F56" s="246"/>
      <c r="G56" s="256"/>
      <c r="H56" s="246"/>
      <c r="I56" s="246"/>
      <c r="J56" s="246"/>
      <c r="K56" s="246"/>
      <c r="L56" s="246"/>
      <c r="M56" s="246"/>
      <c r="O56" s="574"/>
      <c r="P56" s="81"/>
      <c r="Q56" s="256"/>
      <c r="R56" s="256"/>
    </row>
    <row r="57" spans="1:18">
      <c r="B57" s="246"/>
      <c r="C57" s="246"/>
      <c r="D57" s="246"/>
      <c r="E57" s="246"/>
      <c r="F57" s="390" t="s">
        <v>194</v>
      </c>
      <c r="G57" s="573" t="s">
        <v>198</v>
      </c>
      <c r="H57" s="246"/>
      <c r="I57" s="246"/>
      <c r="J57" s="246"/>
      <c r="K57" s="246"/>
      <c r="L57" s="246"/>
      <c r="M57" s="246"/>
      <c r="O57" s="452"/>
      <c r="P57" s="452"/>
      <c r="Q57" s="256"/>
      <c r="R57" s="256"/>
    </row>
    <row r="58" spans="1:18">
      <c r="A58" s="551">
        <f>A53+1</f>
        <v>24</v>
      </c>
      <c r="B58" s="22"/>
      <c r="C58" s="22"/>
      <c r="E58" s="556" t="s">
        <v>1494</v>
      </c>
      <c r="F58" s="557">
        <f>E45</f>
        <v>1736829507</v>
      </c>
      <c r="G58" s="495" t="str">
        <f>"Line "&amp;A45&amp;""</f>
        <v>Line 19</v>
      </c>
      <c r="H58" s="246"/>
      <c r="I58" s="246"/>
      <c r="J58" s="246"/>
      <c r="K58" s="246"/>
      <c r="L58" s="246"/>
      <c r="M58" s="246"/>
      <c r="O58" s="42"/>
      <c r="P58" s="503"/>
      <c r="Q58" s="256"/>
      <c r="R58" s="256"/>
    </row>
    <row r="59" spans="1:18">
      <c r="A59" s="551">
        <f>A58+1</f>
        <v>25</v>
      </c>
      <c r="B59" s="22"/>
      <c r="C59" s="22"/>
      <c r="E59" s="568" t="s">
        <v>265</v>
      </c>
      <c r="F59" s="572">
        <f>'27-Allocators'!G15</f>
        <v>5.6231891976617258E-2</v>
      </c>
      <c r="G59" s="495" t="str">
        <f>"27-Allocators, Line "&amp;'27-Allocators'!A15&amp;""</f>
        <v>27-Allocators, Line 9</v>
      </c>
      <c r="H59" s="246"/>
      <c r="I59" s="246"/>
      <c r="J59" s="246"/>
      <c r="K59" s="246"/>
      <c r="L59" s="246"/>
      <c r="M59" s="246"/>
      <c r="O59" s="42"/>
      <c r="P59" s="503"/>
      <c r="Q59" s="256"/>
      <c r="R59" s="256"/>
    </row>
    <row r="60" spans="1:18">
      <c r="A60" s="551">
        <f>A59+1</f>
        <v>26</v>
      </c>
      <c r="B60" s="22"/>
      <c r="C60" s="22"/>
      <c r="E60" s="568" t="s">
        <v>1495</v>
      </c>
      <c r="F60" s="557">
        <f>F58*F59</f>
        <v>97665209.21942541</v>
      </c>
      <c r="G60" s="265" t="str">
        <f>"Line "&amp;A58&amp;" * Line "&amp;A59&amp;""</f>
        <v>Line 24 * Line 25</v>
      </c>
      <c r="H60" s="246"/>
      <c r="I60" s="246"/>
      <c r="J60" s="246"/>
      <c r="K60" s="246"/>
      <c r="L60" s="246"/>
      <c r="M60" s="246"/>
      <c r="Q60" s="256"/>
      <c r="R60" s="256"/>
    </row>
    <row r="61" spans="1:18">
      <c r="B61" s="246"/>
      <c r="C61" s="246"/>
      <c r="D61" s="246"/>
      <c r="E61" s="246"/>
      <c r="F61" s="246"/>
      <c r="G61" s="246"/>
      <c r="H61" s="246"/>
      <c r="I61" s="246"/>
      <c r="J61" s="246"/>
      <c r="K61" s="246"/>
      <c r="L61" s="246"/>
      <c r="M61" s="246"/>
      <c r="Q61" s="256"/>
      <c r="R61" s="256"/>
    </row>
    <row r="62" spans="1:18">
      <c r="Q62" s="256"/>
      <c r="R62" s="256"/>
    </row>
    <row r="63" spans="1:18">
      <c r="B63" s="1" t="s">
        <v>1729</v>
      </c>
      <c r="Q63" s="256"/>
      <c r="R63" s="256"/>
    </row>
    <row r="64" spans="1:18">
      <c r="Q64" s="256"/>
      <c r="R64" s="256"/>
    </row>
    <row r="65" spans="1:18">
      <c r="C65" s="1" t="s">
        <v>1723</v>
      </c>
      <c r="D65" s="515"/>
      <c r="E65" s="515"/>
      <c r="F65" s="515"/>
      <c r="G65" s="515"/>
      <c r="H65" s="515"/>
      <c r="I65" s="515"/>
      <c r="J65" s="515"/>
      <c r="K65" s="515"/>
      <c r="L65" s="515"/>
      <c r="M65" s="515"/>
      <c r="Q65" s="256"/>
      <c r="R65" s="256"/>
    </row>
    <row r="66" spans="1:18">
      <c r="A66" s="515"/>
      <c r="D66" s="515"/>
      <c r="E66" s="515"/>
      <c r="F66" s="515"/>
      <c r="G66" s="515"/>
      <c r="H66" s="515"/>
      <c r="I66" s="515"/>
      <c r="J66" s="515"/>
      <c r="K66" s="515"/>
      <c r="L66" s="515"/>
      <c r="M66" s="515"/>
      <c r="Q66" s="256"/>
      <c r="R66" s="256"/>
    </row>
    <row r="67" spans="1:18">
      <c r="A67" s="418"/>
      <c r="C67" s="91" t="s">
        <v>391</v>
      </c>
      <c r="D67" s="91" t="s">
        <v>375</v>
      </c>
      <c r="E67" s="91" t="s">
        <v>376</v>
      </c>
      <c r="F67" s="91" t="s">
        <v>377</v>
      </c>
      <c r="G67" s="91" t="s">
        <v>378</v>
      </c>
      <c r="H67" s="91" t="s">
        <v>379</v>
      </c>
      <c r="I67" s="91" t="s">
        <v>380</v>
      </c>
      <c r="J67" s="91" t="s">
        <v>593</v>
      </c>
      <c r="K67" s="91" t="s">
        <v>1040</v>
      </c>
      <c r="L67" s="91" t="s">
        <v>1056</v>
      </c>
      <c r="M67" s="91" t="s">
        <v>1059</v>
      </c>
      <c r="N67" s="91" t="s">
        <v>1077</v>
      </c>
      <c r="Q67" s="256"/>
      <c r="R67" s="256"/>
    </row>
    <row r="68" spans="1:18">
      <c r="A68" s="246"/>
      <c r="C68" s="267"/>
      <c r="D68" s="246"/>
      <c r="E68" s="246"/>
      <c r="F68" s="246"/>
      <c r="G68" s="246"/>
      <c r="H68" s="246"/>
      <c r="I68" s="246"/>
      <c r="J68" s="246"/>
      <c r="K68" s="246"/>
      <c r="L68" s="246"/>
      <c r="N68" s="267" t="s">
        <v>1352</v>
      </c>
      <c r="O68" s="256"/>
      <c r="P68" s="256"/>
      <c r="Q68" s="256"/>
      <c r="R68" s="256"/>
    </row>
    <row r="69" spans="1:18">
      <c r="A69" s="246"/>
      <c r="C69" s="120"/>
      <c r="D69" s="91"/>
      <c r="E69" s="91"/>
      <c r="F69" s="246"/>
      <c r="G69" s="246"/>
      <c r="H69" s="246"/>
      <c r="I69" s="246"/>
      <c r="J69" s="246"/>
      <c r="K69" s="246"/>
      <c r="L69" s="246"/>
      <c r="M69" s="246"/>
      <c r="O69" s="256"/>
      <c r="P69" s="256"/>
      <c r="Q69" s="256"/>
      <c r="R69" s="256"/>
    </row>
    <row r="70" spans="1:18">
      <c r="A70" s="53"/>
      <c r="C70" s="134" t="s">
        <v>2006</v>
      </c>
      <c r="D70" s="91">
        <v>350.1</v>
      </c>
      <c r="E70" s="91">
        <v>350.2</v>
      </c>
      <c r="F70" s="91">
        <v>352</v>
      </c>
      <c r="G70" s="91">
        <v>353</v>
      </c>
      <c r="H70" s="91">
        <v>354</v>
      </c>
      <c r="I70" s="91">
        <v>355</v>
      </c>
      <c r="J70" s="91">
        <v>356</v>
      </c>
      <c r="K70" s="91">
        <v>357</v>
      </c>
      <c r="L70" s="91">
        <v>358</v>
      </c>
      <c r="M70" s="91">
        <v>359</v>
      </c>
      <c r="N70" s="3" t="s">
        <v>215</v>
      </c>
      <c r="O70" s="256"/>
      <c r="P70" s="256"/>
      <c r="Q70" s="256"/>
      <c r="R70" s="256"/>
    </row>
    <row r="71" spans="1:18">
      <c r="A71" s="551">
        <f>A60+1</f>
        <v>27</v>
      </c>
      <c r="C71" s="807" t="s">
        <v>2932</v>
      </c>
      <c r="D71" s="553">
        <v>0</v>
      </c>
      <c r="E71" s="631">
        <v>306343.01000000164</v>
      </c>
      <c r="F71" s="631">
        <v>1828211.4827663004</v>
      </c>
      <c r="G71" s="631">
        <v>11991734.582329392</v>
      </c>
      <c r="H71" s="631">
        <v>4315316.5961392522</v>
      </c>
      <c r="I71" s="631">
        <v>-127443.8165062964</v>
      </c>
      <c r="J71" s="631">
        <v>3368094.3684586287</v>
      </c>
      <c r="K71" s="631">
        <v>329313.65318886936</v>
      </c>
      <c r="L71" s="631">
        <v>-1106926.6888572425</v>
      </c>
      <c r="M71" s="631">
        <v>258165.46423588321</v>
      </c>
      <c r="N71" s="248">
        <f t="shared" ref="N71:N82" si="12">SUM(D71:M71)</f>
        <v>21162808.651754789</v>
      </c>
      <c r="O71" s="256"/>
      <c r="P71" s="256"/>
      <c r="Q71" s="256"/>
      <c r="R71" s="256"/>
    </row>
    <row r="72" spans="1:18">
      <c r="A72" s="551">
        <f t="shared" ref="A72:A83" si="13">A71+1</f>
        <v>28</v>
      </c>
      <c r="C72" s="806" t="s">
        <v>2933</v>
      </c>
      <c r="D72" s="553">
        <v>0</v>
      </c>
      <c r="E72" s="631">
        <v>290107.87999998778</v>
      </c>
      <c r="F72" s="631">
        <v>2281928.7606688589</v>
      </c>
      <c r="G72" s="631">
        <v>11279778.140625715</v>
      </c>
      <c r="H72" s="631">
        <v>9042365.9074336886</v>
      </c>
      <c r="I72" s="631">
        <v>379372.51237180829</v>
      </c>
      <c r="J72" s="631">
        <v>-11020299.093443632</v>
      </c>
      <c r="K72" s="631">
        <v>350234.205919981</v>
      </c>
      <c r="L72" s="631">
        <v>541963.75572969019</v>
      </c>
      <c r="M72" s="631">
        <v>400428.08273754641</v>
      </c>
      <c r="N72" s="248">
        <f t="shared" si="12"/>
        <v>13545880.152043644</v>
      </c>
      <c r="P72" s="256"/>
      <c r="Q72" s="256"/>
      <c r="R72" s="256"/>
    </row>
    <row r="73" spans="1:18">
      <c r="A73" s="551">
        <f t="shared" si="13"/>
        <v>29</v>
      </c>
      <c r="C73" s="806" t="s">
        <v>2934</v>
      </c>
      <c r="D73" s="553">
        <v>0</v>
      </c>
      <c r="E73" s="631">
        <v>290737.64000001177</v>
      </c>
      <c r="F73" s="631">
        <v>4676994.2886042595</v>
      </c>
      <c r="G73" s="631">
        <v>27884283.554252028</v>
      </c>
      <c r="H73" s="631">
        <v>806325.81857049465</v>
      </c>
      <c r="I73" s="631">
        <v>-2423622.7319117188</v>
      </c>
      <c r="J73" s="631">
        <v>1535387.482486248</v>
      </c>
      <c r="K73" s="631">
        <v>-2359871.7407926321</v>
      </c>
      <c r="L73" s="631">
        <v>-8300886.2006830126</v>
      </c>
      <c r="M73" s="631">
        <v>340605.22290854156</v>
      </c>
      <c r="N73" s="248">
        <f t="shared" si="12"/>
        <v>22449953.333434224</v>
      </c>
      <c r="P73" s="256"/>
      <c r="Q73" s="256"/>
      <c r="R73" s="256"/>
    </row>
    <row r="74" spans="1:18">
      <c r="A74" s="551">
        <f t="shared" si="13"/>
        <v>30</v>
      </c>
      <c r="C74" s="807" t="s">
        <v>2935</v>
      </c>
      <c r="D74" s="553">
        <v>0</v>
      </c>
      <c r="E74" s="631">
        <v>290834.66999999806</v>
      </c>
      <c r="F74" s="631">
        <v>1454327.9712419212</v>
      </c>
      <c r="G74" s="631">
        <v>10481720.186196923</v>
      </c>
      <c r="H74" s="631">
        <v>4159881.0130566955</v>
      </c>
      <c r="I74" s="631">
        <v>-1324044.2451808751</v>
      </c>
      <c r="J74" s="631">
        <v>3063220.4420511723</v>
      </c>
      <c r="K74" s="631">
        <v>321924.60726076737</v>
      </c>
      <c r="L74" s="631">
        <v>183973.53277571499</v>
      </c>
      <c r="M74" s="631">
        <v>220634.12561864406</v>
      </c>
      <c r="N74" s="248">
        <f t="shared" si="12"/>
        <v>18852472.303020962</v>
      </c>
      <c r="P74" s="256"/>
      <c r="Q74" s="256"/>
      <c r="R74" s="256"/>
    </row>
    <row r="75" spans="1:18">
      <c r="A75" s="551">
        <f t="shared" si="13"/>
        <v>31</v>
      </c>
      <c r="C75" s="806" t="s">
        <v>2936</v>
      </c>
      <c r="D75" s="553">
        <v>0</v>
      </c>
      <c r="E75" s="631">
        <v>290953.86000000313</v>
      </c>
      <c r="F75" s="631">
        <v>1700062.5141486526</v>
      </c>
      <c r="G75" s="631">
        <v>15489338.079147458</v>
      </c>
      <c r="H75" s="631">
        <v>-1738324.3673795462</v>
      </c>
      <c r="I75" s="631">
        <v>-5849776.2681636512</v>
      </c>
      <c r="J75" s="631">
        <v>-232892.18464696407</v>
      </c>
      <c r="K75" s="631">
        <v>368620.0564920418</v>
      </c>
      <c r="L75" s="631">
        <v>462436.46909616888</v>
      </c>
      <c r="M75" s="631">
        <v>264157.56770531461</v>
      </c>
      <c r="N75" s="248">
        <f t="shared" si="12"/>
        <v>10754575.726399478</v>
      </c>
    </row>
    <row r="76" spans="1:18">
      <c r="A76" s="551">
        <f t="shared" si="13"/>
        <v>32</v>
      </c>
      <c r="C76" s="806" t="s">
        <v>2937</v>
      </c>
      <c r="D76" s="553">
        <v>0</v>
      </c>
      <c r="E76" s="631">
        <v>290930.09999999776</v>
      </c>
      <c r="F76" s="631">
        <v>3213460.8543650806</v>
      </c>
      <c r="G76" s="631">
        <v>17834290.07530272</v>
      </c>
      <c r="H76" s="631">
        <v>-14566250.183253169</v>
      </c>
      <c r="I76" s="631">
        <v>4144771.1471367478</v>
      </c>
      <c r="J76" s="631">
        <v>143358.05017733574</v>
      </c>
      <c r="K76" s="631">
        <v>619300.07955310494</v>
      </c>
      <c r="L76" s="631">
        <v>1174651.869262591</v>
      </c>
      <c r="M76" s="631">
        <v>545137.86256493628</v>
      </c>
      <c r="N76" s="248">
        <f t="shared" si="12"/>
        <v>13399649.855109345</v>
      </c>
    </row>
    <row r="77" spans="1:18">
      <c r="A77" s="551">
        <f t="shared" si="13"/>
        <v>33</v>
      </c>
      <c r="C77" s="807" t="s">
        <v>2938</v>
      </c>
      <c r="D77" s="553">
        <v>0</v>
      </c>
      <c r="E77" s="631">
        <v>291471.0199999921</v>
      </c>
      <c r="F77" s="631">
        <v>1608515.1840820014</v>
      </c>
      <c r="G77" s="631">
        <v>9406834.7632769346</v>
      </c>
      <c r="H77" s="631">
        <v>4467318.740739584</v>
      </c>
      <c r="I77" s="631">
        <v>-2627231.874912262</v>
      </c>
      <c r="J77" s="631">
        <v>3244280.2505332232</v>
      </c>
      <c r="K77" s="631">
        <v>366888.45970193669</v>
      </c>
      <c r="L77" s="631">
        <v>382805.80070084333</v>
      </c>
      <c r="M77" s="631">
        <v>272755.64819260687</v>
      </c>
      <c r="N77" s="248">
        <f t="shared" si="12"/>
        <v>17413637.99231486</v>
      </c>
    </row>
    <row r="78" spans="1:18">
      <c r="A78" s="551">
        <f t="shared" si="13"/>
        <v>34</v>
      </c>
      <c r="C78" s="806" t="s">
        <v>2939</v>
      </c>
      <c r="D78" s="553">
        <v>0</v>
      </c>
      <c r="E78" s="631">
        <v>292532.21000000462</v>
      </c>
      <c r="F78" s="631">
        <v>1378924.5157648921</v>
      </c>
      <c r="G78" s="631">
        <v>6827735.1538567543</v>
      </c>
      <c r="H78" s="631">
        <v>3455860.5723389387</v>
      </c>
      <c r="I78" s="631">
        <v>-659744.42327800393</v>
      </c>
      <c r="J78" s="631">
        <v>3034094.7506357431</v>
      </c>
      <c r="K78" s="631">
        <v>281000.63095852733</v>
      </c>
      <c r="L78" s="631">
        <v>144030.97044603527</v>
      </c>
      <c r="M78" s="631">
        <v>214158.39323711023</v>
      </c>
      <c r="N78" s="248">
        <f t="shared" si="12"/>
        <v>14968592.773960002</v>
      </c>
    </row>
    <row r="79" spans="1:18">
      <c r="A79" s="551">
        <f t="shared" si="13"/>
        <v>35</v>
      </c>
      <c r="C79" s="806" t="s">
        <v>2940</v>
      </c>
      <c r="D79" s="553">
        <v>0</v>
      </c>
      <c r="E79" s="631">
        <v>292479.14999999851</v>
      </c>
      <c r="F79" s="631">
        <v>5709307.7277697921</v>
      </c>
      <c r="G79" s="631">
        <v>18269616.93736589</v>
      </c>
      <c r="H79" s="631">
        <v>10405005.924401939</v>
      </c>
      <c r="I79" s="631">
        <v>-22827945.700959891</v>
      </c>
      <c r="J79" s="631">
        <v>-588568.94176197052</v>
      </c>
      <c r="K79" s="631">
        <v>2195605.5944702439</v>
      </c>
      <c r="L79" s="631">
        <v>1338710.3489735276</v>
      </c>
      <c r="M79" s="631">
        <v>2660700.3583679236</v>
      </c>
      <c r="N79" s="248">
        <f t="shared" si="12"/>
        <v>17454911.398627453</v>
      </c>
    </row>
    <row r="80" spans="1:18">
      <c r="A80" s="551">
        <f t="shared" si="13"/>
        <v>36</v>
      </c>
      <c r="C80" s="807" t="s">
        <v>2941</v>
      </c>
      <c r="D80" s="553">
        <v>0</v>
      </c>
      <c r="E80" s="631">
        <v>292322.71000000462</v>
      </c>
      <c r="F80" s="631">
        <v>1326972.098164618</v>
      </c>
      <c r="G80" s="631">
        <v>6044360.9799077511</v>
      </c>
      <c r="H80" s="631">
        <v>3844384.302999258</v>
      </c>
      <c r="I80" s="631">
        <v>544911.49670422077</v>
      </c>
      <c r="J80" s="631">
        <v>2257111.2905048132</v>
      </c>
      <c r="K80" s="631">
        <v>360948.57732529193</v>
      </c>
      <c r="L80" s="631">
        <v>617196.72876746953</v>
      </c>
      <c r="M80" s="631">
        <v>250238.75905662403</v>
      </c>
      <c r="N80" s="248">
        <f t="shared" si="12"/>
        <v>15538446.943430051</v>
      </c>
    </row>
    <row r="81" spans="1:15">
      <c r="A81" s="551">
        <f t="shared" si="13"/>
        <v>37</v>
      </c>
      <c r="C81" s="807" t="s">
        <v>2942</v>
      </c>
      <c r="D81" s="553">
        <v>0</v>
      </c>
      <c r="E81" s="631">
        <v>290593.78999999911</v>
      </c>
      <c r="F81" s="631">
        <v>1359995.5449938476</v>
      </c>
      <c r="G81" s="631">
        <v>9252252.1640145779</v>
      </c>
      <c r="H81" s="631">
        <v>4029280.685259223</v>
      </c>
      <c r="I81" s="631">
        <v>-806779.81447520852</v>
      </c>
      <c r="J81" s="631">
        <v>421244.38348221779</v>
      </c>
      <c r="K81" s="631">
        <v>380636.51440750062</v>
      </c>
      <c r="L81" s="631">
        <v>636340.18253837526</v>
      </c>
      <c r="M81" s="631">
        <v>247753.70819118619</v>
      </c>
      <c r="N81" s="248">
        <f t="shared" si="12"/>
        <v>15811317.158411719</v>
      </c>
    </row>
    <row r="82" spans="1:15">
      <c r="A82" s="551">
        <f t="shared" si="13"/>
        <v>38</v>
      </c>
      <c r="C82" s="806" t="s">
        <v>2943</v>
      </c>
      <c r="D82" s="126">
        <v>0</v>
      </c>
      <c r="E82" s="1350">
        <v>292324.61000000313</v>
      </c>
      <c r="F82" s="1350">
        <v>1422319.1037116647</v>
      </c>
      <c r="G82" s="1350">
        <v>5386484.5881347656</v>
      </c>
      <c r="H82" s="1350">
        <v>3627210.4902697802</v>
      </c>
      <c r="I82" s="1350">
        <v>-5155955.3462342024</v>
      </c>
      <c r="J82" s="1350">
        <v>-400684.4409558773</v>
      </c>
      <c r="K82" s="1350">
        <v>353971.04068347067</v>
      </c>
      <c r="L82" s="1350">
        <v>829024.84605669975</v>
      </c>
      <c r="M82" s="1350">
        <v>249265.89263856784</v>
      </c>
      <c r="N82" s="389">
        <f t="shared" si="12"/>
        <v>6603960.7843048722</v>
      </c>
      <c r="O82" s="256"/>
    </row>
    <row r="83" spans="1:15">
      <c r="A83" s="551">
        <f t="shared" si="13"/>
        <v>39</v>
      </c>
      <c r="C83" s="555" t="s">
        <v>4</v>
      </c>
      <c r="D83" s="248">
        <f>SUM(D71:D82)</f>
        <v>0</v>
      </c>
      <c r="E83" s="248">
        <f t="shared" ref="E83:M83" si="14">SUM(E71:E82)</f>
        <v>3511630.6500000022</v>
      </c>
      <c r="F83" s="248">
        <f t="shared" si="14"/>
        <v>27961020.046281889</v>
      </c>
      <c r="G83" s="248">
        <f t="shared" si="14"/>
        <v>150148429.20441091</v>
      </c>
      <c r="H83" s="248">
        <f t="shared" si="14"/>
        <v>31848375.500576138</v>
      </c>
      <c r="I83" s="248">
        <f t="shared" si="14"/>
        <v>-36733489.065409333</v>
      </c>
      <c r="J83" s="248">
        <f t="shared" si="14"/>
        <v>4824346.3575209379</v>
      </c>
      <c r="K83" s="248">
        <f t="shared" si="14"/>
        <v>3568571.6791691035</v>
      </c>
      <c r="L83" s="248">
        <f t="shared" si="14"/>
        <v>-3096678.3851931393</v>
      </c>
      <c r="M83" s="248">
        <f t="shared" si="14"/>
        <v>5924001.0854548849</v>
      </c>
      <c r="N83" s="248">
        <f>SUM(N71:N82)</f>
        <v>187956207.07281142</v>
      </c>
      <c r="O83" s="256"/>
    </row>
    <row r="85" spans="1:15">
      <c r="C85" s="1" t="s">
        <v>1734</v>
      </c>
      <c r="D85" s="515"/>
      <c r="E85" s="515"/>
      <c r="F85" s="515"/>
      <c r="G85" s="515"/>
      <c r="H85" s="515"/>
      <c r="I85" s="515"/>
      <c r="J85" s="515"/>
      <c r="K85" s="515"/>
      <c r="L85" s="515"/>
    </row>
    <row r="86" spans="1:15">
      <c r="A86" s="515"/>
      <c r="C86" s="515"/>
      <c r="D86" s="515"/>
      <c r="E86" s="515"/>
      <c r="F86" s="515"/>
      <c r="G86" s="515"/>
      <c r="H86" s="515"/>
      <c r="I86" s="515"/>
      <c r="J86" s="515"/>
      <c r="K86" s="515"/>
      <c r="L86" s="515"/>
    </row>
    <row r="87" spans="1:15">
      <c r="A87" s="418"/>
      <c r="C87" s="91" t="s">
        <v>391</v>
      </c>
      <c r="D87" s="91" t="s">
        <v>375</v>
      </c>
      <c r="E87" s="91" t="s">
        <v>376</v>
      </c>
      <c r="F87" s="91" t="s">
        <v>377</v>
      </c>
      <c r="G87" s="91" t="s">
        <v>378</v>
      </c>
      <c r="H87" s="91" t="s">
        <v>379</v>
      </c>
      <c r="I87" s="91" t="s">
        <v>380</v>
      </c>
      <c r="J87" s="91" t="s">
        <v>593</v>
      </c>
      <c r="K87" s="91" t="s">
        <v>1040</v>
      </c>
      <c r="L87" s="91" t="s">
        <v>1056</v>
      </c>
      <c r="M87" s="91" t="s">
        <v>1059</v>
      </c>
      <c r="N87" s="91" t="s">
        <v>1077</v>
      </c>
    </row>
    <row r="88" spans="1:15">
      <c r="A88" s="246"/>
      <c r="C88" s="267"/>
      <c r="D88" s="246"/>
      <c r="E88" s="246"/>
      <c r="F88" s="246"/>
      <c r="G88" s="246"/>
      <c r="H88" s="246"/>
      <c r="I88" s="246"/>
      <c r="J88" s="246"/>
      <c r="K88" s="246"/>
      <c r="L88" s="246"/>
      <c r="N88" s="267" t="s">
        <v>1352</v>
      </c>
    </row>
    <row r="89" spans="1:15">
      <c r="A89" s="246"/>
      <c r="C89" s="120"/>
      <c r="D89" s="91"/>
      <c r="E89" s="91"/>
      <c r="F89" s="246"/>
      <c r="G89" s="246"/>
      <c r="H89" s="246"/>
      <c r="I89" s="246"/>
      <c r="J89" s="246"/>
      <c r="K89" s="246"/>
      <c r="L89" s="246"/>
      <c r="M89" s="246"/>
    </row>
    <row r="90" spans="1:15">
      <c r="A90" s="53"/>
      <c r="C90" s="134" t="s">
        <v>2006</v>
      </c>
      <c r="D90" s="91">
        <v>350.1</v>
      </c>
      <c r="E90" s="91">
        <v>350.2</v>
      </c>
      <c r="F90" s="91">
        <v>352</v>
      </c>
      <c r="G90" s="91">
        <v>353</v>
      </c>
      <c r="H90" s="91">
        <v>354</v>
      </c>
      <c r="I90" s="91">
        <v>355</v>
      </c>
      <c r="J90" s="91">
        <v>356</v>
      </c>
      <c r="K90" s="91">
        <v>357</v>
      </c>
      <c r="L90" s="91">
        <v>358</v>
      </c>
      <c r="M90" s="91">
        <v>359</v>
      </c>
      <c r="N90" s="3" t="s">
        <v>215</v>
      </c>
    </row>
    <row r="91" spans="1:15">
      <c r="A91" s="551">
        <f>A83+1</f>
        <v>40</v>
      </c>
      <c r="C91" s="807" t="s">
        <v>2932</v>
      </c>
      <c r="D91" s="530">
        <f>'17-Depreciation'!C49</f>
        <v>0</v>
      </c>
      <c r="E91" s="530">
        <f>'17-Depreciation'!D49</f>
        <v>228702.24939958984</v>
      </c>
      <c r="F91" s="530">
        <f>'17-Depreciation'!E49</f>
        <v>1138472.7581982927</v>
      </c>
      <c r="G91" s="530">
        <f>'17-Depreciation'!F49</f>
        <v>6687886.1321742674</v>
      </c>
      <c r="H91" s="530">
        <f>'17-Depreciation'!G49</f>
        <v>4542448.8387965197</v>
      </c>
      <c r="I91" s="530">
        <f>'17-Depreciation'!H49</f>
        <v>991689.74679432239</v>
      </c>
      <c r="J91" s="530">
        <f>'17-Depreciation'!I49</f>
        <v>3141255.4677464361</v>
      </c>
      <c r="K91" s="530">
        <f>'17-Depreciation'!J49</f>
        <v>255073.77020730244</v>
      </c>
      <c r="L91" s="530">
        <f>'17-Depreciation'!K49</f>
        <v>264292.2070505388</v>
      </c>
      <c r="M91" s="530">
        <f>'17-Depreciation'!L49</f>
        <v>236635.21123455852</v>
      </c>
      <c r="N91" s="248">
        <f t="shared" ref="N91:N102" si="15">SUM(D91:M91)</f>
        <v>17486456.381601829</v>
      </c>
    </row>
    <row r="92" spans="1:15">
      <c r="A92" s="551">
        <f t="shared" ref="A92:A103" si="16">A91+1</f>
        <v>41</v>
      </c>
      <c r="C92" s="806" t="s">
        <v>2933</v>
      </c>
      <c r="D92" s="530">
        <f>'17-Depreciation'!C50</f>
        <v>0</v>
      </c>
      <c r="E92" s="530">
        <f>'17-Depreciation'!D50</f>
        <v>228707.04949708984</v>
      </c>
      <c r="F92" s="530">
        <f>'17-Depreciation'!E50</f>
        <v>1132629.1609625074</v>
      </c>
      <c r="G92" s="530">
        <f>'17-Depreciation'!F50</f>
        <v>6689659.967259746</v>
      </c>
      <c r="H92" s="530">
        <f>'17-Depreciation'!G50</f>
        <v>4536368.7293151785</v>
      </c>
      <c r="I92" s="530">
        <f>'17-Depreciation'!H50</f>
        <v>1026680.9508968689</v>
      </c>
      <c r="J92" s="530">
        <f>'17-Depreciation'!I50</f>
        <v>3132768.1452068654</v>
      </c>
      <c r="K92" s="530">
        <f>'17-Depreciation'!J50</f>
        <v>255278.03738272024</v>
      </c>
      <c r="L92" s="530">
        <f>'17-Depreciation'!K50</f>
        <v>264443.29299377929</v>
      </c>
      <c r="M92" s="530">
        <f>'17-Depreciation'!L50</f>
        <v>208163.75780343541</v>
      </c>
      <c r="N92" s="248">
        <f t="shared" si="15"/>
        <v>17474699.091318194</v>
      </c>
    </row>
    <row r="93" spans="1:15">
      <c r="A93" s="551">
        <f t="shared" si="16"/>
        <v>42</v>
      </c>
      <c r="C93" s="806" t="s">
        <v>2934</v>
      </c>
      <c r="D93" s="530">
        <f>'17-Depreciation'!C51</f>
        <v>0</v>
      </c>
      <c r="E93" s="530">
        <f>'17-Depreciation'!D51</f>
        <v>229334.62482258983</v>
      </c>
      <c r="F93" s="530">
        <f>'17-Depreciation'!E51</f>
        <v>1145539.8450776287</v>
      </c>
      <c r="G93" s="530">
        <f>'17-Depreciation'!F51</f>
        <v>6703280.2100622291</v>
      </c>
      <c r="H93" s="530">
        <f>'17-Depreciation'!G51</f>
        <v>4500032.9972029654</v>
      </c>
      <c r="I93" s="530">
        <f>'17-Depreciation'!H51</f>
        <v>1039729.0849985778</v>
      </c>
      <c r="J93" s="530">
        <f>'17-Depreciation'!I51</f>
        <v>3139036.8550424273</v>
      </c>
      <c r="K93" s="530">
        <f>'17-Depreciation'!J51</f>
        <v>255913.89188035167</v>
      </c>
      <c r="L93" s="530">
        <f>'17-Depreciation'!K51</f>
        <v>266950.74343859061</v>
      </c>
      <c r="M93" s="530">
        <f>'17-Depreciation'!L51</f>
        <v>210222.62887937145</v>
      </c>
      <c r="N93" s="248">
        <f t="shared" si="15"/>
        <v>17490040.881404731</v>
      </c>
    </row>
    <row r="94" spans="1:15">
      <c r="A94" s="551">
        <f t="shared" si="16"/>
        <v>43</v>
      </c>
      <c r="C94" s="807" t="s">
        <v>2935</v>
      </c>
      <c r="D94" s="530">
        <f>'17-Depreciation'!C52</f>
        <v>0</v>
      </c>
      <c r="E94" s="530">
        <f>'17-Depreciation'!D52</f>
        <v>229265.16350473664</v>
      </c>
      <c r="F94" s="530">
        <f>'17-Depreciation'!E52</f>
        <v>1141094.8929118367</v>
      </c>
      <c r="G94" s="530">
        <f>'17-Depreciation'!F52</f>
        <v>6710402.5649683103</v>
      </c>
      <c r="H94" s="530">
        <f>'17-Depreciation'!G52</f>
        <v>4526042.2602200722</v>
      </c>
      <c r="I94" s="530">
        <f>'17-Depreciation'!H52</f>
        <v>1048214.7372440854</v>
      </c>
      <c r="J94" s="530">
        <f>'17-Depreciation'!I52</f>
        <v>3154661.3217542502</v>
      </c>
      <c r="K94" s="530">
        <f>'17-Depreciation'!J52</f>
        <v>256246.89275364077</v>
      </c>
      <c r="L94" s="530">
        <f>'17-Depreciation'!K52</f>
        <v>269144.47412516869</v>
      </c>
      <c r="M94" s="530">
        <f>'17-Depreciation'!L52</f>
        <v>209889.84680690581</v>
      </c>
      <c r="N94" s="248">
        <f t="shared" si="15"/>
        <v>17544962.154289007</v>
      </c>
    </row>
    <row r="95" spans="1:15">
      <c r="A95" s="551">
        <f t="shared" si="16"/>
        <v>44</v>
      </c>
      <c r="C95" s="806" t="s">
        <v>2936</v>
      </c>
      <c r="D95" s="530">
        <f>'17-Depreciation'!C53</f>
        <v>0</v>
      </c>
      <c r="E95" s="530">
        <f>'17-Depreciation'!D53</f>
        <v>229265.95974796565</v>
      </c>
      <c r="F95" s="530">
        <f>'17-Depreciation'!E53</f>
        <v>1157229.2043401767</v>
      </c>
      <c r="G95" s="530">
        <f>'17-Depreciation'!F53</f>
        <v>6773145.3507044734</v>
      </c>
      <c r="H95" s="530">
        <f>'17-Depreciation'!G53</f>
        <v>4579025.9280692721</v>
      </c>
      <c r="I95" s="530">
        <f>'17-Depreciation'!H53</f>
        <v>1053896.5864099991</v>
      </c>
      <c r="J95" s="530">
        <f>'17-Depreciation'!I53</f>
        <v>3162506.9964501872</v>
      </c>
      <c r="K95" s="530">
        <f>'17-Depreciation'!J53</f>
        <v>256590.89688009434</v>
      </c>
      <c r="L95" s="530">
        <f>'17-Depreciation'!K53</f>
        <v>269419.54522553616</v>
      </c>
      <c r="M95" s="530">
        <f>'17-Depreciation'!L53</f>
        <v>210080.2052789166</v>
      </c>
      <c r="N95" s="248">
        <f t="shared" si="15"/>
        <v>17691160.673106622</v>
      </c>
    </row>
    <row r="96" spans="1:15">
      <c r="A96" s="551">
        <f t="shared" si="16"/>
        <v>45</v>
      </c>
      <c r="C96" s="806" t="s">
        <v>2937</v>
      </c>
      <c r="D96" s="530">
        <f>'17-Depreciation'!C54</f>
        <v>0</v>
      </c>
      <c r="E96" s="530">
        <f>'17-Depreciation'!D54</f>
        <v>229224.35185588259</v>
      </c>
      <c r="F96" s="530">
        <f>'17-Depreciation'!E54</f>
        <v>1175277.0568974733</v>
      </c>
      <c r="G96" s="530">
        <f>'17-Depreciation'!F54</f>
        <v>6798799.6305266088</v>
      </c>
      <c r="H96" s="530">
        <f>'17-Depreciation'!G54</f>
        <v>4591426.7079503667</v>
      </c>
      <c r="I96" s="530">
        <f>'17-Depreciation'!H54</f>
        <v>1056252.5378378548</v>
      </c>
      <c r="J96" s="530">
        <f>'17-Depreciation'!I54</f>
        <v>3157961.1765045426</v>
      </c>
      <c r="K96" s="530">
        <f>'17-Depreciation'!J54</f>
        <v>257286.61618754969</v>
      </c>
      <c r="L96" s="530">
        <f>'17-Depreciation'!K54</f>
        <v>269989.54541857255</v>
      </c>
      <c r="M96" s="530">
        <f>'17-Depreciation'!L54</f>
        <v>218854.00095331995</v>
      </c>
      <c r="N96" s="248">
        <f t="shared" si="15"/>
        <v>17755071.624132171</v>
      </c>
    </row>
    <row r="97" spans="1:14">
      <c r="A97" s="551">
        <f t="shared" si="16"/>
        <v>46</v>
      </c>
      <c r="C97" s="807" t="s">
        <v>2938</v>
      </c>
      <c r="D97" s="530">
        <f>'17-Depreciation'!C55</f>
        <v>0</v>
      </c>
      <c r="E97" s="530">
        <f>'17-Depreciation'!D55</f>
        <v>228989.37542073484</v>
      </c>
      <c r="F97" s="530">
        <f>'17-Depreciation'!E55</f>
        <v>1182288.3862098153</v>
      </c>
      <c r="G97" s="530">
        <f>'17-Depreciation'!F55</f>
        <v>6821130.5133475186</v>
      </c>
      <c r="H97" s="530">
        <f>'17-Depreciation'!G55</f>
        <v>4598079.5906536905</v>
      </c>
      <c r="I97" s="530">
        <f>'17-Depreciation'!H55</f>
        <v>1062396.2911508523</v>
      </c>
      <c r="J97" s="530">
        <f>'17-Depreciation'!I55</f>
        <v>3163876.1144685987</v>
      </c>
      <c r="K97" s="530">
        <f>'17-Depreciation'!J55</f>
        <v>259175.95905689476</v>
      </c>
      <c r="L97" s="530">
        <f>'17-Depreciation'!K55</f>
        <v>271514.49824684259</v>
      </c>
      <c r="M97" s="530">
        <f>'17-Depreciation'!L55</f>
        <v>218148.287376211</v>
      </c>
      <c r="N97" s="248">
        <f t="shared" si="15"/>
        <v>17805599.015931156</v>
      </c>
    </row>
    <row r="98" spans="1:14">
      <c r="A98" s="551">
        <f t="shared" si="16"/>
        <v>47</v>
      </c>
      <c r="C98" s="806" t="s">
        <v>2939</v>
      </c>
      <c r="D98" s="530">
        <f>'17-Depreciation'!C56</f>
        <v>0</v>
      </c>
      <c r="E98" s="530">
        <f>'17-Depreciation'!D56</f>
        <v>228526.21654485224</v>
      </c>
      <c r="F98" s="530">
        <f>'17-Depreciation'!E56</f>
        <v>1186712.5960782324</v>
      </c>
      <c r="G98" s="530">
        <f>'17-Depreciation'!F56</f>
        <v>6836845.7019396955</v>
      </c>
      <c r="H98" s="530">
        <f>'17-Depreciation'!G56</f>
        <v>4602782.1813027933</v>
      </c>
      <c r="I98" s="530">
        <f>'17-Depreciation'!H56</f>
        <v>1070751.5071475036</v>
      </c>
      <c r="J98" s="530">
        <f>'17-Depreciation'!I56</f>
        <v>3161934.786138901</v>
      </c>
      <c r="K98" s="530">
        <f>'17-Depreciation'!J56</f>
        <v>259358.98736233675</v>
      </c>
      <c r="L98" s="530">
        <f>'17-Depreciation'!K56</f>
        <v>271728.98517234961</v>
      </c>
      <c r="M98" s="530">
        <f>'17-Depreciation'!L56</f>
        <v>218191.93507372684</v>
      </c>
      <c r="N98" s="248">
        <f t="shared" si="15"/>
        <v>17836832.896760389</v>
      </c>
    </row>
    <row r="99" spans="1:14">
      <c r="A99" s="551">
        <f t="shared" si="16"/>
        <v>48</v>
      </c>
      <c r="C99" s="806" t="s">
        <v>2940</v>
      </c>
      <c r="D99" s="530">
        <f>'17-Depreciation'!C57</f>
        <v>0</v>
      </c>
      <c r="E99" s="530">
        <f>'17-Depreciation'!D57</f>
        <v>227873.92476073685</v>
      </c>
      <c r="F99" s="530">
        <f>'17-Depreciation'!E57</f>
        <v>1195679.3107345884</v>
      </c>
      <c r="G99" s="530">
        <f>'17-Depreciation'!F57</f>
        <v>6897061.5400686795</v>
      </c>
      <c r="H99" s="530">
        <f>'17-Depreciation'!G57</f>
        <v>4605668.7590075741</v>
      </c>
      <c r="I99" s="530">
        <f>'17-Depreciation'!H57</f>
        <v>1072796.5930678742</v>
      </c>
      <c r="J99" s="530">
        <f>'17-Depreciation'!I57</f>
        <v>3167178.6627815664</v>
      </c>
      <c r="K99" s="530">
        <f>'17-Depreciation'!J57</f>
        <v>259823.95448986045</v>
      </c>
      <c r="L99" s="530">
        <f>'17-Depreciation'!K57</f>
        <v>272137.29042651958</v>
      </c>
      <c r="M99" s="530">
        <f>'17-Depreciation'!L57</f>
        <v>218652.95211015336</v>
      </c>
      <c r="N99" s="248">
        <f t="shared" si="15"/>
        <v>17916872.987447552</v>
      </c>
    </row>
    <row r="100" spans="1:14">
      <c r="A100" s="551">
        <f t="shared" si="16"/>
        <v>49</v>
      </c>
      <c r="C100" s="807" t="s">
        <v>2941</v>
      </c>
      <c r="D100" s="530">
        <f>'17-Depreciation'!C58</f>
        <v>0</v>
      </c>
      <c r="E100" s="530">
        <f>'17-Depreciation'!D58</f>
        <v>227848.16928800082</v>
      </c>
      <c r="F100" s="530">
        <f>'17-Depreciation'!E58</f>
        <v>1199517.3887417025</v>
      </c>
      <c r="G100" s="530">
        <f>'17-Depreciation'!F58</f>
        <v>6903917.1481697261</v>
      </c>
      <c r="H100" s="530">
        <f>'17-Depreciation'!G58</f>
        <v>4601469.6157413395</v>
      </c>
      <c r="I100" s="530">
        <f>'17-Depreciation'!H58</f>
        <v>1083182.3537094151</v>
      </c>
      <c r="J100" s="530">
        <f>'17-Depreciation'!I58</f>
        <v>3171523.0224048924</v>
      </c>
      <c r="K100" s="530">
        <f>'17-Depreciation'!J58</f>
        <v>260273.93687092417</v>
      </c>
      <c r="L100" s="530">
        <f>'17-Depreciation'!K58</f>
        <v>272467.33086627763</v>
      </c>
      <c r="M100" s="530">
        <f>'17-Depreciation'!L58</f>
        <v>219450.74061862103</v>
      </c>
      <c r="N100" s="248">
        <f t="shared" si="15"/>
        <v>17939649.706410896</v>
      </c>
    </row>
    <row r="101" spans="1:14">
      <c r="A101" s="551">
        <f t="shared" si="16"/>
        <v>50</v>
      </c>
      <c r="C101" s="807" t="s">
        <v>2942</v>
      </c>
      <c r="D101" s="530">
        <f>'17-Depreciation'!C59</f>
        <v>0</v>
      </c>
      <c r="E101" s="530">
        <f>'17-Depreciation'!D59</f>
        <v>227847.17112579473</v>
      </c>
      <c r="F101" s="530">
        <f>'17-Depreciation'!E59</f>
        <v>1194386.8643801974</v>
      </c>
      <c r="G101" s="530">
        <f>'17-Depreciation'!F59</f>
        <v>6870312.9651489081</v>
      </c>
      <c r="H101" s="530">
        <f>'17-Depreciation'!G59</f>
        <v>4609567.6132986648</v>
      </c>
      <c r="I101" s="530">
        <f>'17-Depreciation'!H59</f>
        <v>1092920.5902720613</v>
      </c>
      <c r="J101" s="530">
        <f>'17-Depreciation'!I59</f>
        <v>3170310.7098649438</v>
      </c>
      <c r="K101" s="530">
        <f>'17-Depreciation'!J59</f>
        <v>261164.56308444554</v>
      </c>
      <c r="L101" s="530">
        <f>'17-Depreciation'!K59</f>
        <v>273506.87246644235</v>
      </c>
      <c r="M101" s="530">
        <f>'17-Depreciation'!L59</f>
        <v>219712.55759551769</v>
      </c>
      <c r="N101" s="248">
        <f t="shared" si="15"/>
        <v>17919729.907236975</v>
      </c>
    </row>
    <row r="102" spans="1:14">
      <c r="A102" s="551">
        <f t="shared" si="16"/>
        <v>51</v>
      </c>
      <c r="C102" s="806" t="s">
        <v>2943</v>
      </c>
      <c r="D102" s="121">
        <f>'17-Depreciation'!C60</f>
        <v>0</v>
      </c>
      <c r="E102" s="121">
        <f>'17-Depreciation'!D60</f>
        <v>228122.6734354333</v>
      </c>
      <c r="F102" s="121">
        <f>'17-Depreciation'!E60</f>
        <v>1197812.4259529067</v>
      </c>
      <c r="G102" s="121">
        <f>'17-Depreciation'!F60</f>
        <v>6874844.137135799</v>
      </c>
      <c r="H102" s="121">
        <f>'17-Depreciation'!G60</f>
        <v>4613125.2196709709</v>
      </c>
      <c r="I102" s="121">
        <f>'17-Depreciation'!H60</f>
        <v>1108479.3404933559</v>
      </c>
      <c r="J102" s="121">
        <f>'17-Depreciation'!I60</f>
        <v>3163795.8455968127</v>
      </c>
      <c r="K102" s="121">
        <f>'17-Depreciation'!J60</f>
        <v>261398.2194393242</v>
      </c>
      <c r="L102" s="121">
        <f>'17-Depreciation'!K60</f>
        <v>273640.89581037505</v>
      </c>
      <c r="M102" s="121">
        <f>'17-Depreciation'!L60</f>
        <v>222501.0617452685</v>
      </c>
      <c r="N102" s="389">
        <f t="shared" si="15"/>
        <v>17943719.819280244</v>
      </c>
    </row>
    <row r="103" spans="1:14">
      <c r="A103" s="551">
        <f t="shared" si="16"/>
        <v>52</v>
      </c>
      <c r="C103" s="555" t="s">
        <v>4</v>
      </c>
      <c r="D103" s="248">
        <f>SUM(D91:D102)</f>
        <v>0</v>
      </c>
      <c r="E103" s="248">
        <f t="shared" ref="E103:M103" si="17">SUM(E91:E102)</f>
        <v>2743706.929403407</v>
      </c>
      <c r="F103" s="248">
        <f t="shared" si="17"/>
        <v>14046639.890485357</v>
      </c>
      <c r="G103" s="248">
        <f t="shared" si="17"/>
        <v>81567285.86150597</v>
      </c>
      <c r="H103" s="248">
        <f t="shared" si="17"/>
        <v>54906038.441229418</v>
      </c>
      <c r="I103" s="248">
        <f t="shared" si="17"/>
        <v>12706990.320022769</v>
      </c>
      <c r="J103" s="248">
        <f t="shared" si="17"/>
        <v>37886809.103960425</v>
      </c>
      <c r="K103" s="248">
        <f t="shared" si="17"/>
        <v>3097585.7255954449</v>
      </c>
      <c r="L103" s="248">
        <f t="shared" si="17"/>
        <v>3239235.6812409931</v>
      </c>
      <c r="M103" s="248">
        <f t="shared" si="17"/>
        <v>2610503.185476006</v>
      </c>
      <c r="N103" s="248">
        <f>SUM(N91:N102)</f>
        <v>212804795.13891977</v>
      </c>
    </row>
    <row r="105" spans="1:14">
      <c r="C105" s="1" t="s">
        <v>1735</v>
      </c>
      <c r="D105" s="515"/>
      <c r="E105" s="515"/>
      <c r="F105" s="515"/>
      <c r="G105" s="515"/>
      <c r="H105" s="515"/>
      <c r="I105" s="515"/>
      <c r="J105" s="515"/>
      <c r="K105" s="515"/>
      <c r="L105" s="515"/>
    </row>
    <row r="106" spans="1:14">
      <c r="C106" s="515"/>
      <c r="D106" s="515"/>
      <c r="E106" s="515"/>
      <c r="F106" s="515"/>
      <c r="G106" s="515"/>
      <c r="H106" s="515"/>
      <c r="I106" s="515"/>
      <c r="J106" s="515"/>
      <c r="K106" s="515"/>
      <c r="L106" s="515"/>
    </row>
    <row r="107" spans="1:14">
      <c r="C107" s="91" t="s">
        <v>391</v>
      </c>
      <c r="D107" s="91" t="s">
        <v>375</v>
      </c>
      <c r="E107" s="91" t="s">
        <v>376</v>
      </c>
      <c r="F107" s="91" t="s">
        <v>377</v>
      </c>
      <c r="G107" s="91" t="s">
        <v>378</v>
      </c>
      <c r="H107" s="91" t="s">
        <v>379</v>
      </c>
      <c r="I107" s="91" t="s">
        <v>380</v>
      </c>
      <c r="J107" s="91" t="s">
        <v>593</v>
      </c>
      <c r="K107" s="91" t="s">
        <v>1040</v>
      </c>
      <c r="L107" s="91" t="s">
        <v>1056</v>
      </c>
      <c r="M107" s="91" t="s">
        <v>1059</v>
      </c>
      <c r="N107" s="91" t="s">
        <v>1077</v>
      </c>
    </row>
    <row r="108" spans="1:14">
      <c r="C108" s="267"/>
      <c r="D108" s="246"/>
      <c r="E108" s="246"/>
      <c r="F108" s="246"/>
      <c r="G108" s="246"/>
      <c r="H108" s="246"/>
      <c r="I108" s="246"/>
      <c r="J108" s="246"/>
      <c r="K108" s="246"/>
      <c r="L108" s="246"/>
      <c r="N108" s="267" t="s">
        <v>1352</v>
      </c>
    </row>
    <row r="109" spans="1:14">
      <c r="C109" s="120"/>
      <c r="D109" s="91"/>
      <c r="E109" s="91"/>
      <c r="F109" s="246"/>
      <c r="G109" s="246"/>
      <c r="H109" s="246"/>
      <c r="I109" s="246"/>
      <c r="J109" s="246"/>
      <c r="K109" s="246"/>
      <c r="L109" s="246"/>
      <c r="M109" s="246"/>
    </row>
    <row r="110" spans="1:14">
      <c r="C110" s="134" t="s">
        <v>2006</v>
      </c>
      <c r="D110" s="91">
        <v>350.1</v>
      </c>
      <c r="E110" s="91">
        <v>350.2</v>
      </c>
      <c r="F110" s="91">
        <v>352</v>
      </c>
      <c r="G110" s="91">
        <v>353</v>
      </c>
      <c r="H110" s="91">
        <v>354</v>
      </c>
      <c r="I110" s="91">
        <v>355</v>
      </c>
      <c r="J110" s="91">
        <v>356</v>
      </c>
      <c r="K110" s="91">
        <v>357</v>
      </c>
      <c r="L110" s="91">
        <v>358</v>
      </c>
      <c r="M110" s="91">
        <v>359</v>
      </c>
      <c r="N110" s="3" t="s">
        <v>215</v>
      </c>
    </row>
    <row r="111" spans="1:14">
      <c r="A111" s="551">
        <f>A103+1</f>
        <v>53</v>
      </c>
      <c r="C111" s="656" t="s">
        <v>2932</v>
      </c>
      <c r="D111" s="530">
        <f t="shared" ref="D111:M111" si="18">D71-D91</f>
        <v>0</v>
      </c>
      <c r="E111" s="530">
        <f t="shared" si="18"/>
        <v>77640.760600411799</v>
      </c>
      <c r="F111" s="530">
        <f t="shared" si="18"/>
        <v>689738.72456800775</v>
      </c>
      <c r="G111" s="530">
        <f t="shared" si="18"/>
        <v>5303848.450155125</v>
      </c>
      <c r="H111" s="530">
        <f t="shared" si="18"/>
        <v>-227132.24265726749</v>
      </c>
      <c r="I111" s="530">
        <f t="shared" si="18"/>
        <v>-1119133.5633006189</v>
      </c>
      <c r="J111" s="530">
        <f t="shared" si="18"/>
        <v>226838.90071219252</v>
      </c>
      <c r="K111" s="530">
        <f t="shared" si="18"/>
        <v>74239.882981566916</v>
      </c>
      <c r="L111" s="530">
        <f t="shared" si="18"/>
        <v>-1371218.8959077813</v>
      </c>
      <c r="M111" s="530">
        <f t="shared" si="18"/>
        <v>21530.253001324687</v>
      </c>
      <c r="N111" s="248">
        <f t="shared" ref="N111:N122" si="19">SUM(D111:M111)</f>
        <v>3676352.2701529609</v>
      </c>
    </row>
    <row r="112" spans="1:14">
      <c r="A112" s="551">
        <f t="shared" ref="A112:A123" si="20">A111+1</f>
        <v>54</v>
      </c>
      <c r="C112" s="655" t="s">
        <v>2933</v>
      </c>
      <c r="D112" s="530">
        <f t="shared" ref="D112:M112" si="21">D72-D92</f>
        <v>0</v>
      </c>
      <c r="E112" s="530">
        <f t="shared" si="21"/>
        <v>61400.830502897938</v>
      </c>
      <c r="F112" s="530">
        <f t="shared" si="21"/>
        <v>1149299.5997063515</v>
      </c>
      <c r="G112" s="530">
        <f t="shared" si="21"/>
        <v>4590118.1733659692</v>
      </c>
      <c r="H112" s="530">
        <f t="shared" si="21"/>
        <v>4505997.1781185102</v>
      </c>
      <c r="I112" s="530">
        <f t="shared" si="21"/>
        <v>-647308.43852506066</v>
      </c>
      <c r="J112" s="530">
        <f t="shared" si="21"/>
        <v>-14153067.238650497</v>
      </c>
      <c r="K112" s="530">
        <f t="shared" si="21"/>
        <v>94956.168537260761</v>
      </c>
      <c r="L112" s="530">
        <f t="shared" si="21"/>
        <v>277520.4627359109</v>
      </c>
      <c r="M112" s="530">
        <f t="shared" si="21"/>
        <v>192264.32493411101</v>
      </c>
      <c r="N112" s="248">
        <f t="shared" si="19"/>
        <v>-3928818.9392745458</v>
      </c>
    </row>
    <row r="113" spans="1:14">
      <c r="A113" s="551">
        <f t="shared" si="20"/>
        <v>55</v>
      </c>
      <c r="C113" s="655" t="s">
        <v>2934</v>
      </c>
      <c r="D113" s="530">
        <f t="shared" ref="D113:M113" si="22">D73-D93</f>
        <v>0</v>
      </c>
      <c r="E113" s="530">
        <f t="shared" si="22"/>
        <v>61403.015177421941</v>
      </c>
      <c r="F113" s="530">
        <f t="shared" si="22"/>
        <v>3531454.4435266308</v>
      </c>
      <c r="G113" s="530">
        <f t="shared" si="22"/>
        <v>21181003.3441898</v>
      </c>
      <c r="H113" s="530">
        <f t="shared" si="22"/>
        <v>-3693707.1786324708</v>
      </c>
      <c r="I113" s="530">
        <f t="shared" si="22"/>
        <v>-3463351.8169102967</v>
      </c>
      <c r="J113" s="530">
        <f t="shared" si="22"/>
        <v>-1603649.3725561793</v>
      </c>
      <c r="K113" s="530">
        <f t="shared" si="22"/>
        <v>-2615785.6326729837</v>
      </c>
      <c r="L113" s="530">
        <f t="shared" si="22"/>
        <v>-8567836.9441216029</v>
      </c>
      <c r="M113" s="530">
        <f t="shared" si="22"/>
        <v>130382.59402917011</v>
      </c>
      <c r="N113" s="248">
        <f t="shared" si="19"/>
        <v>4959912.4520294899</v>
      </c>
    </row>
    <row r="114" spans="1:14">
      <c r="A114" s="551">
        <f t="shared" si="20"/>
        <v>56</v>
      </c>
      <c r="C114" s="656" t="s">
        <v>2935</v>
      </c>
      <c r="D114" s="530">
        <f t="shared" ref="D114:M114" si="23">D74-D94</f>
        <v>0</v>
      </c>
      <c r="E114" s="530">
        <f t="shared" si="23"/>
        <v>61569.506495261419</v>
      </c>
      <c r="F114" s="530">
        <f t="shared" si="23"/>
        <v>313233.07833008445</v>
      </c>
      <c r="G114" s="530">
        <f t="shared" si="23"/>
        <v>3771317.621228613</v>
      </c>
      <c r="H114" s="530">
        <f t="shared" si="23"/>
        <v>-366161.24716337677</v>
      </c>
      <c r="I114" s="530">
        <f t="shared" si="23"/>
        <v>-2372258.9824249605</v>
      </c>
      <c r="J114" s="530">
        <f t="shared" si="23"/>
        <v>-91440.879703077953</v>
      </c>
      <c r="K114" s="530">
        <f t="shared" si="23"/>
        <v>65677.714507126599</v>
      </c>
      <c r="L114" s="530">
        <f t="shared" si="23"/>
        <v>-85170.9413494537</v>
      </c>
      <c r="M114" s="530">
        <f t="shared" si="23"/>
        <v>10744.278811738244</v>
      </c>
      <c r="N114" s="248">
        <f t="shared" si="19"/>
        <v>1307510.1487319549</v>
      </c>
    </row>
    <row r="115" spans="1:14">
      <c r="A115" s="551">
        <f t="shared" si="20"/>
        <v>57</v>
      </c>
      <c r="C115" s="655" t="s">
        <v>2936</v>
      </c>
      <c r="D115" s="530">
        <f t="shared" ref="D115:M115" si="24">D75-D95</f>
        <v>0</v>
      </c>
      <c r="E115" s="530">
        <f t="shared" si="24"/>
        <v>61687.900252037478</v>
      </c>
      <c r="F115" s="530">
        <f t="shared" si="24"/>
        <v>542833.3098084759</v>
      </c>
      <c r="G115" s="530">
        <f t="shared" si="24"/>
        <v>8716192.7284429856</v>
      </c>
      <c r="H115" s="530">
        <f t="shared" si="24"/>
        <v>-6317350.2954488182</v>
      </c>
      <c r="I115" s="530">
        <f t="shared" si="24"/>
        <v>-6903672.8545736503</v>
      </c>
      <c r="J115" s="530">
        <f t="shared" si="24"/>
        <v>-3395399.1810971512</v>
      </c>
      <c r="K115" s="530">
        <f t="shared" si="24"/>
        <v>112029.15961194746</v>
      </c>
      <c r="L115" s="530">
        <f t="shared" si="24"/>
        <v>193016.92387063272</v>
      </c>
      <c r="M115" s="530">
        <f t="shared" si="24"/>
        <v>54077.362426398002</v>
      </c>
      <c r="N115" s="248">
        <f t="shared" si="19"/>
        <v>-6936584.9467071425</v>
      </c>
    </row>
    <row r="116" spans="1:14">
      <c r="A116" s="551">
        <f t="shared" si="20"/>
        <v>58</v>
      </c>
      <c r="C116" s="655" t="s">
        <v>2937</v>
      </c>
      <c r="D116" s="530">
        <f t="shared" ref="D116:M116" si="25">D76-D96</f>
        <v>0</v>
      </c>
      <c r="E116" s="530">
        <f t="shared" si="25"/>
        <v>61705.748144115176</v>
      </c>
      <c r="F116" s="530">
        <f t="shared" si="25"/>
        <v>2038183.7974676073</v>
      </c>
      <c r="G116" s="530">
        <f t="shared" si="25"/>
        <v>11035490.44477611</v>
      </c>
      <c r="H116" s="530">
        <f t="shared" si="25"/>
        <v>-19157676.891203538</v>
      </c>
      <c r="I116" s="530">
        <f t="shared" si="25"/>
        <v>3088518.6092988933</v>
      </c>
      <c r="J116" s="530">
        <f t="shared" si="25"/>
        <v>-3014603.1263272068</v>
      </c>
      <c r="K116" s="530">
        <f t="shared" si="25"/>
        <v>362013.46336555528</v>
      </c>
      <c r="L116" s="530">
        <f t="shared" si="25"/>
        <v>904662.32384401839</v>
      </c>
      <c r="M116" s="530">
        <f t="shared" si="25"/>
        <v>326283.86161161633</v>
      </c>
      <c r="N116" s="248">
        <f t="shared" si="19"/>
        <v>-4355421.769022828</v>
      </c>
    </row>
    <row r="117" spans="1:14">
      <c r="A117" s="551">
        <f t="shared" si="20"/>
        <v>59</v>
      </c>
      <c r="C117" s="656" t="s">
        <v>2938</v>
      </c>
      <c r="D117" s="530">
        <f t="shared" ref="D117:M117" si="26">D77-D97</f>
        <v>0</v>
      </c>
      <c r="E117" s="530">
        <f t="shared" si="26"/>
        <v>62481.644579257263</v>
      </c>
      <c r="F117" s="530">
        <f t="shared" si="26"/>
        <v>426226.79787218617</v>
      </c>
      <c r="G117" s="530">
        <f t="shared" si="26"/>
        <v>2585704.249929416</v>
      </c>
      <c r="H117" s="530">
        <f t="shared" si="26"/>
        <v>-130760.84991410654</v>
      </c>
      <c r="I117" s="530">
        <f t="shared" si="26"/>
        <v>-3689628.1660631141</v>
      </c>
      <c r="J117" s="530">
        <f t="shared" si="26"/>
        <v>80404.136064624414</v>
      </c>
      <c r="K117" s="530">
        <f t="shared" si="26"/>
        <v>107712.50064504193</v>
      </c>
      <c r="L117" s="530">
        <f t="shared" si="26"/>
        <v>111291.30245400075</v>
      </c>
      <c r="M117" s="530">
        <f t="shared" si="26"/>
        <v>54607.360816395871</v>
      </c>
      <c r="N117" s="248">
        <f t="shared" si="19"/>
        <v>-391961.0236162981</v>
      </c>
    </row>
    <row r="118" spans="1:14">
      <c r="A118" s="551">
        <f t="shared" si="20"/>
        <v>60</v>
      </c>
      <c r="C118" s="655" t="s">
        <v>2939</v>
      </c>
      <c r="D118" s="530">
        <f t="shared" ref="D118:M118" si="27">D78-D98</f>
        <v>0</v>
      </c>
      <c r="E118" s="530">
        <f t="shared" si="27"/>
        <v>64005.993455152377</v>
      </c>
      <c r="F118" s="530">
        <f t="shared" si="27"/>
        <v>192211.9196866597</v>
      </c>
      <c r="G118" s="530">
        <f t="shared" si="27"/>
        <v>-9110.5480829412118</v>
      </c>
      <c r="H118" s="530">
        <f t="shared" si="27"/>
        <v>-1146921.6089638546</v>
      </c>
      <c r="I118" s="530">
        <f t="shared" si="27"/>
        <v>-1730495.9304255075</v>
      </c>
      <c r="J118" s="530">
        <f t="shared" si="27"/>
        <v>-127840.03550315788</v>
      </c>
      <c r="K118" s="530">
        <f t="shared" si="27"/>
        <v>21641.643596190581</v>
      </c>
      <c r="L118" s="530">
        <f t="shared" si="27"/>
        <v>-127698.01472631434</v>
      </c>
      <c r="M118" s="530">
        <f t="shared" si="27"/>
        <v>-4033.5418366166123</v>
      </c>
      <c r="N118" s="248">
        <f t="shared" si="19"/>
        <v>-2868240.1228003893</v>
      </c>
    </row>
    <row r="119" spans="1:14">
      <c r="A119" s="551">
        <f t="shared" si="20"/>
        <v>61</v>
      </c>
      <c r="C119" s="655" t="s">
        <v>2940</v>
      </c>
      <c r="D119" s="530">
        <f t="shared" ref="D119:M119" si="28">D79-D99</f>
        <v>0</v>
      </c>
      <c r="E119" s="530">
        <f t="shared" si="28"/>
        <v>64605.225239261665</v>
      </c>
      <c r="F119" s="530">
        <f t="shared" si="28"/>
        <v>4513628.4170352034</v>
      </c>
      <c r="G119" s="530">
        <f t="shared" si="28"/>
        <v>11372555.397297211</v>
      </c>
      <c r="H119" s="530">
        <f t="shared" si="28"/>
        <v>5799337.1653943649</v>
      </c>
      <c r="I119" s="530">
        <f t="shared" si="28"/>
        <v>-23900742.294027764</v>
      </c>
      <c r="J119" s="530">
        <f t="shared" si="28"/>
        <v>-3755747.6045435369</v>
      </c>
      <c r="K119" s="530">
        <f t="shared" si="28"/>
        <v>1935781.6399803835</v>
      </c>
      <c r="L119" s="530">
        <f t="shared" si="28"/>
        <v>1066573.0585470079</v>
      </c>
      <c r="M119" s="530">
        <f t="shared" si="28"/>
        <v>2442047.4062577705</v>
      </c>
      <c r="N119" s="248">
        <f t="shared" si="19"/>
        <v>-461961.5888200975</v>
      </c>
    </row>
    <row r="120" spans="1:14">
      <c r="A120" s="551">
        <f t="shared" si="20"/>
        <v>62</v>
      </c>
      <c r="C120" s="656" t="s">
        <v>2941</v>
      </c>
      <c r="D120" s="530">
        <f t="shared" ref="D120:M120" si="29">D80-D100</f>
        <v>0</v>
      </c>
      <c r="E120" s="530">
        <f t="shared" si="29"/>
        <v>64474.5407120038</v>
      </c>
      <c r="F120" s="530">
        <f t="shared" si="29"/>
        <v>127454.70942291548</v>
      </c>
      <c r="G120" s="530">
        <f t="shared" si="29"/>
        <v>-859556.16826197505</v>
      </c>
      <c r="H120" s="530">
        <f t="shared" si="29"/>
        <v>-757085.31274208147</v>
      </c>
      <c r="I120" s="530">
        <f t="shared" si="29"/>
        <v>-538270.8570051943</v>
      </c>
      <c r="J120" s="530">
        <f t="shared" si="29"/>
        <v>-914411.73190007918</v>
      </c>
      <c r="K120" s="530">
        <f t="shared" si="29"/>
        <v>100674.64045436776</v>
      </c>
      <c r="L120" s="530">
        <f t="shared" si="29"/>
        <v>344729.3979011919</v>
      </c>
      <c r="M120" s="530">
        <f t="shared" si="29"/>
        <v>30788.018438002997</v>
      </c>
      <c r="N120" s="248">
        <f t="shared" si="19"/>
        <v>-2401202.7629808481</v>
      </c>
    </row>
    <row r="121" spans="1:14">
      <c r="A121" s="551">
        <f t="shared" si="20"/>
        <v>63</v>
      </c>
      <c r="C121" s="656" t="s">
        <v>2942</v>
      </c>
      <c r="D121" s="530">
        <f t="shared" ref="D121:M121" si="30">D81-D101</f>
        <v>0</v>
      </c>
      <c r="E121" s="530">
        <f t="shared" si="30"/>
        <v>62746.618874204374</v>
      </c>
      <c r="F121" s="530">
        <f t="shared" si="30"/>
        <v>165608.68061365024</v>
      </c>
      <c r="G121" s="530">
        <f t="shared" si="30"/>
        <v>2381939.1988656698</v>
      </c>
      <c r="H121" s="530">
        <f t="shared" si="30"/>
        <v>-580286.92803944182</v>
      </c>
      <c r="I121" s="530">
        <f t="shared" si="30"/>
        <v>-1899700.4047472698</v>
      </c>
      <c r="J121" s="530">
        <f t="shared" si="30"/>
        <v>-2749066.326382726</v>
      </c>
      <c r="K121" s="530">
        <f t="shared" si="30"/>
        <v>119471.95132305508</v>
      </c>
      <c r="L121" s="530">
        <f t="shared" si="30"/>
        <v>362833.31007193291</v>
      </c>
      <c r="M121" s="530">
        <f t="shared" si="30"/>
        <v>28041.1505956685</v>
      </c>
      <c r="N121" s="248">
        <f t="shared" si="19"/>
        <v>-2108412.7488252562</v>
      </c>
    </row>
    <row r="122" spans="1:14">
      <c r="A122" s="551">
        <f t="shared" si="20"/>
        <v>64</v>
      </c>
      <c r="C122" s="655" t="s">
        <v>2943</v>
      </c>
      <c r="D122" s="121">
        <f t="shared" ref="D122:M122" si="31">D82-D102</f>
        <v>0</v>
      </c>
      <c r="E122" s="121">
        <f t="shared" si="31"/>
        <v>64201.936564569827</v>
      </c>
      <c r="F122" s="121">
        <f t="shared" si="31"/>
        <v>224506.67775875796</v>
      </c>
      <c r="G122" s="121">
        <f t="shared" si="31"/>
        <v>-1488359.5490010334</v>
      </c>
      <c r="H122" s="121">
        <f t="shared" si="31"/>
        <v>-985914.72940119077</v>
      </c>
      <c r="I122" s="121">
        <f t="shared" si="31"/>
        <v>-6264434.6867275583</v>
      </c>
      <c r="J122" s="121">
        <f t="shared" si="31"/>
        <v>-3564480.28655269</v>
      </c>
      <c r="K122" s="121">
        <f t="shared" si="31"/>
        <v>92572.821244146471</v>
      </c>
      <c r="L122" s="121">
        <f t="shared" si="31"/>
        <v>555383.95024632476</v>
      </c>
      <c r="M122" s="121">
        <f t="shared" si="31"/>
        <v>26764.830893299339</v>
      </c>
      <c r="N122" s="389">
        <f t="shared" si="19"/>
        <v>-11339759.034975374</v>
      </c>
    </row>
    <row r="123" spans="1:14">
      <c r="A123" s="551">
        <f t="shared" si="20"/>
        <v>65</v>
      </c>
      <c r="C123" s="555" t="s">
        <v>4</v>
      </c>
      <c r="D123" s="248">
        <f>SUM(D111:D122)</f>
        <v>0</v>
      </c>
      <c r="E123" s="248">
        <f t="shared" ref="E123:M123" si="32">SUM(E111:E122)</f>
        <v>767923.72059659497</v>
      </c>
      <c r="F123" s="248">
        <f t="shared" si="32"/>
        <v>13914380.155796532</v>
      </c>
      <c r="G123" s="248">
        <f t="shared" si="32"/>
        <v>68581143.34290494</v>
      </c>
      <c r="H123" s="248">
        <f t="shared" si="32"/>
        <v>-23057662.940653272</v>
      </c>
      <c r="I123" s="248">
        <f t="shared" si="32"/>
        <v>-49440479.385432109</v>
      </c>
      <c r="J123" s="248">
        <f t="shared" si="32"/>
        <v>-33062462.746439487</v>
      </c>
      <c r="K123" s="248">
        <f t="shared" si="32"/>
        <v>470985.95357365848</v>
      </c>
      <c r="L123" s="248">
        <f t="shared" si="32"/>
        <v>-6335914.0664341319</v>
      </c>
      <c r="M123" s="248">
        <f t="shared" si="32"/>
        <v>3313497.8999788794</v>
      </c>
      <c r="N123" s="248">
        <f>SUM(N111:N122)</f>
        <v>-24848588.066108376</v>
      </c>
    </row>
    <row r="125" spans="1:14">
      <c r="C125" s="1" t="s">
        <v>1730</v>
      </c>
    </row>
    <row r="127" spans="1:14">
      <c r="C127" s="519" t="s">
        <v>1736</v>
      </c>
    </row>
    <row r="128" spans="1:14">
      <c r="C128" s="16"/>
      <c r="D128" s="91">
        <v>350.1</v>
      </c>
      <c r="E128" s="91">
        <v>350.2</v>
      </c>
      <c r="F128" s="91">
        <v>352</v>
      </c>
      <c r="G128" s="91">
        <v>353</v>
      </c>
      <c r="H128" s="91">
        <v>354</v>
      </c>
      <c r="I128" s="91">
        <v>355</v>
      </c>
      <c r="J128" s="91">
        <v>356</v>
      </c>
      <c r="K128" s="91">
        <v>357</v>
      </c>
      <c r="L128" s="91">
        <v>358</v>
      </c>
      <c r="M128" s="91">
        <v>359</v>
      </c>
      <c r="N128" s="3" t="s">
        <v>215</v>
      </c>
    </row>
    <row r="129" spans="1:14">
      <c r="A129" s="551">
        <f>A123+1</f>
        <v>66</v>
      </c>
      <c r="C129" s="16"/>
      <c r="D129" s="7">
        <f t="shared" ref="D129:M129" si="33">D24-D12</f>
        <v>0</v>
      </c>
      <c r="E129" s="7">
        <f t="shared" si="33"/>
        <v>2490832.2652043663</v>
      </c>
      <c r="F129" s="7">
        <f t="shared" si="33"/>
        <v>18652577.116747111</v>
      </c>
      <c r="G129" s="7">
        <f t="shared" si="33"/>
        <v>81376703.012183666</v>
      </c>
      <c r="H129" s="7">
        <f t="shared" si="33"/>
        <v>43439421.441148937</v>
      </c>
      <c r="I129" s="7">
        <f t="shared" si="33"/>
        <v>363753.54797954857</v>
      </c>
      <c r="J129" s="7">
        <f t="shared" si="33"/>
        <v>9808498.4383450747</v>
      </c>
      <c r="K129" s="7">
        <f t="shared" si="33"/>
        <v>2990659.4307516664</v>
      </c>
      <c r="L129" s="7">
        <f t="shared" si="33"/>
        <v>4085864.7601311272</v>
      </c>
      <c r="M129" s="7">
        <f t="shared" si="33"/>
        <v>2678231.9343049694</v>
      </c>
      <c r="N129" s="7">
        <f>SUM(D129:M129)</f>
        <v>165886541.94679651</v>
      </c>
    </row>
    <row r="130" spans="1:14">
      <c r="C130" s="16"/>
    </row>
    <row r="131" spans="1:14">
      <c r="C131" s="519" t="s">
        <v>1737</v>
      </c>
    </row>
    <row r="132" spans="1:14">
      <c r="C132" s="16"/>
      <c r="D132" s="91">
        <v>350.1</v>
      </c>
      <c r="E132" s="91">
        <v>350.2</v>
      </c>
      <c r="F132" s="91">
        <v>352</v>
      </c>
      <c r="G132" s="91">
        <v>353</v>
      </c>
      <c r="H132" s="91">
        <v>354</v>
      </c>
      <c r="I132" s="91">
        <v>355</v>
      </c>
      <c r="J132" s="91">
        <v>356</v>
      </c>
      <c r="K132" s="91">
        <v>357</v>
      </c>
      <c r="L132" s="91">
        <v>358</v>
      </c>
      <c r="M132" s="91">
        <v>359</v>
      </c>
      <c r="N132" s="3" t="s">
        <v>215</v>
      </c>
    </row>
    <row r="133" spans="1:14">
      <c r="A133" s="551">
        <f>A129+1</f>
        <v>67</v>
      </c>
      <c r="C133" s="16"/>
      <c r="D133" s="7">
        <f t="shared" ref="D133:M133" si="34">D103</f>
        <v>0</v>
      </c>
      <c r="E133" s="7">
        <f t="shared" si="34"/>
        <v>2743706.929403407</v>
      </c>
      <c r="F133" s="7">
        <f t="shared" si="34"/>
        <v>14046639.890485357</v>
      </c>
      <c r="G133" s="7">
        <f t="shared" si="34"/>
        <v>81567285.86150597</v>
      </c>
      <c r="H133" s="7">
        <f t="shared" si="34"/>
        <v>54906038.441229418</v>
      </c>
      <c r="I133" s="7">
        <f t="shared" si="34"/>
        <v>12706990.320022769</v>
      </c>
      <c r="J133" s="7">
        <f t="shared" si="34"/>
        <v>37886809.103960425</v>
      </c>
      <c r="K133" s="7">
        <f t="shared" si="34"/>
        <v>3097585.7255954449</v>
      </c>
      <c r="L133" s="7">
        <f t="shared" si="34"/>
        <v>3239235.6812409931</v>
      </c>
      <c r="M133" s="7">
        <f t="shared" si="34"/>
        <v>2610503.185476006</v>
      </c>
      <c r="N133" s="7">
        <f>SUM(D133:M133)</f>
        <v>212804795.1389198</v>
      </c>
    </row>
    <row r="134" spans="1:14">
      <c r="C134" s="519" t="s">
        <v>1738</v>
      </c>
    </row>
    <row r="135" spans="1:14">
      <c r="D135" s="91">
        <v>350.1</v>
      </c>
      <c r="E135" s="91">
        <v>350.2</v>
      </c>
      <c r="F135" s="91">
        <v>352</v>
      </c>
      <c r="G135" s="91">
        <v>353</v>
      </c>
      <c r="H135" s="91">
        <v>354</v>
      </c>
      <c r="I135" s="91">
        <v>355</v>
      </c>
      <c r="J135" s="91">
        <v>356</v>
      </c>
      <c r="K135" s="91">
        <v>357</v>
      </c>
      <c r="L135" s="91">
        <v>358</v>
      </c>
      <c r="M135" s="91">
        <v>359</v>
      </c>
      <c r="N135" s="3" t="s">
        <v>215</v>
      </c>
    </row>
    <row r="136" spans="1:14">
      <c r="A136" s="551">
        <f>A133+1</f>
        <v>68</v>
      </c>
      <c r="D136" s="7">
        <f t="shared" ref="D136:M136" si="35">D129-D133</f>
        <v>0</v>
      </c>
      <c r="E136" s="7">
        <f t="shared" si="35"/>
        <v>-252874.66419904074</v>
      </c>
      <c r="F136" s="7">
        <f t="shared" si="35"/>
        <v>4605937.2262617536</v>
      </c>
      <c r="G136" s="7">
        <f t="shared" si="35"/>
        <v>-190582.84932230413</v>
      </c>
      <c r="H136" s="7">
        <f t="shared" si="35"/>
        <v>-11466617.000080481</v>
      </c>
      <c r="I136" s="7">
        <f t="shared" si="35"/>
        <v>-12343236.772043221</v>
      </c>
      <c r="J136" s="7">
        <f t="shared" si="35"/>
        <v>-28078310.66561535</v>
      </c>
      <c r="K136" s="7">
        <f t="shared" si="35"/>
        <v>-106926.29484377848</v>
      </c>
      <c r="L136" s="7">
        <f t="shared" si="35"/>
        <v>846629.07889013411</v>
      </c>
      <c r="M136" s="7">
        <f t="shared" si="35"/>
        <v>67728.748828963377</v>
      </c>
      <c r="N136" s="7">
        <f>SUM(D136:M136)</f>
        <v>-46918253.192123324</v>
      </c>
    </row>
    <row r="138" spans="1:14">
      <c r="C138" s="1" t="s">
        <v>1739</v>
      </c>
      <c r="D138" s="515"/>
      <c r="E138" s="515"/>
      <c r="F138" s="515"/>
      <c r="G138" s="515"/>
      <c r="H138" s="515"/>
      <c r="I138" s="515"/>
      <c r="J138" s="515"/>
      <c r="K138" s="515"/>
      <c r="L138" s="515"/>
    </row>
    <row r="139" spans="1:14">
      <c r="C139" s="515"/>
      <c r="D139" s="515"/>
      <c r="E139" s="515"/>
      <c r="F139" s="515"/>
      <c r="G139" s="515"/>
      <c r="H139" s="515"/>
      <c r="I139" s="515"/>
      <c r="J139" s="515"/>
      <c r="K139" s="515"/>
      <c r="L139" s="515"/>
    </row>
    <row r="140" spans="1:14">
      <c r="C140" s="91" t="s">
        <v>391</v>
      </c>
      <c r="D140" s="91" t="s">
        <v>375</v>
      </c>
      <c r="E140" s="91" t="s">
        <v>376</v>
      </c>
      <c r="F140" s="91" t="s">
        <v>377</v>
      </c>
      <c r="G140" s="91" t="s">
        <v>378</v>
      </c>
      <c r="H140" s="91" t="s">
        <v>379</v>
      </c>
      <c r="I140" s="91" t="s">
        <v>380</v>
      </c>
      <c r="J140" s="91" t="s">
        <v>593</v>
      </c>
      <c r="K140" s="91" t="s">
        <v>1040</v>
      </c>
      <c r="L140" s="91" t="s">
        <v>1056</v>
      </c>
      <c r="M140" s="91" t="s">
        <v>1059</v>
      </c>
      <c r="N140" s="91" t="s">
        <v>1077</v>
      </c>
    </row>
    <row r="141" spans="1:14">
      <c r="C141" s="267"/>
      <c r="D141" s="246"/>
      <c r="E141" s="246"/>
      <c r="F141" s="246"/>
      <c r="G141" s="246"/>
      <c r="H141" s="246"/>
      <c r="I141" s="246"/>
      <c r="J141" s="246"/>
      <c r="K141" s="246"/>
      <c r="L141" s="246"/>
      <c r="N141" s="267" t="s">
        <v>1352</v>
      </c>
    </row>
    <row r="142" spans="1:14">
      <c r="C142" s="120"/>
      <c r="D142" s="91"/>
      <c r="E142" s="91"/>
      <c r="F142" s="246"/>
      <c r="G142" s="246"/>
      <c r="H142" s="246"/>
      <c r="I142" s="246"/>
      <c r="J142" s="246"/>
      <c r="K142" s="246"/>
      <c r="L142" s="246"/>
      <c r="M142" s="246"/>
    </row>
    <row r="143" spans="1:14">
      <c r="C143" s="134" t="s">
        <v>2006</v>
      </c>
      <c r="D143" s="91">
        <v>350.1</v>
      </c>
      <c r="E143" s="91">
        <v>350.2</v>
      </c>
      <c r="F143" s="91">
        <v>352</v>
      </c>
      <c r="G143" s="91">
        <v>353</v>
      </c>
      <c r="H143" s="91">
        <v>354</v>
      </c>
      <c r="I143" s="91">
        <v>355</v>
      </c>
      <c r="J143" s="91">
        <v>356</v>
      </c>
      <c r="K143" s="91">
        <v>357</v>
      </c>
      <c r="L143" s="91">
        <v>358</v>
      </c>
      <c r="M143" s="91">
        <v>359</v>
      </c>
      <c r="N143" s="3" t="s">
        <v>215</v>
      </c>
    </row>
    <row r="144" spans="1:14">
      <c r="A144" s="551">
        <f>A136+1</f>
        <v>69</v>
      </c>
      <c r="C144" s="807" t="s">
        <v>2932</v>
      </c>
      <c r="D144" s="250">
        <v>0</v>
      </c>
      <c r="E144" s="250">
        <f t="shared" ref="E144:M144" si="36">E111*(E$136/E$123)</f>
        <v>-25566.837875165776</v>
      </c>
      <c r="F144" s="250">
        <f t="shared" si="36"/>
        <v>228317.2683447664</v>
      </c>
      <c r="G144" s="250">
        <f t="shared" si="36"/>
        <v>-14739.074047659853</v>
      </c>
      <c r="H144" s="250">
        <f t="shared" si="36"/>
        <v>-112953.27031293829</v>
      </c>
      <c r="I144" s="250">
        <f t="shared" si="36"/>
        <v>-279401.22594018059</v>
      </c>
      <c r="J144" s="250">
        <f t="shared" si="36"/>
        <v>192643.03370533173</v>
      </c>
      <c r="K144" s="250">
        <f t="shared" si="36"/>
        <v>-16854.421149129164</v>
      </c>
      <c r="L144" s="250">
        <f t="shared" si="36"/>
        <v>183227.51518195966</v>
      </c>
      <c r="M144" s="250">
        <f t="shared" si="36"/>
        <v>440.08390582050754</v>
      </c>
      <c r="N144" s="248">
        <f t="shared" ref="N144:N155" si="37">SUM(D144:M144)</f>
        <v>155113.07181280464</v>
      </c>
    </row>
    <row r="145" spans="1:14">
      <c r="A145" s="551">
        <f t="shared" ref="A145:A156" si="38">A144+1</f>
        <v>70</v>
      </c>
      <c r="C145" s="806" t="s">
        <v>2933</v>
      </c>
      <c r="D145" s="250">
        <v>0</v>
      </c>
      <c r="E145" s="250">
        <f t="shared" ref="E145:M145" si="39">E112*(E$136/E$123)</f>
        <v>-20219.084237819781</v>
      </c>
      <c r="F145" s="250">
        <f t="shared" si="39"/>
        <v>380441.07974223903</v>
      </c>
      <c r="G145" s="250">
        <f t="shared" si="39"/>
        <v>-12755.660777368457</v>
      </c>
      <c r="H145" s="250">
        <f t="shared" si="39"/>
        <v>2240840.4519536491</v>
      </c>
      <c r="I145" s="250">
        <f t="shared" si="39"/>
        <v>-161606.06492037105</v>
      </c>
      <c r="J145" s="250">
        <f t="shared" si="39"/>
        <v>-12019498.421694767</v>
      </c>
      <c r="K145" s="250">
        <f t="shared" si="39"/>
        <v>-21557.567051015605</v>
      </c>
      <c r="L145" s="250">
        <f t="shared" si="39"/>
        <v>-37083.346029581233</v>
      </c>
      <c r="M145" s="250">
        <f t="shared" si="39"/>
        <v>3929.9322242864882</v>
      </c>
      <c r="N145" s="248">
        <f t="shared" si="37"/>
        <v>-9647508.6807907484</v>
      </c>
    </row>
    <row r="146" spans="1:14">
      <c r="A146" s="551">
        <f t="shared" si="38"/>
        <v>71</v>
      </c>
      <c r="C146" s="806" t="s">
        <v>2934</v>
      </c>
      <c r="D146" s="250">
        <v>0</v>
      </c>
      <c r="E146" s="250">
        <f t="shared" ref="E146:M146" si="40">E113*(E$136/E$123)</f>
        <v>-20219.803643695421</v>
      </c>
      <c r="F146" s="250">
        <f t="shared" si="40"/>
        <v>1168981.8232766017</v>
      </c>
      <c r="G146" s="250">
        <f t="shared" si="40"/>
        <v>-58860.727192273691</v>
      </c>
      <c r="H146" s="250">
        <f t="shared" si="40"/>
        <v>-1836887.1830956868</v>
      </c>
      <c r="I146" s="250">
        <f t="shared" si="40"/>
        <v>-864655.27908303577</v>
      </c>
      <c r="J146" s="250">
        <f t="shared" si="40"/>
        <v>-1361899.9173375431</v>
      </c>
      <c r="K146" s="250">
        <f t="shared" si="40"/>
        <v>593852.66945879057</v>
      </c>
      <c r="L146" s="250">
        <f t="shared" si="40"/>
        <v>1144867.1531880449</v>
      </c>
      <c r="M146" s="250">
        <f t="shared" si="40"/>
        <v>2665.0537375402141</v>
      </c>
      <c r="N146" s="248">
        <f t="shared" si="37"/>
        <v>-1232156.2106912571</v>
      </c>
    </row>
    <row r="147" spans="1:14">
      <c r="A147" s="551">
        <f t="shared" si="38"/>
        <v>72</v>
      </c>
      <c r="C147" s="807" t="s">
        <v>2935</v>
      </c>
      <c r="D147" s="250">
        <v>0</v>
      </c>
      <c r="E147" s="250">
        <f t="shared" ref="E147:M147" si="41">E114*(E$136/E$123)</f>
        <v>-20274.628667277197</v>
      </c>
      <c r="F147" s="250">
        <f t="shared" si="41"/>
        <v>103686.39348811225</v>
      </c>
      <c r="G147" s="250">
        <f t="shared" si="41"/>
        <v>-10480.26356690248</v>
      </c>
      <c r="H147" s="250">
        <f t="shared" si="41"/>
        <v>-182092.64279302067</v>
      </c>
      <c r="I147" s="250">
        <f t="shared" si="41"/>
        <v>-592254.65991952957</v>
      </c>
      <c r="J147" s="250">
        <f t="shared" si="41"/>
        <v>-77656.206300502527</v>
      </c>
      <c r="K147" s="250">
        <f t="shared" si="41"/>
        <v>-14910.581966976295</v>
      </c>
      <c r="L147" s="250">
        <f t="shared" si="41"/>
        <v>11380.867048829199</v>
      </c>
      <c r="M147" s="250">
        <f t="shared" si="41"/>
        <v>219.61582078962871</v>
      </c>
      <c r="N147" s="248">
        <f t="shared" si="37"/>
        <v>-782382.10685647768</v>
      </c>
    </row>
    <row r="148" spans="1:14">
      <c r="A148" s="551">
        <f t="shared" si="38"/>
        <v>73</v>
      </c>
      <c r="C148" s="806" t="s">
        <v>2936</v>
      </c>
      <c r="D148" s="250">
        <v>0</v>
      </c>
      <c r="E148" s="250">
        <f t="shared" ref="E148:M148" si="42">E115*(E$136/E$123)</f>
        <v>-20313.615327911604</v>
      </c>
      <c r="F148" s="250">
        <f t="shared" si="42"/>
        <v>179688.64737824255</v>
      </c>
      <c r="G148" s="250">
        <f t="shared" si="42"/>
        <v>-24221.772406494405</v>
      </c>
      <c r="H148" s="250">
        <f t="shared" si="42"/>
        <v>-3141629.5953194522</v>
      </c>
      <c r="I148" s="250">
        <f t="shared" si="42"/>
        <v>-1723560.7279697761</v>
      </c>
      <c r="J148" s="250">
        <f t="shared" si="42"/>
        <v>-2883544.2105984278</v>
      </c>
      <c r="K148" s="250">
        <f t="shared" si="42"/>
        <v>-25433.588540967845</v>
      </c>
      <c r="L148" s="250">
        <f t="shared" si="42"/>
        <v>-25791.659854182741</v>
      </c>
      <c r="M148" s="250">
        <f t="shared" si="42"/>
        <v>1105.3551888877544</v>
      </c>
      <c r="N148" s="248">
        <f t="shared" si="37"/>
        <v>-7663701.1674500825</v>
      </c>
    </row>
    <row r="149" spans="1:14">
      <c r="A149" s="551">
        <f t="shared" si="38"/>
        <v>74</v>
      </c>
      <c r="C149" s="806" t="s">
        <v>2937</v>
      </c>
      <c r="D149" s="250">
        <v>0</v>
      </c>
      <c r="E149" s="250">
        <f t="shared" ref="E149:M149" si="43">E116*(E$136/E$123)</f>
        <v>-20319.492577949277</v>
      </c>
      <c r="F149" s="250">
        <f t="shared" si="43"/>
        <v>674679.46984392242</v>
      </c>
      <c r="G149" s="250">
        <f t="shared" si="43"/>
        <v>-30666.9604809392</v>
      </c>
      <c r="H149" s="250">
        <f t="shared" si="43"/>
        <v>-9527146.9657670185</v>
      </c>
      <c r="I149" s="250">
        <f t="shared" si="43"/>
        <v>771074.97628088982</v>
      </c>
      <c r="J149" s="250">
        <f t="shared" si="43"/>
        <v>-2560152.9977879841</v>
      </c>
      <c r="K149" s="250">
        <f t="shared" si="43"/>
        <v>-82186.651273855925</v>
      </c>
      <c r="L149" s="250">
        <f t="shared" si="43"/>
        <v>-120884.44096807763</v>
      </c>
      <c r="M149" s="250">
        <f t="shared" si="43"/>
        <v>6669.3260044553735</v>
      </c>
      <c r="N149" s="248">
        <f t="shared" si="37"/>
        <v>-10888933.73672656</v>
      </c>
    </row>
    <row r="150" spans="1:14">
      <c r="A150" s="551">
        <f t="shared" si="38"/>
        <v>75</v>
      </c>
      <c r="C150" s="807" t="s">
        <v>2938</v>
      </c>
      <c r="D150" s="250">
        <v>0</v>
      </c>
      <c r="E150" s="250">
        <f t="shared" ref="E150:M150" si="44">E117*(E$136/E$123)</f>
        <v>-20574.992629878081</v>
      </c>
      <c r="F150" s="250">
        <f t="shared" si="44"/>
        <v>141089.56727993494</v>
      </c>
      <c r="G150" s="250">
        <f t="shared" si="44"/>
        <v>-7185.5157181091381</v>
      </c>
      <c r="H150" s="250">
        <f t="shared" si="44"/>
        <v>-65027.604420675329</v>
      </c>
      <c r="I150" s="250">
        <f t="shared" si="44"/>
        <v>-921147.09688546811</v>
      </c>
      <c r="J150" s="250">
        <f t="shared" si="44"/>
        <v>68283.247032650499</v>
      </c>
      <c r="K150" s="250">
        <f t="shared" si="44"/>
        <v>-24453.592543352184</v>
      </c>
      <c r="L150" s="250">
        <f t="shared" si="44"/>
        <v>-14871.169636639754</v>
      </c>
      <c r="M150" s="250">
        <f t="shared" si="44"/>
        <v>1116.1884922183976</v>
      </c>
      <c r="N150" s="248">
        <f t="shared" si="37"/>
        <v>-842770.96902931877</v>
      </c>
    </row>
    <row r="151" spans="1:14">
      <c r="A151" s="551">
        <f t="shared" si="38"/>
        <v>76</v>
      </c>
      <c r="C151" s="806" t="s">
        <v>2939</v>
      </c>
      <c r="D151" s="250">
        <v>0</v>
      </c>
      <c r="E151" s="250">
        <f t="shared" ref="E151:M151" si="45">E118*(E$136/E$123)</f>
        <v>-21076.955519909257</v>
      </c>
      <c r="F151" s="250">
        <f t="shared" si="45"/>
        <v>63625.977320104364</v>
      </c>
      <c r="G151" s="250">
        <f t="shared" si="45"/>
        <v>25.317662084652632</v>
      </c>
      <c r="H151" s="250">
        <f t="shared" si="45"/>
        <v>-570366.16646509059</v>
      </c>
      <c r="I151" s="250">
        <f t="shared" si="45"/>
        <v>-432033.04797633254</v>
      </c>
      <c r="J151" s="250">
        <f t="shared" si="45"/>
        <v>-108568.20497279869</v>
      </c>
      <c r="K151" s="250">
        <f t="shared" si="45"/>
        <v>-4913.2267034973129</v>
      </c>
      <c r="L151" s="250">
        <f t="shared" si="45"/>
        <v>17063.497302873693</v>
      </c>
      <c r="M151" s="250">
        <f t="shared" si="45"/>
        <v>-82.446631985209194</v>
      </c>
      <c r="N151" s="248">
        <f t="shared" si="37"/>
        <v>-1056325.2559845508</v>
      </c>
    </row>
    <row r="152" spans="1:14">
      <c r="A152" s="551">
        <f t="shared" si="38"/>
        <v>77</v>
      </c>
      <c r="C152" s="806" t="s">
        <v>2940</v>
      </c>
      <c r="D152" s="250">
        <v>0</v>
      </c>
      <c r="E152" s="250">
        <f t="shared" ref="E152:M152" si="46">E119*(E$136/E$123)</f>
        <v>-21274.280504305239</v>
      </c>
      <c r="F152" s="250">
        <f t="shared" si="46"/>
        <v>1494100.9889595946</v>
      </c>
      <c r="G152" s="250">
        <f t="shared" si="46"/>
        <v>-31603.643597127062</v>
      </c>
      <c r="H152" s="250">
        <f t="shared" si="46"/>
        <v>2884020.7397023179</v>
      </c>
      <c r="I152" s="250">
        <f t="shared" si="46"/>
        <v>-5967023.8806320941</v>
      </c>
      <c r="J152" s="250">
        <f t="shared" si="46"/>
        <v>-3189570.2637387654</v>
      </c>
      <c r="K152" s="250">
        <f t="shared" si="46"/>
        <v>-439473.73975632706</v>
      </c>
      <c r="L152" s="250">
        <f t="shared" si="46"/>
        <v>-142519.57281278158</v>
      </c>
      <c r="M152" s="250">
        <f t="shared" si="46"/>
        <v>49916.076726020648</v>
      </c>
      <c r="N152" s="248">
        <f t="shared" si="37"/>
        <v>-5363427.5756534673</v>
      </c>
    </row>
    <row r="153" spans="1:14">
      <c r="A153" s="551">
        <f t="shared" si="38"/>
        <v>78</v>
      </c>
      <c r="C153" s="807" t="s">
        <v>2941</v>
      </c>
      <c r="D153" s="250">
        <v>0</v>
      </c>
      <c r="E153" s="250">
        <f t="shared" ref="E153:M153" si="47">E120*(E$136/E$123)</f>
        <v>-21231.246534836671</v>
      </c>
      <c r="F153" s="250">
        <f t="shared" si="47"/>
        <v>42190.049734182743</v>
      </c>
      <c r="G153" s="250">
        <f t="shared" si="47"/>
        <v>2388.6546026339574</v>
      </c>
      <c r="H153" s="250">
        <f t="shared" si="47"/>
        <v>-376499.87945194769</v>
      </c>
      <c r="I153" s="250">
        <f t="shared" si="47"/>
        <v>-134383.90400121044</v>
      </c>
      <c r="J153" s="250">
        <f t="shared" si="47"/>
        <v>-776564.55544403649</v>
      </c>
      <c r="K153" s="250">
        <f t="shared" si="47"/>
        <v>-22855.811743081191</v>
      </c>
      <c r="L153" s="250">
        <f t="shared" si="47"/>
        <v>-46064.061089088449</v>
      </c>
      <c r="M153" s="250">
        <f t="shared" si="47"/>
        <v>629.31501110723207</v>
      </c>
      <c r="N153" s="248">
        <f t="shared" si="37"/>
        <v>-1332391.4389162771</v>
      </c>
    </row>
    <row r="154" spans="1:14">
      <c r="A154" s="551">
        <f t="shared" si="38"/>
        <v>79</v>
      </c>
      <c r="C154" s="807" t="s">
        <v>2942</v>
      </c>
      <c r="D154" s="250">
        <v>0</v>
      </c>
      <c r="E154" s="250">
        <f t="shared" ref="E154:M154" si="48">E121*(E$136/E$123)</f>
        <v>-20662.247762203035</v>
      </c>
      <c r="F154" s="250">
        <f t="shared" si="48"/>
        <v>54819.774829332971</v>
      </c>
      <c r="G154" s="250">
        <f t="shared" si="48"/>
        <v>-6619.2649656265876</v>
      </c>
      <c r="H154" s="250">
        <f t="shared" si="48"/>
        <v>-288577.72668061312</v>
      </c>
      <c r="I154" s="250">
        <f t="shared" si="48"/>
        <v>-474276.38613575208</v>
      </c>
      <c r="J154" s="250">
        <f t="shared" si="48"/>
        <v>-2334645.7565647811</v>
      </c>
      <c r="K154" s="250">
        <f t="shared" si="48"/>
        <v>-27123.299529001088</v>
      </c>
      <c r="L154" s="250">
        <f t="shared" si="48"/>
        <v>-48483.175099270811</v>
      </c>
      <c r="M154" s="250">
        <f t="shared" si="48"/>
        <v>573.16832631198417</v>
      </c>
      <c r="N154" s="248">
        <f t="shared" si="37"/>
        <v>-3144994.9135816027</v>
      </c>
    </row>
    <row r="155" spans="1:14">
      <c r="A155" s="551">
        <f t="shared" si="38"/>
        <v>80</v>
      </c>
      <c r="C155" s="806" t="s">
        <v>2943</v>
      </c>
      <c r="D155" s="121">
        <v>0</v>
      </c>
      <c r="E155" s="490">
        <f t="shared" ref="E155:M155" si="49">E122*(E$136/E$123)</f>
        <v>-21141.478918089429</v>
      </c>
      <c r="F155" s="490">
        <f t="shared" si="49"/>
        <v>74316.186064719441</v>
      </c>
      <c r="G155" s="490">
        <f t="shared" si="49"/>
        <v>4136.061165478106</v>
      </c>
      <c r="H155" s="490">
        <f t="shared" si="49"/>
        <v>-490297.1574300038</v>
      </c>
      <c r="I155" s="490">
        <f t="shared" si="49"/>
        <v>-1563969.4748603588</v>
      </c>
      <c r="J155" s="490">
        <f t="shared" si="49"/>
        <v>-3027136.411913726</v>
      </c>
      <c r="K155" s="490">
        <f t="shared" si="49"/>
        <v>-21016.484045365407</v>
      </c>
      <c r="L155" s="490">
        <f t="shared" si="49"/>
        <v>-74212.528341951154</v>
      </c>
      <c r="M155" s="490">
        <f t="shared" si="49"/>
        <v>547.08002351035293</v>
      </c>
      <c r="N155" s="389">
        <f t="shared" si="37"/>
        <v>-5118774.2082557864</v>
      </c>
    </row>
    <row r="156" spans="1:14">
      <c r="A156" s="551">
        <f t="shared" si="38"/>
        <v>81</v>
      </c>
      <c r="C156" s="555" t="s">
        <v>4</v>
      </c>
      <c r="D156" s="248">
        <f>SUM(D144:D155)</f>
        <v>0</v>
      </c>
      <c r="E156" s="248">
        <f t="shared" ref="E156:M156" si="50">SUM(E144:E155)</f>
        <v>-252874.66419904074</v>
      </c>
      <c r="F156" s="248">
        <f t="shared" si="50"/>
        <v>4605937.2262617536</v>
      </c>
      <c r="G156" s="248">
        <f t="shared" si="50"/>
        <v>-190582.84932230413</v>
      </c>
      <c r="H156" s="248">
        <f t="shared" si="50"/>
        <v>-11466617.000080481</v>
      </c>
      <c r="I156" s="248">
        <f t="shared" si="50"/>
        <v>-12343236.772043219</v>
      </c>
      <c r="J156" s="248">
        <f t="shared" si="50"/>
        <v>-28078310.665615354</v>
      </c>
      <c r="K156" s="248">
        <f t="shared" si="50"/>
        <v>-106926.29484377844</v>
      </c>
      <c r="L156" s="248">
        <f t="shared" si="50"/>
        <v>846629.078890134</v>
      </c>
      <c r="M156" s="248">
        <f t="shared" si="50"/>
        <v>67728.748828963362</v>
      </c>
      <c r="N156" s="248">
        <f>SUM(N144:N155)</f>
        <v>-46918253.192123324</v>
      </c>
    </row>
    <row r="158" spans="1:14">
      <c r="B158" s="424" t="s">
        <v>256</v>
      </c>
    </row>
    <row r="159" spans="1:14">
      <c r="B159" s="1029" t="s">
        <v>2258</v>
      </c>
      <c r="C159" s="14"/>
      <c r="D159" s="14"/>
      <c r="E159" s="14"/>
      <c r="F159" s="14"/>
      <c r="G159" s="14"/>
      <c r="H159" s="14"/>
      <c r="I159" s="14"/>
      <c r="J159" s="14"/>
    </row>
    <row r="160" spans="1:14">
      <c r="B160" s="1029" t="s">
        <v>2259</v>
      </c>
      <c r="C160" s="14"/>
      <c r="D160" s="14"/>
      <c r="E160" s="14"/>
      <c r="F160" s="14"/>
      <c r="G160" s="14"/>
      <c r="H160" s="14"/>
      <c r="I160" s="14"/>
      <c r="J160" s="14"/>
    </row>
    <row r="161" spans="2:14">
      <c r="B161" s="682" t="s">
        <v>2221</v>
      </c>
      <c r="C161" s="667"/>
      <c r="D161" s="667"/>
      <c r="E161" s="667"/>
      <c r="F161" s="667"/>
      <c r="G161" s="667"/>
      <c r="H161" s="667"/>
      <c r="I161" s="667"/>
      <c r="J161" s="14"/>
      <c r="K161" s="14"/>
      <c r="L161" s="667"/>
      <c r="M161" s="667"/>
      <c r="N161" s="14"/>
    </row>
    <row r="162" spans="2:14">
      <c r="B162" s="1034" t="s">
        <v>2504</v>
      </c>
      <c r="C162" s="667"/>
      <c r="D162" s="667"/>
      <c r="E162" s="667"/>
      <c r="F162" s="667"/>
      <c r="G162" s="667"/>
      <c r="H162" s="667"/>
      <c r="I162" s="667"/>
      <c r="J162" s="667"/>
      <c r="K162" s="667"/>
      <c r="L162" s="667"/>
      <c r="M162" s="667"/>
      <c r="N162" s="14"/>
    </row>
    <row r="163" spans="2:14">
      <c r="B163" s="1034" t="s">
        <v>2222</v>
      </c>
      <c r="C163" s="667"/>
      <c r="D163" s="667"/>
      <c r="E163" s="667"/>
      <c r="F163" s="667"/>
      <c r="G163" s="667"/>
      <c r="H163" s="667"/>
      <c r="I163" s="667"/>
      <c r="J163" s="667"/>
      <c r="K163" s="667"/>
      <c r="L163" s="667"/>
      <c r="M163" s="667"/>
      <c r="N163" s="14"/>
    </row>
    <row r="164" spans="2:14">
      <c r="B164" s="1034" t="s">
        <v>2223</v>
      </c>
      <c r="C164" s="667"/>
      <c r="D164" s="667"/>
      <c r="E164" s="667"/>
      <c r="F164" s="667"/>
      <c r="G164" s="667"/>
      <c r="H164" s="667"/>
      <c r="I164" s="667"/>
      <c r="J164" s="667"/>
      <c r="K164" s="667"/>
      <c r="L164" s="667"/>
      <c r="M164" s="667"/>
      <c r="N164" s="14"/>
    </row>
    <row r="165" spans="2:14">
      <c r="B165" s="682" t="s">
        <v>2224</v>
      </c>
      <c r="C165" s="667"/>
      <c r="D165" s="667"/>
      <c r="E165" s="667"/>
      <c r="F165" s="667"/>
      <c r="G165" s="667"/>
      <c r="H165" s="667"/>
      <c r="I165" s="667"/>
      <c r="J165" s="667"/>
      <c r="K165" s="667"/>
      <c r="L165" s="667"/>
      <c r="M165" s="667"/>
      <c r="N165" s="14"/>
    </row>
    <row r="166" spans="2:14">
      <c r="B166" s="1034" t="s">
        <v>2225</v>
      </c>
      <c r="C166" s="667"/>
      <c r="D166" s="667"/>
      <c r="E166" s="667"/>
      <c r="F166" s="667"/>
      <c r="G166" s="667"/>
      <c r="H166" s="667"/>
      <c r="I166" s="667"/>
      <c r="J166" s="667"/>
      <c r="K166" s="667"/>
      <c r="L166" s="667"/>
      <c r="M166" s="667"/>
      <c r="N166" s="14"/>
    </row>
    <row r="167" spans="2:14">
      <c r="B167" s="1034" t="s">
        <v>2226</v>
      </c>
      <c r="C167" s="667"/>
      <c r="D167" s="667"/>
      <c r="E167" s="667"/>
      <c r="F167" s="667"/>
      <c r="G167" s="667"/>
      <c r="H167" s="667"/>
      <c r="I167" s="667"/>
      <c r="J167" s="667"/>
      <c r="K167" s="667"/>
      <c r="L167" s="667"/>
      <c r="M167" s="667"/>
      <c r="N167" s="14"/>
    </row>
    <row r="168" spans="2:14">
      <c r="B168" s="1034" t="s">
        <v>2227</v>
      </c>
      <c r="C168" s="667"/>
      <c r="D168" s="667"/>
      <c r="E168" s="667"/>
      <c r="F168" s="667"/>
      <c r="G168" s="667"/>
      <c r="H168" s="667"/>
      <c r="I168" s="667"/>
      <c r="J168" s="667"/>
      <c r="K168" s="667"/>
      <c r="L168" s="667"/>
      <c r="M168" s="667"/>
      <c r="N168" s="14"/>
    </row>
    <row r="169" spans="2:14">
      <c r="B169" s="517" t="str">
        <f>"2) Amounts on Line "&amp;A33&amp;" derived from Plant Study for previous year Prior Year."</f>
        <v>2) Amounts on Line 15 derived from Plant Study for previous year Prior Year.</v>
      </c>
      <c r="C169" s="14"/>
      <c r="D169" s="14"/>
      <c r="E169" s="14"/>
      <c r="F169" s="14"/>
      <c r="G169" s="14"/>
      <c r="H169" s="14"/>
      <c r="I169" s="14"/>
      <c r="J169" s="14"/>
    </row>
    <row r="170" spans="2:14">
      <c r="B170" s="514" t="str">
        <f>"Amounts on Line "&amp;A34&amp;" derived from Plant Study for Prior Year."</f>
        <v>Amounts on Line 16 derived from Plant Study for Prior Year.</v>
      </c>
      <c r="C170" s="14"/>
      <c r="D170" s="14"/>
      <c r="E170" s="14"/>
      <c r="F170" s="14"/>
      <c r="G170" s="14"/>
      <c r="H170" s="14"/>
      <c r="I170" s="14"/>
      <c r="J170" s="14"/>
    </row>
    <row r="171" spans="2:14">
      <c r="B171" s="517" t="s">
        <v>1733</v>
      </c>
      <c r="C171" s="14"/>
      <c r="D171" s="14"/>
      <c r="E171" s="14"/>
      <c r="F171" s="14"/>
      <c r="G171" s="14"/>
      <c r="H171" s="14"/>
      <c r="I171" s="14"/>
      <c r="J171" s="14"/>
    </row>
    <row r="172" spans="2:14">
      <c r="B172" s="14" t="str">
        <f>"4) From 17-Depreciation, Lines "&amp;'17-Depreciation'!A49&amp;" to "&amp;'17-Depreciation'!A60&amp;"."</f>
        <v>4) From 17-Depreciation, Lines 24 to 35.</v>
      </c>
      <c r="C172" s="14"/>
      <c r="D172" s="14"/>
      <c r="E172" s="14"/>
      <c r="F172" s="14"/>
      <c r="G172" s="14"/>
      <c r="H172" s="14"/>
      <c r="I172" s="14"/>
      <c r="J172" s="14"/>
    </row>
    <row r="173" spans="2:14">
      <c r="B173" s="517" t="str">
        <f>"5) Amount in matrix on lines "&amp;A71&amp;" to "&amp;A82&amp;" minus amount in matrix on lines "&amp;A91&amp;" to "&amp;A102&amp;"."</f>
        <v>5) Amount in matrix on lines 27 to 38 minus amount in matrix on lines 40 to 51.</v>
      </c>
      <c r="C173" s="14"/>
      <c r="D173" s="14"/>
      <c r="E173" s="14"/>
      <c r="F173" s="14"/>
      <c r="G173" s="14"/>
      <c r="H173" s="14"/>
      <c r="I173" s="14"/>
      <c r="J173" s="14"/>
    </row>
    <row r="174" spans="2:14">
      <c r="B174" s="517" t="str">
        <f>"6) Line "&amp;A24&amp;" - Line "&amp;A12&amp;"."</f>
        <v>6) Line 13 - Line 1.</v>
      </c>
      <c r="C174" s="14"/>
      <c r="D174" s="14"/>
      <c r="E174" s="14"/>
      <c r="F174" s="14"/>
      <c r="G174" s="14"/>
      <c r="H174" s="14"/>
      <c r="I174" s="14"/>
      <c r="J174" s="14"/>
    </row>
    <row r="175" spans="2:14">
      <c r="B175" s="14" t="str">
        <f>"7) Line "&amp;A103&amp;"."</f>
        <v>7) Line 52.</v>
      </c>
      <c r="C175" s="14"/>
      <c r="D175" s="14"/>
      <c r="E175" s="14"/>
      <c r="F175" s="14"/>
      <c r="G175" s="14"/>
      <c r="H175" s="14"/>
      <c r="I175" s="14"/>
      <c r="J175" s="14"/>
    </row>
    <row r="176" spans="2:14">
      <c r="B176" s="517" t="str">
        <f>"8) Line "&amp;A129&amp;" - Line "&amp;A133&amp;"."</f>
        <v>8) Line 66 - Line 67.</v>
      </c>
      <c r="C176" s="14"/>
      <c r="D176" s="14"/>
      <c r="E176" s="14"/>
      <c r="F176" s="14"/>
      <c r="G176" s="14"/>
      <c r="H176" s="14"/>
      <c r="I176" s="14"/>
      <c r="J176" s="14"/>
    </row>
    <row r="177" spans="2:10">
      <c r="B177" s="517" t="str">
        <f>"9) For each column (FERC Account) divide Line "&amp;A136&amp;" by Line "&amp;A123&amp;" to arrive at a ratio for each column."</f>
        <v>9) For each column (FERC Account) divide Line 68 by Line 65 to arrive at a ratio for each column.</v>
      </c>
      <c r="C177" s="14"/>
      <c r="D177" s="14"/>
      <c r="E177" s="14"/>
      <c r="F177" s="14"/>
      <c r="G177" s="14"/>
      <c r="H177" s="14"/>
      <c r="I177" s="14"/>
      <c r="J177" s="14"/>
    </row>
    <row r="178" spans="2:10">
      <c r="B178" s="517" t="str">
        <f>"Apply the ratio of each column to each monthly value from Lines "&amp;A111&amp;"-"&amp;A122&amp;" to calculate the values for"</f>
        <v>Apply the ratio of each column to each monthly value from Lines 53-64 to calculate the values for</v>
      </c>
      <c r="C178" s="14"/>
      <c r="D178" s="14"/>
      <c r="E178" s="14"/>
      <c r="F178" s="14"/>
      <c r="G178" s="14"/>
      <c r="H178" s="14"/>
      <c r="I178" s="14"/>
      <c r="J178" s="14"/>
    </row>
    <row r="179" spans="2:10">
      <c r="B179" s="517" t="str">
        <f>"the corresponsing months listed in Lines "&amp;A144&amp;"-"&amp;A155&amp;"."</f>
        <v>the corresponsing months listed in Lines 69-80.</v>
      </c>
      <c r="C179" s="14"/>
      <c r="D179" s="14"/>
      <c r="E179" s="14"/>
      <c r="F179" s="14"/>
      <c r="G179" s="14"/>
      <c r="H179" s="14"/>
      <c r="I179" s="14"/>
      <c r="J179" s="14"/>
    </row>
  </sheetData>
  <phoneticPr fontId="23" type="noConversion"/>
  <pageMargins left="0.75" right="0.75" top="1" bottom="1" header="0.5" footer="0.5"/>
  <pageSetup scale="65" orientation="landscape" cellComments="asDisplayed" r:id="rId1"/>
  <headerFooter alignWithMargins="0">
    <oddHeader>&amp;CSchedule 8
Accumulated Depreciation
&amp;RTO2019 Draft Annual Update
Attachment 5
TO13 True Up TRR</oddHeader>
    <oddFooter>&amp;R&amp;A</oddFooter>
  </headerFooter>
  <rowBreaks count="3" manualBreakCount="3">
    <brk id="36" max="16383" man="1"/>
    <brk id="84" max="16383" man="1"/>
    <brk id="1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8"/>
  <sheetViews>
    <sheetView zoomScaleNormal="100" zoomScaleSheetLayoutView="80" workbookViewId="0"/>
  </sheetViews>
  <sheetFormatPr defaultRowHeight="12.75"/>
  <cols>
    <col min="1" max="1" width="4.7109375" style="515" customWidth="1"/>
    <col min="2" max="2" width="9.7109375" style="246" customWidth="1"/>
    <col min="3" max="3" width="48.42578125" style="246" customWidth="1"/>
    <col min="4" max="4" width="17.7109375" style="246" customWidth="1"/>
    <col min="5" max="8" width="15.7109375" style="246" customWidth="1"/>
    <col min="9" max="9" width="16.140625" style="246" bestFit="1" customWidth="1"/>
    <col min="10" max="10" width="33.7109375" style="246" customWidth="1"/>
    <col min="11" max="11" width="9.140625" style="517"/>
    <col min="12" max="16384" width="9.140625" style="515"/>
  </cols>
  <sheetData>
    <row r="1" spans="1:12">
      <c r="A1" s="1035" t="s">
        <v>1342</v>
      </c>
      <c r="B1" s="256"/>
      <c r="C1" s="256"/>
      <c r="D1" s="256"/>
      <c r="E1" s="256"/>
      <c r="F1" s="1159" t="s">
        <v>332</v>
      </c>
      <c r="G1" s="1159"/>
      <c r="H1" s="256"/>
      <c r="K1" s="601"/>
      <c r="L1" s="601"/>
    </row>
    <row r="2" spans="1:12">
      <c r="A2" s="246"/>
      <c r="B2" s="672"/>
      <c r="C2" s="673"/>
      <c r="D2" s="673"/>
      <c r="K2" s="601"/>
      <c r="L2" s="601"/>
    </row>
    <row r="3" spans="1:12">
      <c r="A3" s="246"/>
      <c r="B3" s="672" t="s">
        <v>1757</v>
      </c>
      <c r="C3" s="673"/>
      <c r="D3" s="673"/>
      <c r="K3" s="601"/>
      <c r="L3" s="601"/>
    </row>
    <row r="4" spans="1:12">
      <c r="A4" s="246"/>
      <c r="B4" s="672"/>
      <c r="C4" s="673"/>
      <c r="D4" s="673"/>
      <c r="K4" s="601"/>
      <c r="L4" s="601"/>
    </row>
    <row r="5" spans="1:12">
      <c r="A5" s="246"/>
      <c r="B5" s="674" t="s">
        <v>1758</v>
      </c>
      <c r="C5" s="673"/>
      <c r="D5" s="673"/>
      <c r="K5" s="601"/>
      <c r="L5" s="601"/>
    </row>
    <row r="6" spans="1:12">
      <c r="A6" s="246"/>
      <c r="B6" s="672"/>
      <c r="C6" s="91" t="s">
        <v>391</v>
      </c>
      <c r="D6" s="91" t="s">
        <v>375</v>
      </c>
      <c r="K6" s="601"/>
      <c r="L6" s="601"/>
    </row>
    <row r="7" spans="1:12">
      <c r="A7" s="246"/>
      <c r="C7" s="673"/>
      <c r="K7" s="601"/>
      <c r="L7" s="601"/>
    </row>
    <row r="8" spans="1:12">
      <c r="A8" s="246"/>
      <c r="B8" s="672"/>
      <c r="C8" s="256"/>
      <c r="D8" s="120" t="s">
        <v>215</v>
      </c>
      <c r="K8" s="601"/>
      <c r="L8" s="601"/>
    </row>
    <row r="9" spans="1:12">
      <c r="A9" s="55" t="s">
        <v>360</v>
      </c>
      <c r="B9" s="672"/>
      <c r="C9" s="573" t="s">
        <v>110</v>
      </c>
      <c r="D9" s="134" t="s">
        <v>220</v>
      </c>
      <c r="E9" s="390" t="s">
        <v>198</v>
      </c>
      <c r="K9" s="601"/>
      <c r="L9" s="601"/>
    </row>
    <row r="10" spans="1:12">
      <c r="A10" s="635">
        <v>1</v>
      </c>
      <c r="B10" s="672"/>
      <c r="C10" s="517" t="s">
        <v>1347</v>
      </c>
      <c r="D10" s="530">
        <f>+D73</f>
        <v>38579623.808935829</v>
      </c>
      <c r="E10" s="514" t="str">
        <f>"Line "&amp;A73&amp;", Col. 2"</f>
        <v>Line 353, Col. 2</v>
      </c>
      <c r="K10" s="601"/>
      <c r="L10" s="601"/>
    </row>
    <row r="11" spans="1:12">
      <c r="A11" s="635">
        <f>A10+1</f>
        <v>2</v>
      </c>
      <c r="B11" s="672"/>
      <c r="C11" s="517" t="s">
        <v>1345</v>
      </c>
      <c r="D11" s="530">
        <f>+D93</f>
        <v>-1090207015</v>
      </c>
      <c r="E11" s="514" t="str">
        <f>"Line "&amp;A93&amp;", Col. 2"</f>
        <v>Line 452, Col. 2</v>
      </c>
      <c r="K11" s="601"/>
      <c r="L11" s="601"/>
    </row>
    <row r="12" spans="1:12">
      <c r="A12" s="635">
        <f t="shared" ref="A12:A24" si="0">A11+1</f>
        <v>3</v>
      </c>
      <c r="B12" s="672"/>
      <c r="C12" s="517" t="s">
        <v>1346</v>
      </c>
      <c r="D12" s="530">
        <f>+D135</f>
        <v>-15673389.221324792</v>
      </c>
      <c r="E12" s="514" t="str">
        <f>"Line "&amp;A135&amp;", Col. 2"</f>
        <v>Line 803, Col. 2</v>
      </c>
      <c r="I12" s="587"/>
      <c r="K12" s="601"/>
      <c r="L12" s="601"/>
    </row>
    <row r="13" spans="1:12">
      <c r="A13" s="1370">
        <f t="shared" si="0"/>
        <v>4</v>
      </c>
      <c r="B13" s="672"/>
      <c r="C13" s="1371" t="s">
        <v>2979</v>
      </c>
      <c r="D13" s="553">
        <v>-582299547</v>
      </c>
      <c r="E13" s="1372" t="s">
        <v>3033</v>
      </c>
      <c r="I13" s="587"/>
      <c r="K13" s="601"/>
      <c r="L13" s="601"/>
    </row>
    <row r="14" spans="1:12">
      <c r="A14" s="1370">
        <f t="shared" si="0"/>
        <v>5</v>
      </c>
      <c r="B14" s="672"/>
      <c r="C14" s="517" t="s">
        <v>1761</v>
      </c>
      <c r="D14" s="532">
        <f>SUM(D10:D13)</f>
        <v>-1649600327.4123888</v>
      </c>
      <c r="E14" s="606" t="str">
        <f>"Sum of Lines "&amp;A10&amp;" to "&amp;A13&amp;""</f>
        <v>Sum of Lines 1 to 4</v>
      </c>
      <c r="K14" s="601"/>
      <c r="L14" s="601"/>
    </row>
    <row r="15" spans="1:12">
      <c r="A15" s="1370">
        <f t="shared" si="0"/>
        <v>6</v>
      </c>
      <c r="B15" s="672"/>
      <c r="D15" s="256"/>
      <c r="E15" s="256"/>
      <c r="G15" s="588"/>
      <c r="H15" s="265"/>
      <c r="I15" s="256"/>
      <c r="K15" s="601"/>
      <c r="L15" s="601"/>
    </row>
    <row r="16" spans="1:12">
      <c r="A16" s="1370">
        <f t="shared" si="0"/>
        <v>7</v>
      </c>
      <c r="B16" s="674" t="s">
        <v>1760</v>
      </c>
      <c r="E16" s="256"/>
      <c r="G16" s="587"/>
      <c r="H16" s="589"/>
      <c r="I16" s="587"/>
      <c r="K16" s="601"/>
      <c r="L16" s="601"/>
    </row>
    <row r="17" spans="1:12">
      <c r="A17" s="1370">
        <f t="shared" si="0"/>
        <v>8</v>
      </c>
      <c r="B17" s="674"/>
      <c r="D17" s="120" t="s">
        <v>420</v>
      </c>
      <c r="E17" s="256"/>
      <c r="G17" s="587"/>
      <c r="H17" s="589"/>
      <c r="I17" s="587"/>
      <c r="K17" s="601"/>
      <c r="L17" s="601"/>
    </row>
    <row r="18" spans="1:12">
      <c r="A18" s="1370">
        <f t="shared" si="0"/>
        <v>9</v>
      </c>
      <c r="B18" s="672"/>
      <c r="D18" s="134" t="s">
        <v>220</v>
      </c>
      <c r="E18" s="390" t="s">
        <v>198</v>
      </c>
      <c r="G18" s="590"/>
      <c r="H18" s="587"/>
      <c r="I18" s="587"/>
      <c r="K18" s="601"/>
      <c r="L18" s="601"/>
    </row>
    <row r="19" spans="1:12">
      <c r="A19" s="1370">
        <f t="shared" si="0"/>
        <v>10</v>
      </c>
      <c r="B19" s="672"/>
      <c r="C19" s="517" t="s">
        <v>1761</v>
      </c>
      <c r="D19" s="553">
        <v>-1551362350.0650725</v>
      </c>
      <c r="E19" s="1372" t="str">
        <f>"Previous Year Informational Filing, Line "&amp;A14&amp;", Col. 2"</f>
        <v>Previous Year Informational Filing, Line 5, Col. 2</v>
      </c>
      <c r="G19" s="587"/>
      <c r="H19" s="587"/>
      <c r="I19" s="587"/>
      <c r="K19" s="601"/>
      <c r="L19" s="601"/>
    </row>
    <row r="20" spans="1:12">
      <c r="A20" s="1370">
        <f t="shared" si="0"/>
        <v>11</v>
      </c>
      <c r="B20" s="672"/>
      <c r="D20" s="256"/>
      <c r="E20" s="1025"/>
      <c r="F20" s="587"/>
      <c r="G20" s="587"/>
      <c r="H20" s="587"/>
      <c r="I20" s="587"/>
      <c r="K20" s="601"/>
      <c r="L20" s="601"/>
    </row>
    <row r="21" spans="1:12">
      <c r="A21" s="1370">
        <f t="shared" si="0"/>
        <v>12</v>
      </c>
      <c r="B21" s="674" t="s">
        <v>1762</v>
      </c>
      <c r="D21" s="256"/>
      <c r="E21" s="256"/>
      <c r="F21" s="587"/>
      <c r="G21" s="587"/>
      <c r="H21" s="587"/>
      <c r="I21" s="587"/>
      <c r="K21" s="601"/>
      <c r="L21" s="601"/>
    </row>
    <row r="22" spans="1:12">
      <c r="A22" s="1370">
        <f t="shared" si="0"/>
        <v>13</v>
      </c>
      <c r="B22" s="673"/>
      <c r="C22" s="675"/>
      <c r="D22" s="676" t="s">
        <v>255</v>
      </c>
      <c r="K22" s="601"/>
      <c r="L22" s="601"/>
    </row>
    <row r="23" spans="1:12">
      <c r="A23" s="1370">
        <f t="shared" si="0"/>
        <v>14</v>
      </c>
      <c r="B23" s="673"/>
      <c r="D23" s="134" t="s">
        <v>220</v>
      </c>
      <c r="E23" s="390" t="s">
        <v>198</v>
      </c>
      <c r="G23" s="590"/>
      <c r="K23" s="601"/>
      <c r="L23" s="601"/>
    </row>
    <row r="24" spans="1:12">
      <c r="A24" s="1370">
        <f t="shared" si="0"/>
        <v>15</v>
      </c>
      <c r="B24" s="673"/>
      <c r="C24" s="677" t="s">
        <v>1763</v>
      </c>
      <c r="D24" s="1191">
        <f>(D14+D19)/2</f>
        <v>-1600481338.7387307</v>
      </c>
      <c r="E24" s="265" t="str">
        <f>"Average of Line "&amp;A14&amp;" and Line "&amp;A19&amp;""</f>
        <v>Average of Line 5 and Line 10</v>
      </c>
      <c r="G24" s="587"/>
      <c r="K24" s="601"/>
      <c r="L24" s="601"/>
    </row>
    <row r="25" spans="1:12">
      <c r="A25" s="635"/>
      <c r="B25" s="673"/>
      <c r="C25" s="675"/>
      <c r="D25" s="678"/>
      <c r="K25" s="601"/>
      <c r="L25" s="601"/>
    </row>
    <row r="26" spans="1:12">
      <c r="A26" s="635"/>
      <c r="B26" s="672" t="s">
        <v>1764</v>
      </c>
      <c r="C26" s="675"/>
      <c r="D26" s="678"/>
    </row>
    <row r="27" spans="1:12">
      <c r="A27" s="635"/>
      <c r="B27" s="672"/>
      <c r="C27" s="91" t="s">
        <v>391</v>
      </c>
      <c r="D27" s="91" t="s">
        <v>375</v>
      </c>
      <c r="E27" s="91" t="s">
        <v>376</v>
      </c>
      <c r="F27" s="91" t="s">
        <v>377</v>
      </c>
      <c r="G27" s="91" t="s">
        <v>378</v>
      </c>
      <c r="H27" s="91" t="s">
        <v>379</v>
      </c>
      <c r="I27" s="91" t="s">
        <v>380</v>
      </c>
    </row>
    <row r="28" spans="1:12">
      <c r="B28" s="676"/>
      <c r="C28" s="676"/>
      <c r="D28" s="676" t="s">
        <v>1765</v>
      </c>
      <c r="E28" s="676" t="s">
        <v>1766</v>
      </c>
      <c r="F28" s="676"/>
      <c r="G28" s="676"/>
      <c r="H28" s="676" t="s">
        <v>1410</v>
      </c>
      <c r="I28" s="1036" t="s">
        <v>2262</v>
      </c>
    </row>
    <row r="29" spans="1:12">
      <c r="B29" s="679" t="s">
        <v>1767</v>
      </c>
      <c r="C29" s="679" t="s">
        <v>1768</v>
      </c>
      <c r="D29" s="679" t="s">
        <v>1769</v>
      </c>
      <c r="E29" s="679" t="s">
        <v>1770</v>
      </c>
      <c r="F29" s="679" t="s">
        <v>1771</v>
      </c>
      <c r="G29" s="679" t="s">
        <v>1772</v>
      </c>
      <c r="H29" s="679" t="s">
        <v>1759</v>
      </c>
      <c r="I29" s="679" t="s">
        <v>111</v>
      </c>
    </row>
    <row r="30" spans="1:12">
      <c r="A30" s="635"/>
      <c r="B30" s="673" t="s">
        <v>1774</v>
      </c>
      <c r="C30" s="673"/>
      <c r="D30" s="673"/>
    </row>
    <row r="31" spans="1:12">
      <c r="A31" s="1161">
        <f>100</f>
        <v>100</v>
      </c>
      <c r="B31" s="1163">
        <v>190</v>
      </c>
      <c r="C31" s="1156" t="s">
        <v>2981</v>
      </c>
      <c r="D31" s="1157">
        <v>649241</v>
      </c>
      <c r="E31" s="1165">
        <f>D31*$G$160</f>
        <v>506.34792152825798</v>
      </c>
      <c r="F31" s="1162"/>
      <c r="G31" s="1165">
        <f>D31-E31</f>
        <v>648734.65207847173</v>
      </c>
      <c r="H31" s="1165"/>
      <c r="I31" s="1166" t="s">
        <v>2982</v>
      </c>
      <c r="J31" s="1159"/>
    </row>
    <row r="32" spans="1:12">
      <c r="A32" s="1161">
        <f t="shared" ref="A32:A48" si="1">A31+1</f>
        <v>101</v>
      </c>
      <c r="B32" s="1163">
        <v>190</v>
      </c>
      <c r="C32" s="1156" t="s">
        <v>2983</v>
      </c>
      <c r="D32" s="1157">
        <v>3146087</v>
      </c>
      <c r="E32" s="1165">
        <f>((D32*0.5)+(0.5*(D32*$G$152)))</f>
        <v>1577550.6256300351</v>
      </c>
      <c r="F32" s="1162"/>
      <c r="G32" s="1165"/>
      <c r="H32" s="1165">
        <f>D32-E32</f>
        <v>1568536.3743699649</v>
      </c>
      <c r="I32" s="1166" t="s">
        <v>2984</v>
      </c>
      <c r="J32" s="1159"/>
    </row>
    <row r="33" spans="1:10">
      <c r="A33" s="1161">
        <f t="shared" si="1"/>
        <v>102</v>
      </c>
      <c r="B33" s="1163">
        <v>190</v>
      </c>
      <c r="C33" s="1156" t="s">
        <v>2985</v>
      </c>
      <c r="D33" s="1157">
        <v>771695</v>
      </c>
      <c r="E33" s="1165">
        <f>D33*$G$160</f>
        <v>601.85071383931245</v>
      </c>
      <c r="F33" s="1162"/>
      <c r="G33" s="1165">
        <f>D33-E33</f>
        <v>771093.14928616071</v>
      </c>
      <c r="H33" s="1165"/>
      <c r="I33" s="1166" t="s">
        <v>2982</v>
      </c>
      <c r="J33" s="1159"/>
    </row>
    <row r="34" spans="1:10">
      <c r="A34" s="1161">
        <f t="shared" si="1"/>
        <v>103</v>
      </c>
      <c r="B34" s="1163">
        <v>190</v>
      </c>
      <c r="C34" s="1156" t="s">
        <v>2986</v>
      </c>
      <c r="D34" s="1157">
        <v>1536403</v>
      </c>
      <c r="E34" s="1165">
        <f>((D34*0.5)+(0.5*(D34*$G$152)))</f>
        <v>770402.57115262956</v>
      </c>
      <c r="F34" s="1165"/>
      <c r="G34" s="1165"/>
      <c r="H34" s="1165">
        <f>D34-E34</f>
        <v>766000.42884737044</v>
      </c>
      <c r="I34" s="1166" t="s">
        <v>2984</v>
      </c>
      <c r="J34" s="1159"/>
    </row>
    <row r="35" spans="1:10">
      <c r="A35" s="1161">
        <f t="shared" si="1"/>
        <v>104</v>
      </c>
      <c r="B35" s="1163">
        <v>190</v>
      </c>
      <c r="C35" s="1156" t="s">
        <v>2987</v>
      </c>
      <c r="D35" s="1157">
        <v>29451918</v>
      </c>
      <c r="E35" s="1165">
        <f t="shared" ref="E35:E37" si="2">D35*$G$152</f>
        <v>84386.410465757188</v>
      </c>
      <c r="F35" s="1162"/>
      <c r="G35" s="1165"/>
      <c r="H35" s="1165">
        <f>D35-E35</f>
        <v>29367531.589534242</v>
      </c>
      <c r="I35" s="1166" t="s">
        <v>2984</v>
      </c>
      <c r="J35" s="1159"/>
    </row>
    <row r="36" spans="1:10" ht="12.75" customHeight="1">
      <c r="A36" s="1161">
        <f t="shared" si="1"/>
        <v>105</v>
      </c>
      <c r="B36" s="1163">
        <v>190</v>
      </c>
      <c r="C36" s="1156" t="s">
        <v>2988</v>
      </c>
      <c r="D36" s="1157">
        <v>11617959</v>
      </c>
      <c r="E36" s="1165">
        <f t="shared" si="2"/>
        <v>33288.081847448368</v>
      </c>
      <c r="F36" s="1162"/>
      <c r="G36" s="1165"/>
      <c r="H36" s="1165">
        <f>D36-E36</f>
        <v>11584670.918152552</v>
      </c>
      <c r="I36" s="1166" t="s">
        <v>2984</v>
      </c>
      <c r="J36" s="1159"/>
    </row>
    <row r="37" spans="1:10">
      <c r="A37" s="1161">
        <f t="shared" si="1"/>
        <v>106</v>
      </c>
      <c r="B37" s="1163">
        <v>190</v>
      </c>
      <c r="C37" s="1156" t="s">
        <v>2989</v>
      </c>
      <c r="D37" s="1157">
        <v>34717749</v>
      </c>
      <c r="E37" s="1165">
        <f t="shared" si="2"/>
        <v>99474.208014606425</v>
      </c>
      <c r="F37" s="1162"/>
      <c r="G37" s="1165"/>
      <c r="H37" s="1165">
        <f>D37-E37</f>
        <v>34618274.791985393</v>
      </c>
      <c r="I37" s="1166" t="s">
        <v>2984</v>
      </c>
      <c r="J37" s="1159"/>
    </row>
    <row r="38" spans="1:10">
      <c r="A38" s="1161">
        <f t="shared" si="1"/>
        <v>107</v>
      </c>
      <c r="B38" s="1163">
        <v>190</v>
      </c>
      <c r="C38" s="1156" t="s">
        <v>2990</v>
      </c>
      <c r="D38" s="1157">
        <v>1247125</v>
      </c>
      <c r="E38" s="1165">
        <f>D38*$G$160</f>
        <v>972.64213387005555</v>
      </c>
      <c r="F38" s="1162"/>
      <c r="G38" s="1165">
        <f>D38-E38</f>
        <v>1246152.3578661298</v>
      </c>
      <c r="H38" s="1165"/>
      <c r="I38" s="1166" t="s">
        <v>2982</v>
      </c>
      <c r="J38" s="1159"/>
    </row>
    <row r="39" spans="1:10">
      <c r="A39" s="1161">
        <f t="shared" si="1"/>
        <v>108</v>
      </c>
      <c r="B39" s="1163">
        <v>190</v>
      </c>
      <c r="C39" s="1156" t="s">
        <v>2991</v>
      </c>
      <c r="D39" s="1157">
        <v>955103</v>
      </c>
      <c r="E39" s="1165">
        <f>D39*$G$160</f>
        <v>744.89198755994119</v>
      </c>
      <c r="F39" s="1162"/>
      <c r="G39" s="1165">
        <f>D39-E39</f>
        <v>954358.10801244003</v>
      </c>
      <c r="H39" s="1165"/>
      <c r="I39" s="1166" t="s">
        <v>2982</v>
      </c>
      <c r="J39" s="1159"/>
    </row>
    <row r="40" spans="1:10">
      <c r="A40" s="1161">
        <f t="shared" si="1"/>
        <v>109</v>
      </c>
      <c r="B40" s="1163">
        <v>190</v>
      </c>
      <c r="C40" s="1156" t="s">
        <v>2992</v>
      </c>
      <c r="D40" s="1157">
        <v>421953973</v>
      </c>
      <c r="E40" s="1165">
        <f>D40</f>
        <v>421953973</v>
      </c>
      <c r="F40" s="1162"/>
      <c r="G40" s="1165"/>
      <c r="H40" s="1165"/>
      <c r="I40" s="1166" t="s">
        <v>2993</v>
      </c>
      <c r="J40" s="1159"/>
    </row>
    <row r="41" spans="1:10">
      <c r="A41" s="1161">
        <f t="shared" si="1"/>
        <v>110</v>
      </c>
      <c r="B41" s="1163">
        <v>190</v>
      </c>
      <c r="C41" s="1156" t="s">
        <v>2994</v>
      </c>
      <c r="D41" s="1157">
        <v>-9045539</v>
      </c>
      <c r="E41" s="1165">
        <f t="shared" ref="E41:E46" si="3">D41</f>
        <v>-9045539</v>
      </c>
      <c r="F41" s="553"/>
      <c r="G41" s="1165"/>
      <c r="H41" s="1165"/>
      <c r="I41" s="1166" t="s">
        <v>2995</v>
      </c>
      <c r="J41" s="817"/>
    </row>
    <row r="42" spans="1:10">
      <c r="A42" s="1161">
        <f t="shared" si="1"/>
        <v>111</v>
      </c>
      <c r="B42" s="1163">
        <v>190</v>
      </c>
      <c r="C42" s="1156" t="s">
        <v>2996</v>
      </c>
      <c r="D42" s="1157">
        <v>0</v>
      </c>
      <c r="E42" s="1165">
        <f t="shared" si="3"/>
        <v>0</v>
      </c>
      <c r="F42" s="1162"/>
      <c r="G42" s="1165"/>
      <c r="H42" s="1165"/>
      <c r="I42" s="1168" t="s">
        <v>2997</v>
      </c>
      <c r="J42" s="1159"/>
    </row>
    <row r="43" spans="1:10">
      <c r="A43" s="1161">
        <f t="shared" si="1"/>
        <v>112</v>
      </c>
      <c r="B43" s="1163">
        <v>190</v>
      </c>
      <c r="C43" s="1156" t="s">
        <v>2998</v>
      </c>
      <c r="D43" s="1157">
        <v>9082254</v>
      </c>
      <c r="E43" s="1165">
        <f>D43*$G$152</f>
        <v>26022.713155668334</v>
      </c>
      <c r="F43" s="1162"/>
      <c r="G43" s="1165"/>
      <c r="H43" s="1165">
        <f>D43-E43</f>
        <v>9056231.2868443318</v>
      </c>
      <c r="I43" s="1166" t="s">
        <v>2984</v>
      </c>
      <c r="J43" s="1159"/>
    </row>
    <row r="44" spans="1:10">
      <c r="A44" s="1161">
        <f t="shared" si="1"/>
        <v>113</v>
      </c>
      <c r="B44" s="1163">
        <v>190</v>
      </c>
      <c r="C44" s="1156" t="s">
        <v>2999</v>
      </c>
      <c r="D44" s="1157">
        <v>6708625</v>
      </c>
      <c r="E44" s="1165">
        <f t="shared" si="3"/>
        <v>6708625</v>
      </c>
      <c r="F44" s="1162"/>
      <c r="G44" s="1165"/>
      <c r="H44" s="1165"/>
      <c r="I44" s="1166" t="s">
        <v>3000</v>
      </c>
      <c r="J44" s="1159"/>
    </row>
    <row r="45" spans="1:10">
      <c r="A45" s="1161">
        <f t="shared" si="1"/>
        <v>114</v>
      </c>
      <c r="B45" s="1163">
        <v>190</v>
      </c>
      <c r="C45" s="1156" t="s">
        <v>3001</v>
      </c>
      <c r="D45" s="1157">
        <v>9519058</v>
      </c>
      <c r="E45" s="1165">
        <f t="shared" si="3"/>
        <v>9519058</v>
      </c>
      <c r="F45" s="1162"/>
      <c r="G45" s="1165"/>
      <c r="H45" s="1162"/>
      <c r="I45" s="1166" t="s">
        <v>3002</v>
      </c>
      <c r="J45" s="1159"/>
    </row>
    <row r="46" spans="1:10">
      <c r="A46" s="1161">
        <f t="shared" si="1"/>
        <v>115</v>
      </c>
      <c r="B46" s="1163">
        <v>190</v>
      </c>
      <c r="C46" s="1156" t="s">
        <v>3003</v>
      </c>
      <c r="D46" s="1157">
        <v>1027410561</v>
      </c>
      <c r="E46" s="1165">
        <f t="shared" si="3"/>
        <v>1027410561</v>
      </c>
      <c r="F46" s="1162"/>
      <c r="G46" s="1165"/>
      <c r="H46" s="1162"/>
      <c r="I46" s="1166" t="s">
        <v>3004</v>
      </c>
      <c r="J46" s="1159"/>
    </row>
    <row r="47" spans="1:10">
      <c r="A47" s="1161">
        <f t="shared" si="1"/>
        <v>116</v>
      </c>
      <c r="B47" s="1163">
        <v>190</v>
      </c>
      <c r="C47" s="1156" t="s">
        <v>3005</v>
      </c>
      <c r="D47" s="1157">
        <v>172664412</v>
      </c>
      <c r="E47" s="1165">
        <v>0</v>
      </c>
      <c r="F47" s="1162"/>
      <c r="G47" s="1162">
        <f>D47</f>
        <v>172664412</v>
      </c>
      <c r="H47" s="1162"/>
      <c r="I47" s="1160" t="s">
        <v>3006</v>
      </c>
      <c r="J47" s="1159"/>
    </row>
    <row r="48" spans="1:10">
      <c r="A48" s="1161">
        <f t="shared" si="1"/>
        <v>117</v>
      </c>
      <c r="B48" s="1163" t="s">
        <v>561</v>
      </c>
      <c r="C48" s="1156"/>
      <c r="D48" s="1157"/>
      <c r="E48" s="1165"/>
      <c r="F48" s="1162"/>
      <c r="G48" s="1162"/>
      <c r="H48" s="1162"/>
      <c r="I48" s="1168"/>
      <c r="J48" s="1159"/>
    </row>
    <row r="49" spans="1:12">
      <c r="A49" s="120"/>
      <c r="B49" s="681"/>
      <c r="C49" s="682"/>
      <c r="D49" s="683"/>
      <c r="E49" s="250"/>
      <c r="F49" s="250"/>
      <c r="G49" s="250"/>
      <c r="H49" s="250"/>
      <c r="I49" s="256"/>
      <c r="J49" s="256"/>
      <c r="K49" s="601"/>
      <c r="L49" s="601"/>
    </row>
    <row r="50" spans="1:12">
      <c r="A50" s="120"/>
      <c r="B50" s="672" t="s">
        <v>1775</v>
      </c>
      <c r="C50" s="675"/>
      <c r="D50" s="678"/>
      <c r="J50" s="256"/>
      <c r="K50" s="601"/>
      <c r="L50" s="601"/>
    </row>
    <row r="51" spans="1:12">
      <c r="A51" s="120"/>
      <c r="B51" s="672"/>
      <c r="C51" s="91" t="s">
        <v>391</v>
      </c>
      <c r="D51" s="91" t="s">
        <v>375</v>
      </c>
      <c r="E51" s="91" t="s">
        <v>376</v>
      </c>
      <c r="F51" s="91" t="s">
        <v>377</v>
      </c>
      <c r="G51" s="91" t="s">
        <v>378</v>
      </c>
      <c r="H51" s="91" t="s">
        <v>379</v>
      </c>
      <c r="I51" s="91" t="s">
        <v>380</v>
      </c>
      <c r="J51" s="256"/>
      <c r="K51" s="601"/>
      <c r="L51" s="601"/>
    </row>
    <row r="52" spans="1:12">
      <c r="A52" s="120"/>
      <c r="B52" s="676"/>
      <c r="C52" s="676"/>
      <c r="D52" s="676" t="s">
        <v>1765</v>
      </c>
      <c r="E52" s="676" t="s">
        <v>1766</v>
      </c>
      <c r="F52" s="676"/>
      <c r="G52" s="676"/>
      <c r="H52" s="676"/>
      <c r="I52" s="1036" t="s">
        <v>2262</v>
      </c>
      <c r="J52" s="256"/>
      <c r="K52" s="601"/>
      <c r="L52" s="601"/>
    </row>
    <row r="53" spans="1:12">
      <c r="A53" s="120"/>
      <c r="B53" s="679" t="s">
        <v>1767</v>
      </c>
      <c r="C53" s="679" t="s">
        <v>1768</v>
      </c>
      <c r="D53" s="679" t="s">
        <v>1769</v>
      </c>
      <c r="E53" s="679" t="s">
        <v>1770</v>
      </c>
      <c r="F53" s="679" t="s">
        <v>1771</v>
      </c>
      <c r="G53" s="679" t="s">
        <v>1772</v>
      </c>
      <c r="H53" s="679" t="s">
        <v>1773</v>
      </c>
      <c r="I53" s="679" t="s">
        <v>111</v>
      </c>
      <c r="J53" s="256"/>
      <c r="K53" s="601"/>
      <c r="L53" s="601"/>
    </row>
    <row r="54" spans="1:12">
      <c r="A54" s="120"/>
      <c r="B54" s="673" t="s">
        <v>1774</v>
      </c>
      <c r="C54" s="673"/>
      <c r="D54" s="673"/>
      <c r="J54" s="256"/>
      <c r="K54" s="601"/>
      <c r="L54" s="601"/>
    </row>
    <row r="55" spans="1:12">
      <c r="A55" s="1161">
        <v>118</v>
      </c>
      <c r="B55" s="1163" t="s">
        <v>561</v>
      </c>
      <c r="C55" s="1156"/>
      <c r="D55" s="1157"/>
      <c r="E55" s="1162"/>
      <c r="F55" s="1162"/>
      <c r="G55" s="1162"/>
      <c r="H55" s="1162"/>
      <c r="I55" s="1159"/>
      <c r="J55" s="1159"/>
      <c r="K55" s="601"/>
      <c r="L55" s="601"/>
    </row>
    <row r="56" spans="1:12">
      <c r="A56" s="635"/>
      <c r="B56" s="684"/>
      <c r="C56" s="673"/>
      <c r="D56" s="685"/>
      <c r="E56" s="248"/>
      <c r="F56" s="248"/>
      <c r="G56" s="248"/>
      <c r="H56" s="248"/>
      <c r="I56" s="390" t="s">
        <v>198</v>
      </c>
      <c r="K56" s="601"/>
      <c r="L56" s="601"/>
    </row>
    <row r="57" spans="1:12">
      <c r="A57" s="120">
        <v>250</v>
      </c>
      <c r="B57" s="673"/>
      <c r="C57" s="673" t="s">
        <v>1776</v>
      </c>
      <c r="D57" s="694">
        <f>SUM(D31:D48)+SUM(D55:D55)</f>
        <v>1722386624</v>
      </c>
      <c r="E57" s="694">
        <f>SUM(E31:E48)+SUM(E55:E55)</f>
        <v>1459140628.3430228</v>
      </c>
      <c r="F57" s="686">
        <f>SUM(F31:F48)+SUM(F55:F55)</f>
        <v>0</v>
      </c>
      <c r="G57" s="686">
        <f>SUM(G31:G48)+SUM(G55:G55)</f>
        <v>176284750.26724321</v>
      </c>
      <c r="H57" s="686">
        <f>SUM(H31:H48)+SUM(H55:H55)</f>
        <v>86961245.389733851</v>
      </c>
      <c r="I57" s="265" t="str">
        <f>"Sum of Above Lines beginning on Line "&amp;A31&amp;""</f>
        <v>Sum of Above Lines beginning on Line 100</v>
      </c>
      <c r="K57" s="601"/>
      <c r="L57" s="601"/>
    </row>
    <row r="58" spans="1:12">
      <c r="A58" s="635"/>
      <c r="B58" s="673"/>
      <c r="C58" s="673"/>
      <c r="D58" s="687"/>
      <c r="E58" s="248"/>
      <c r="F58" s="248"/>
      <c r="G58" s="248"/>
      <c r="H58" s="248"/>
    </row>
    <row r="59" spans="1:12">
      <c r="A59" s="635"/>
      <c r="B59" s="673" t="s">
        <v>1777</v>
      </c>
      <c r="C59" s="673"/>
      <c r="D59" s="687"/>
      <c r="E59" s="248"/>
      <c r="F59" s="248"/>
      <c r="G59" s="248"/>
      <c r="H59" s="248"/>
      <c r="I59" s="1036" t="s">
        <v>2262</v>
      </c>
    </row>
    <row r="60" spans="1:12">
      <c r="A60" s="635"/>
      <c r="C60" s="91" t="s">
        <v>391</v>
      </c>
      <c r="D60" s="91" t="s">
        <v>375</v>
      </c>
      <c r="E60" s="91" t="s">
        <v>376</v>
      </c>
      <c r="F60" s="91" t="s">
        <v>377</v>
      </c>
      <c r="G60" s="91" t="s">
        <v>378</v>
      </c>
      <c r="H60" s="91" t="s">
        <v>379</v>
      </c>
      <c r="I60" s="91" t="s">
        <v>380</v>
      </c>
    </row>
    <row r="61" spans="1:12">
      <c r="A61" s="1161">
        <v>300</v>
      </c>
      <c r="B61" s="1163">
        <v>190</v>
      </c>
      <c r="C61" s="1156" t="s">
        <v>3007</v>
      </c>
      <c r="D61" s="1157">
        <v>-910</v>
      </c>
      <c r="E61" s="1165">
        <f t="shared" ref="E61:E64" si="4">D61</f>
        <v>-910</v>
      </c>
      <c r="F61" s="1165"/>
      <c r="G61" s="1165"/>
      <c r="H61" s="1165"/>
      <c r="I61" s="1166" t="s">
        <v>3008</v>
      </c>
      <c r="J61" s="1166"/>
    </row>
    <row r="62" spans="1:12">
      <c r="A62" s="1161">
        <f>+A61+1</f>
        <v>301</v>
      </c>
      <c r="B62" s="1163">
        <v>190</v>
      </c>
      <c r="C62" s="1156" t="s">
        <v>3009</v>
      </c>
      <c r="D62" s="1157">
        <v>118747</v>
      </c>
      <c r="E62" s="1165">
        <f>D62</f>
        <v>118747</v>
      </c>
      <c r="F62" s="1165"/>
      <c r="G62" s="1162"/>
      <c r="H62" s="1165"/>
      <c r="I62" s="1166" t="s">
        <v>3008</v>
      </c>
      <c r="J62" s="1166"/>
    </row>
    <row r="63" spans="1:12">
      <c r="A63" s="1161">
        <f t="shared" ref="A63:A65" si="5">+A62+1</f>
        <v>302</v>
      </c>
      <c r="B63" s="1163">
        <v>190</v>
      </c>
      <c r="C63" s="1156" t="s">
        <v>2994</v>
      </c>
      <c r="D63" s="1157">
        <v>2738775</v>
      </c>
      <c r="E63" s="1165">
        <f t="shared" si="4"/>
        <v>2738775</v>
      </c>
      <c r="F63" s="1165"/>
      <c r="G63" s="1165"/>
      <c r="H63" s="1165"/>
      <c r="I63" s="1166" t="s">
        <v>3010</v>
      </c>
      <c r="J63" s="1166"/>
    </row>
    <row r="64" spans="1:12">
      <c r="A64" s="1161">
        <f t="shared" si="5"/>
        <v>303</v>
      </c>
      <c r="B64" s="1163">
        <v>190</v>
      </c>
      <c r="C64" s="1156" t="s">
        <v>3011</v>
      </c>
      <c r="D64" s="1157">
        <v>1561144</v>
      </c>
      <c r="E64" s="1165">
        <f t="shared" si="4"/>
        <v>1561144</v>
      </c>
      <c r="F64" s="1165"/>
      <c r="G64" s="1165"/>
      <c r="H64" s="1165"/>
      <c r="I64" s="1166" t="s">
        <v>3004</v>
      </c>
      <c r="J64" s="1166"/>
    </row>
    <row r="65" spans="1:10">
      <c r="A65" s="1161">
        <f t="shared" si="5"/>
        <v>304</v>
      </c>
      <c r="B65" s="1163">
        <v>190</v>
      </c>
      <c r="C65" s="1156" t="s">
        <v>3012</v>
      </c>
      <c r="D65" s="1157">
        <v>-15234903</v>
      </c>
      <c r="E65" s="1165">
        <f>D65</f>
        <v>-15234903</v>
      </c>
      <c r="F65" s="1165"/>
      <c r="G65" s="1162"/>
      <c r="H65" s="1165"/>
      <c r="I65" s="1166" t="s">
        <v>3004</v>
      </c>
      <c r="J65" s="1166"/>
    </row>
    <row r="66" spans="1:10">
      <c r="A66" s="1161">
        <f>A65+1</f>
        <v>305</v>
      </c>
      <c r="B66" s="1163" t="s">
        <v>561</v>
      </c>
      <c r="C66" s="1156"/>
      <c r="D66" s="1157"/>
      <c r="E66" s="1165"/>
      <c r="F66" s="1165"/>
      <c r="G66" s="1165"/>
      <c r="H66" s="1165"/>
      <c r="I66" s="1166"/>
      <c r="J66" s="1166"/>
    </row>
    <row r="67" spans="1:10">
      <c r="A67" s="635"/>
      <c r="B67" s="684"/>
      <c r="C67" s="682"/>
      <c r="D67" s="683"/>
      <c r="E67" s="250"/>
      <c r="F67" s="250"/>
      <c r="G67" s="250"/>
      <c r="H67" s="250"/>
      <c r="I67" s="256"/>
      <c r="J67" s="256"/>
    </row>
    <row r="68" spans="1:10">
      <c r="A68" s="635"/>
      <c r="B68" s="684"/>
      <c r="C68" s="91" t="s">
        <v>391</v>
      </c>
      <c r="D68" s="91" t="s">
        <v>375</v>
      </c>
      <c r="E68" s="91" t="s">
        <v>376</v>
      </c>
      <c r="F68" s="91" t="s">
        <v>377</v>
      </c>
      <c r="G68" s="91" t="s">
        <v>378</v>
      </c>
      <c r="H68" s="91" t="s">
        <v>379</v>
      </c>
      <c r="I68" s="390" t="s">
        <v>198</v>
      </c>
    </row>
    <row r="69" spans="1:10">
      <c r="A69" s="605">
        <v>350</v>
      </c>
      <c r="B69" s="673"/>
      <c r="C69" s="673" t="s">
        <v>1778</v>
      </c>
      <c r="D69" s="694">
        <f>SUM(D61:D66)</f>
        <v>-10817147</v>
      </c>
      <c r="E69" s="694">
        <f>SUM(E61:E66)</f>
        <v>-10817147</v>
      </c>
      <c r="F69" s="686">
        <f>SUM(F61:F66)</f>
        <v>0</v>
      </c>
      <c r="G69" s="686">
        <f>SUM(G61:G66)</f>
        <v>0</v>
      </c>
      <c r="H69" s="686">
        <f>SUM(H61:H66)</f>
        <v>0</v>
      </c>
      <c r="I69" s="265" t="str">
        <f>"Sum of Above Lines beginning on Line "&amp;A61&amp;""</f>
        <v>Sum of Above Lines beginning on Line 300</v>
      </c>
    </row>
    <row r="70" spans="1:10">
      <c r="A70" s="605"/>
      <c r="B70" s="673"/>
      <c r="C70" s="673"/>
      <c r="D70" s="686"/>
      <c r="E70" s="686"/>
      <c r="F70" s="686"/>
      <c r="G70" s="686"/>
      <c r="H70" s="686"/>
      <c r="I70" s="265"/>
    </row>
    <row r="71" spans="1:10">
      <c r="A71" s="605">
        <f t="shared" ref="A71" si="6">A69+1</f>
        <v>351</v>
      </c>
      <c r="B71" s="673"/>
      <c r="C71" s="673" t="s">
        <v>1779</v>
      </c>
      <c r="D71" s="686">
        <f>+D69+D57</f>
        <v>1711569477</v>
      </c>
      <c r="E71" s="686">
        <f>+E69+E57</f>
        <v>1448323481.3430228</v>
      </c>
      <c r="F71" s="686">
        <f>+F69+F57</f>
        <v>0</v>
      </c>
      <c r="G71" s="686">
        <f>+G69+G57</f>
        <v>176284750.26724321</v>
      </c>
      <c r="H71" s="686">
        <f>+H69+H57</f>
        <v>86961245.389733851</v>
      </c>
      <c r="I71" s="591" t="str">
        <f>"Line "&amp;A57&amp;" + Line "&amp;A69&amp;""</f>
        <v>Line 250 + Line 350</v>
      </c>
    </row>
    <row r="72" spans="1:10">
      <c r="A72" s="605">
        <f>+A71+1</f>
        <v>352</v>
      </c>
      <c r="B72" s="673"/>
      <c r="C72" s="673" t="s">
        <v>1829</v>
      </c>
      <c r="D72" s="686"/>
      <c r="E72" s="686"/>
      <c r="F72" s="686"/>
      <c r="G72" s="688">
        <f>'27-Allocators'!$G$28</f>
        <v>0.19110914813082575</v>
      </c>
      <c r="H72" s="688">
        <f>'27-Allocators'!$G$15</f>
        <v>5.6231891976617258E-2</v>
      </c>
      <c r="I72" s="821" t="str">
        <f>"27-Allocators Lines "&amp;'27-Allocators'!A28&amp;" and "&amp;'27-Allocators'!A15&amp;" respectively."</f>
        <v>27-Allocators Lines 22 and 9 respectively.</v>
      </c>
    </row>
    <row r="73" spans="1:10">
      <c r="A73" s="605">
        <f>+A72+1</f>
        <v>353</v>
      </c>
      <c r="B73" s="673"/>
      <c r="C73" s="673" t="s">
        <v>1830</v>
      </c>
      <c r="D73" s="686">
        <f>SUM(F73:H73)</f>
        <v>38579623.808935829</v>
      </c>
      <c r="E73" s="686"/>
      <c r="F73" s="689">
        <f>+F71</f>
        <v>0</v>
      </c>
      <c r="G73" s="689">
        <f>+G71*G72</f>
        <v>33689628.452028207</v>
      </c>
      <c r="H73" s="689">
        <f>+H71*H72</f>
        <v>4889995.3569076192</v>
      </c>
      <c r="I73" s="591" t="str">
        <f>"Line "&amp;A71&amp;" * Line "&amp;A72&amp;" for Cols 5 and 6.  Col. 4 100% ISO."</f>
        <v>Line 351 * Line 352 for Cols 5 and 6.  Col. 4 100% ISO.</v>
      </c>
    </row>
    <row r="74" spans="1:10">
      <c r="A74" s="605"/>
      <c r="B74" s="673"/>
      <c r="C74" s="690" t="s">
        <v>1832</v>
      </c>
      <c r="D74" s="686"/>
      <c r="E74" s="686"/>
      <c r="F74" s="686"/>
      <c r="G74" s="686"/>
      <c r="H74" s="686"/>
      <c r="I74" s="591"/>
    </row>
    <row r="75" spans="1:10">
      <c r="A75" s="605"/>
      <c r="B75" s="673"/>
      <c r="C75" s="673"/>
      <c r="D75" s="686"/>
      <c r="E75" s="686"/>
      <c r="F75" s="686"/>
      <c r="G75" s="686"/>
      <c r="H75" s="686"/>
      <c r="I75" s="591"/>
    </row>
    <row r="76" spans="1:10">
      <c r="A76" s="605">
        <f>+A73+1</f>
        <v>354</v>
      </c>
      <c r="B76" s="673"/>
      <c r="C76" s="673" t="s">
        <v>1780</v>
      </c>
      <c r="D76" s="1164">
        <v>1711569477</v>
      </c>
      <c r="E76" s="691" t="str">
        <f>"Must match amount on Line "&amp;A71&amp;", Col. 2"</f>
        <v>Must match amount on Line 351, Col. 2</v>
      </c>
      <c r="G76" s="686"/>
      <c r="H76" s="686"/>
      <c r="I76" s="591" t="s">
        <v>1348</v>
      </c>
    </row>
    <row r="77" spans="1:10">
      <c r="A77" s="635"/>
      <c r="B77" s="673"/>
      <c r="C77" s="673"/>
      <c r="D77" s="692"/>
      <c r="E77" s="692"/>
      <c r="F77" s="692"/>
      <c r="G77" s="692"/>
      <c r="H77" s="692"/>
      <c r="I77" s="592"/>
    </row>
    <row r="78" spans="1:10">
      <c r="B78" s="672" t="s">
        <v>1781</v>
      </c>
      <c r="C78" s="693"/>
      <c r="D78" s="692"/>
    </row>
    <row r="79" spans="1:10">
      <c r="C79" s="91" t="s">
        <v>391</v>
      </c>
      <c r="D79" s="91" t="s">
        <v>375</v>
      </c>
      <c r="E79" s="91" t="s">
        <v>376</v>
      </c>
      <c r="F79" s="91" t="s">
        <v>377</v>
      </c>
      <c r="G79" s="91" t="s">
        <v>378</v>
      </c>
      <c r="H79" s="91" t="s">
        <v>379</v>
      </c>
      <c r="I79" s="91" t="s">
        <v>380</v>
      </c>
    </row>
    <row r="80" spans="1:10">
      <c r="B80" s="676"/>
      <c r="C80" s="676"/>
      <c r="D80" s="676" t="s">
        <v>1765</v>
      </c>
      <c r="E80" s="676" t="s">
        <v>1766</v>
      </c>
      <c r="F80" s="676"/>
      <c r="G80" s="676"/>
      <c r="H80" s="676" t="s">
        <v>1410</v>
      </c>
      <c r="I80" s="1036" t="s">
        <v>2262</v>
      </c>
    </row>
    <row r="81" spans="1:10">
      <c r="B81" s="679" t="s">
        <v>1782</v>
      </c>
      <c r="C81" s="679" t="s">
        <v>1768</v>
      </c>
      <c r="D81" s="679" t="s">
        <v>1769</v>
      </c>
      <c r="E81" s="679" t="s">
        <v>1770</v>
      </c>
      <c r="F81" s="679" t="s">
        <v>1771</v>
      </c>
      <c r="G81" s="679" t="s">
        <v>1772</v>
      </c>
      <c r="H81" s="679" t="s">
        <v>1759</v>
      </c>
      <c r="I81" s="679" t="s">
        <v>111</v>
      </c>
    </row>
    <row r="82" spans="1:10">
      <c r="A82" s="1161">
        <v>400</v>
      </c>
      <c r="B82" s="1167">
        <v>282</v>
      </c>
      <c r="C82" s="1168" t="s">
        <v>3013</v>
      </c>
      <c r="D82" s="1169">
        <v>-1090207015</v>
      </c>
      <c r="E82" s="1165"/>
      <c r="F82" s="1165">
        <f>D82</f>
        <v>-1090207015</v>
      </c>
      <c r="G82" s="1165"/>
      <c r="H82" s="1165"/>
      <c r="I82" s="1166" t="s">
        <v>3014</v>
      </c>
      <c r="J82" s="1166"/>
    </row>
    <row r="83" spans="1:10">
      <c r="A83" s="1161">
        <f t="shared" ref="A83:A87" si="7">A82+1</f>
        <v>401</v>
      </c>
      <c r="B83" s="1167">
        <v>282</v>
      </c>
      <c r="C83" s="1170" t="s">
        <v>2999</v>
      </c>
      <c r="D83" s="1169">
        <v>-5756860298</v>
      </c>
      <c r="E83" s="1165">
        <f>D83</f>
        <v>-5756860298</v>
      </c>
      <c r="F83" s="1165"/>
      <c r="G83" s="1165"/>
      <c r="H83" s="1165"/>
      <c r="I83" s="1166" t="s">
        <v>3015</v>
      </c>
      <c r="J83" s="1166"/>
    </row>
    <row r="84" spans="1:10">
      <c r="A84" s="1161">
        <f t="shared" si="7"/>
        <v>402</v>
      </c>
      <c r="B84" s="1167">
        <v>282</v>
      </c>
      <c r="C84" s="1168" t="s">
        <v>3016</v>
      </c>
      <c r="D84" s="1169">
        <v>-25491012</v>
      </c>
      <c r="E84" s="1165">
        <f t="shared" ref="E84:E87" si="8">D84</f>
        <v>-25491012</v>
      </c>
      <c r="F84" s="1165"/>
      <c r="G84" s="1165"/>
      <c r="H84" s="1165"/>
      <c r="I84" s="1166" t="s">
        <v>3017</v>
      </c>
      <c r="J84" s="1166"/>
    </row>
    <row r="85" spans="1:10">
      <c r="A85" s="1161">
        <f t="shared" si="7"/>
        <v>403</v>
      </c>
      <c r="B85" s="1167">
        <v>282</v>
      </c>
      <c r="C85" s="1168" t="s">
        <v>3018</v>
      </c>
      <c r="D85" s="1169">
        <v>-865727</v>
      </c>
      <c r="E85" s="1165">
        <f t="shared" si="8"/>
        <v>-865727</v>
      </c>
      <c r="F85" s="1165"/>
      <c r="G85" s="1165"/>
      <c r="H85" s="1165"/>
      <c r="I85" s="1166" t="s">
        <v>3019</v>
      </c>
      <c r="J85" s="1166"/>
    </row>
    <row r="86" spans="1:10">
      <c r="A86" s="1161">
        <f t="shared" si="7"/>
        <v>404</v>
      </c>
      <c r="B86" s="1167">
        <v>282</v>
      </c>
      <c r="C86" s="1170" t="s">
        <v>3020</v>
      </c>
      <c r="D86" s="1169">
        <v>-936176</v>
      </c>
      <c r="E86" s="1165">
        <f t="shared" si="8"/>
        <v>-936176</v>
      </c>
      <c r="F86" s="1165"/>
      <c r="G86" s="1165"/>
      <c r="H86" s="1165"/>
      <c r="I86" s="1166" t="s">
        <v>3008</v>
      </c>
      <c r="J86" s="1166"/>
    </row>
    <row r="87" spans="1:10">
      <c r="A87" s="1161">
        <f t="shared" si="7"/>
        <v>405</v>
      </c>
      <c r="B87" s="1167">
        <v>282</v>
      </c>
      <c r="C87" s="1170" t="s">
        <v>3021</v>
      </c>
      <c r="D87" s="1169">
        <v>-6492275</v>
      </c>
      <c r="E87" s="1165">
        <f t="shared" si="8"/>
        <v>-6492275</v>
      </c>
      <c r="F87" s="1165"/>
      <c r="G87" s="1165"/>
      <c r="H87" s="1165"/>
      <c r="I87" s="1166" t="s">
        <v>3010</v>
      </c>
      <c r="J87" s="1166"/>
    </row>
    <row r="88" spans="1:10">
      <c r="A88" s="1161">
        <f>A87+1</f>
        <v>406</v>
      </c>
      <c r="B88" s="1167" t="s">
        <v>561</v>
      </c>
      <c r="C88" s="1168"/>
      <c r="D88" s="1169"/>
      <c r="E88" s="1165"/>
      <c r="F88" s="1165"/>
      <c r="G88" s="1165"/>
      <c r="H88" s="1165"/>
      <c r="I88" s="1166"/>
      <c r="J88" s="1166"/>
    </row>
    <row r="89" spans="1:10">
      <c r="A89" s="635"/>
      <c r="B89" s="594"/>
      <c r="C89" s="517"/>
      <c r="D89" s="694"/>
      <c r="E89" s="250"/>
      <c r="F89" s="250"/>
      <c r="G89" s="250"/>
      <c r="H89" s="250"/>
      <c r="I89" s="256"/>
      <c r="J89" s="256"/>
    </row>
    <row r="90" spans="1:10">
      <c r="A90" s="635"/>
      <c r="B90" s="594"/>
      <c r="C90" s="91" t="s">
        <v>391</v>
      </c>
      <c r="D90" s="91" t="s">
        <v>375</v>
      </c>
      <c r="E90" s="91" t="s">
        <v>376</v>
      </c>
      <c r="F90" s="91" t="s">
        <v>377</v>
      </c>
      <c r="G90" s="91" t="s">
        <v>378</v>
      </c>
      <c r="H90" s="91" t="s">
        <v>379</v>
      </c>
      <c r="I90" s="390" t="s">
        <v>198</v>
      </c>
      <c r="J90" s="256"/>
    </row>
    <row r="91" spans="1:10">
      <c r="A91" s="120">
        <v>450</v>
      </c>
      <c r="B91" s="516"/>
      <c r="C91" s="515" t="s">
        <v>1828</v>
      </c>
      <c r="D91" s="686">
        <f>SUM(D82:D88)</f>
        <v>-6880852503</v>
      </c>
      <c r="E91" s="686">
        <f>SUM(E82:E88)</f>
        <v>-5790645488</v>
      </c>
      <c r="F91" s="686">
        <f>SUM(F82:F88)</f>
        <v>-1090207015</v>
      </c>
      <c r="G91" s="686">
        <f>SUM(G82:G88)</f>
        <v>0</v>
      </c>
      <c r="H91" s="686">
        <f>SUM(H82:H88)</f>
        <v>0</v>
      </c>
      <c r="I91" s="265" t="str">
        <f>"Sum of Above Lines beginning on Line "&amp;A82&amp;""</f>
        <v>Sum of Above Lines beginning on Line 400</v>
      </c>
    </row>
    <row r="92" spans="1:10">
      <c r="A92" s="605">
        <f>+A91+1</f>
        <v>451</v>
      </c>
      <c r="B92" s="673"/>
      <c r="C92" s="673" t="s">
        <v>1829</v>
      </c>
      <c r="D92" s="686"/>
      <c r="E92" s="686"/>
      <c r="F92" s="686"/>
      <c r="G92" s="688">
        <f>'27-Allocators'!$G$28</f>
        <v>0.19110914813082575</v>
      </c>
      <c r="H92" s="688">
        <f>'27-Allocators'!$G$15</f>
        <v>5.6231891976617258E-2</v>
      </c>
      <c r="I92" s="821" t="str">
        <f>"27-Allocators Lines "&amp;'27-Allocators'!A28&amp;" and "&amp;'27-Allocators'!A15&amp;" respectively."</f>
        <v>27-Allocators Lines 22 and 9 respectively.</v>
      </c>
    </row>
    <row r="93" spans="1:10">
      <c r="A93" s="605">
        <f>+A92+1</f>
        <v>452</v>
      </c>
      <c r="B93" s="673"/>
      <c r="C93" s="673" t="s">
        <v>1831</v>
      </c>
      <c r="D93" s="686">
        <f>SUM(F93:H93)</f>
        <v>-1090207015</v>
      </c>
      <c r="E93" s="686"/>
      <c r="F93" s="689">
        <f>+F91</f>
        <v>-1090207015</v>
      </c>
      <c r="G93" s="689">
        <f>+G91*G92</f>
        <v>0</v>
      </c>
      <c r="H93" s="689">
        <f>+H91*H92</f>
        <v>0</v>
      </c>
      <c r="I93" s="591" t="str">
        <f>"Line "&amp;A91&amp;" * Line "&amp;A92&amp;" for Cols 5 and 6.  Col. 4 100% ISO."</f>
        <v>Line 450 * Line 451 for Cols 5 and 6.  Col. 4 100% ISO.</v>
      </c>
    </row>
    <row r="94" spans="1:10">
      <c r="A94" s="605"/>
      <c r="B94" s="673"/>
      <c r="C94" s="690" t="s">
        <v>1832</v>
      </c>
      <c r="D94" s="686"/>
      <c r="E94" s="686"/>
      <c r="F94" s="686"/>
      <c r="G94" s="686"/>
      <c r="H94" s="686"/>
      <c r="I94" s="591"/>
    </row>
    <row r="95" spans="1:10">
      <c r="A95" s="120"/>
      <c r="B95" s="516"/>
      <c r="C95" s="515"/>
      <c r="D95" s="686"/>
      <c r="E95" s="686"/>
      <c r="F95" s="686"/>
      <c r="G95" s="686"/>
      <c r="H95" s="686"/>
      <c r="I95" s="265"/>
    </row>
    <row r="96" spans="1:10">
      <c r="A96" s="120">
        <f>+A93+1</f>
        <v>453</v>
      </c>
      <c r="B96" s="516"/>
      <c r="C96" s="673" t="s">
        <v>1783</v>
      </c>
      <c r="D96" s="1164">
        <v>6880852503</v>
      </c>
      <c r="E96" s="691" t="str">
        <f>"Must match amount on Line "&amp;A91&amp;", Col. 2"</f>
        <v>Must match amount on Line 450, Col. 2</v>
      </c>
      <c r="F96" s="686"/>
      <c r="G96" s="686"/>
      <c r="H96" s="686"/>
      <c r="I96" s="265" t="s">
        <v>1784</v>
      </c>
    </row>
    <row r="97" spans="1:10">
      <c r="A97" s="635"/>
      <c r="B97" s="516"/>
      <c r="C97" s="515"/>
      <c r="D97" s="686"/>
      <c r="E97" s="686"/>
      <c r="F97" s="686"/>
      <c r="G97" s="686"/>
      <c r="H97" s="686"/>
      <c r="I97" s="265"/>
    </row>
    <row r="98" spans="1:10">
      <c r="A98" s="635"/>
      <c r="B98" s="516"/>
      <c r="C98" s="515"/>
      <c r="D98" s="686"/>
      <c r="E98" s="686"/>
      <c r="F98" s="686"/>
      <c r="G98" s="686"/>
      <c r="H98" s="686"/>
      <c r="I98" s="592"/>
    </row>
    <row r="99" spans="1:10">
      <c r="B99" s="672" t="s">
        <v>1785</v>
      </c>
      <c r="C99" s="695"/>
      <c r="D99" s="686"/>
      <c r="E99" s="248"/>
      <c r="F99" s="248"/>
      <c r="G99" s="248"/>
      <c r="H99" s="248"/>
    </row>
    <row r="100" spans="1:10">
      <c r="B100" s="672"/>
      <c r="C100" s="91" t="s">
        <v>391</v>
      </c>
      <c r="D100" s="91" t="s">
        <v>375</v>
      </c>
      <c r="E100" s="91" t="s">
        <v>376</v>
      </c>
      <c r="F100" s="91" t="s">
        <v>377</v>
      </c>
      <c r="G100" s="91" t="s">
        <v>378</v>
      </c>
      <c r="H100" s="91" t="s">
        <v>379</v>
      </c>
      <c r="I100" s="91" t="s">
        <v>380</v>
      </c>
    </row>
    <row r="101" spans="1:10">
      <c r="B101" s="676"/>
      <c r="C101" s="676"/>
      <c r="D101" s="696" t="s">
        <v>1765</v>
      </c>
      <c r="E101" s="696" t="s">
        <v>1766</v>
      </c>
      <c r="F101" s="696"/>
      <c r="G101" s="696"/>
      <c r="H101" s="696" t="s">
        <v>1410</v>
      </c>
      <c r="I101" s="1036" t="s">
        <v>2262</v>
      </c>
    </row>
    <row r="102" spans="1:10">
      <c r="B102" s="679" t="s">
        <v>1786</v>
      </c>
      <c r="C102" s="679" t="s">
        <v>1768</v>
      </c>
      <c r="D102" s="697" t="s">
        <v>1769</v>
      </c>
      <c r="E102" s="697" t="s">
        <v>1770</v>
      </c>
      <c r="F102" s="697" t="s">
        <v>1771</v>
      </c>
      <c r="G102" s="697" t="s">
        <v>1772</v>
      </c>
      <c r="H102" s="697" t="s">
        <v>1759</v>
      </c>
      <c r="I102" s="679" t="s">
        <v>111</v>
      </c>
    </row>
    <row r="103" spans="1:10">
      <c r="A103" s="635"/>
      <c r="B103" s="673" t="s">
        <v>1774</v>
      </c>
      <c r="D103" s="248"/>
      <c r="E103" s="248"/>
      <c r="F103" s="248"/>
      <c r="G103" s="248"/>
      <c r="H103" s="248"/>
    </row>
    <row r="104" spans="1:10">
      <c r="A104" s="1161">
        <v>500</v>
      </c>
      <c r="B104" s="1167">
        <v>283</v>
      </c>
      <c r="C104" s="1170" t="s">
        <v>3022</v>
      </c>
      <c r="D104" s="819">
        <v>-42051267</v>
      </c>
      <c r="E104" s="1165"/>
      <c r="F104" s="1165"/>
      <c r="G104" s="1165">
        <f>D104</f>
        <v>-42051267</v>
      </c>
      <c r="H104" s="1165"/>
      <c r="I104" s="1166" t="s">
        <v>3023</v>
      </c>
      <c r="J104" s="1159"/>
    </row>
    <row r="105" spans="1:10">
      <c r="A105" s="1161">
        <f t="shared" ref="A105:A113" si="9">A104+1</f>
        <v>501</v>
      </c>
      <c r="B105" s="1167">
        <v>283</v>
      </c>
      <c r="C105" s="1170" t="s">
        <v>3024</v>
      </c>
      <c r="D105" s="819">
        <v>-39655122</v>
      </c>
      <c r="E105" s="1165">
        <f>D105*$G$160</f>
        <v>-30927.326836489832</v>
      </c>
      <c r="F105" s="1165"/>
      <c r="G105" s="1165">
        <f>D105-E105</f>
        <v>-39624194.673163511</v>
      </c>
      <c r="H105" s="1165"/>
      <c r="I105" s="1166" t="s">
        <v>2982</v>
      </c>
      <c r="J105" s="1159"/>
    </row>
    <row r="106" spans="1:10">
      <c r="A106" s="1161">
        <f t="shared" si="9"/>
        <v>502</v>
      </c>
      <c r="B106" s="1167">
        <v>283</v>
      </c>
      <c r="C106" s="1170" t="s">
        <v>3025</v>
      </c>
      <c r="D106" s="819">
        <v>-1149642</v>
      </c>
      <c r="E106" s="1165">
        <f>D106*$G$152</f>
        <v>-3293.9845106411753</v>
      </c>
      <c r="F106" s="1165"/>
      <c r="G106" s="1165"/>
      <c r="H106" s="1165">
        <f>D106-E106</f>
        <v>-1146348.0154893589</v>
      </c>
      <c r="I106" s="1166" t="s">
        <v>2984</v>
      </c>
      <c r="J106" s="1159"/>
    </row>
    <row r="107" spans="1:10">
      <c r="A107" s="1161">
        <f t="shared" si="9"/>
        <v>503</v>
      </c>
      <c r="B107" s="1167">
        <v>283</v>
      </c>
      <c r="C107" s="1170" t="s">
        <v>2994</v>
      </c>
      <c r="D107" s="819">
        <v>-158026051</v>
      </c>
      <c r="E107" s="1165">
        <f>D107</f>
        <v>-158026051</v>
      </c>
      <c r="F107" s="1165"/>
      <c r="G107" s="1165"/>
      <c r="H107" s="1165"/>
      <c r="I107" s="1166" t="s">
        <v>2995</v>
      </c>
      <c r="J107" s="1159"/>
    </row>
    <row r="108" spans="1:10">
      <c r="A108" s="1161">
        <f t="shared" si="9"/>
        <v>504</v>
      </c>
      <c r="B108" s="1167">
        <v>283</v>
      </c>
      <c r="C108" s="1170" t="s">
        <v>3026</v>
      </c>
      <c r="D108" s="819">
        <v>0</v>
      </c>
      <c r="E108" s="1165">
        <f>D108</f>
        <v>0</v>
      </c>
      <c r="F108" s="1165"/>
      <c r="G108" s="1165"/>
      <c r="H108" s="1165"/>
      <c r="I108" s="1166" t="s">
        <v>3017</v>
      </c>
      <c r="J108" s="1159"/>
    </row>
    <row r="109" spans="1:10">
      <c r="A109" s="1161">
        <f t="shared" si="9"/>
        <v>505</v>
      </c>
      <c r="B109" s="1167">
        <v>283</v>
      </c>
      <c r="C109" s="1170" t="s">
        <v>2992</v>
      </c>
      <c r="D109" s="819">
        <v>-422955253</v>
      </c>
      <c r="E109" s="1165">
        <f>D109</f>
        <v>-422955253</v>
      </c>
      <c r="F109" s="1165"/>
      <c r="G109" s="1165"/>
      <c r="H109" s="1165"/>
      <c r="I109" s="1166" t="s">
        <v>2993</v>
      </c>
      <c r="J109" s="1159"/>
    </row>
    <row r="110" spans="1:10">
      <c r="A110" s="1161">
        <f t="shared" si="9"/>
        <v>506</v>
      </c>
      <c r="B110" s="1167">
        <v>283</v>
      </c>
      <c r="C110" s="1170" t="s">
        <v>2999</v>
      </c>
      <c r="D110" s="819">
        <v>0</v>
      </c>
      <c r="E110" s="1165">
        <f>D110</f>
        <v>0</v>
      </c>
      <c r="F110" s="1165"/>
      <c r="G110" s="1165"/>
      <c r="H110" s="1165"/>
      <c r="I110" s="1166" t="s">
        <v>3015</v>
      </c>
      <c r="J110" s="1159"/>
    </row>
    <row r="111" spans="1:10">
      <c r="A111" s="1161">
        <f t="shared" si="9"/>
        <v>507</v>
      </c>
      <c r="B111" s="1167">
        <v>283</v>
      </c>
      <c r="C111" s="1170" t="s">
        <v>3001</v>
      </c>
      <c r="D111" s="819">
        <v>0</v>
      </c>
      <c r="E111" s="1165">
        <f t="shared" ref="E111" si="10">D111</f>
        <v>0</v>
      </c>
      <c r="F111" s="1165"/>
      <c r="G111" s="1165"/>
      <c r="H111" s="1165"/>
      <c r="I111" s="1166" t="s">
        <v>3002</v>
      </c>
      <c r="J111" s="1159"/>
    </row>
    <row r="112" spans="1:10">
      <c r="A112" s="1161">
        <f t="shared" si="9"/>
        <v>508</v>
      </c>
      <c r="B112" s="1167">
        <v>283</v>
      </c>
      <c r="C112" s="1170" t="s">
        <v>3003</v>
      </c>
      <c r="D112" s="819">
        <v>-83907538</v>
      </c>
      <c r="E112" s="1234">
        <f>D112</f>
        <v>-83907538</v>
      </c>
      <c r="F112" s="1165"/>
      <c r="G112" s="1165"/>
      <c r="H112" s="1165"/>
      <c r="I112" s="1166" t="s">
        <v>3027</v>
      </c>
      <c r="J112" s="1159"/>
    </row>
    <row r="113" spans="1:10">
      <c r="A113" s="1161">
        <f t="shared" si="9"/>
        <v>509</v>
      </c>
      <c r="B113" s="1163" t="s">
        <v>561</v>
      </c>
      <c r="C113" s="595"/>
      <c r="D113" s="596"/>
      <c r="E113" s="1235"/>
      <c r="F113" s="1162"/>
      <c r="G113" s="1162"/>
      <c r="H113" s="1162"/>
      <c r="I113" s="1159"/>
      <c r="J113" s="1159"/>
    </row>
    <row r="114" spans="1:10">
      <c r="A114" s="120"/>
      <c r="B114" s="597"/>
      <c r="C114" s="598"/>
      <c r="D114" s="599"/>
      <c r="E114" s="250"/>
      <c r="F114" s="250"/>
      <c r="G114" s="250"/>
      <c r="H114" s="250"/>
      <c r="I114" s="256"/>
      <c r="J114" s="256"/>
    </row>
    <row r="115" spans="1:10">
      <c r="A115" s="120"/>
      <c r="B115" s="672" t="s">
        <v>1787</v>
      </c>
      <c r="C115" s="695"/>
      <c r="D115" s="686"/>
      <c r="E115" s="248"/>
      <c r="F115" s="248"/>
      <c r="G115" s="248"/>
      <c r="H115" s="248"/>
      <c r="J115" s="256"/>
    </row>
    <row r="116" spans="1:10">
      <c r="A116" s="120"/>
      <c r="B116" s="672"/>
      <c r="C116" s="91" t="s">
        <v>391</v>
      </c>
      <c r="D116" s="91" t="s">
        <v>375</v>
      </c>
      <c r="E116" s="91" t="s">
        <v>376</v>
      </c>
      <c r="F116" s="91" t="s">
        <v>377</v>
      </c>
      <c r="G116" s="91" t="s">
        <v>378</v>
      </c>
      <c r="H116" s="91" t="s">
        <v>379</v>
      </c>
      <c r="I116" s="91" t="s">
        <v>380</v>
      </c>
      <c r="J116" s="256"/>
    </row>
    <row r="117" spans="1:10">
      <c r="A117" s="120"/>
      <c r="B117" s="676"/>
      <c r="C117" s="676"/>
      <c r="D117" s="696" t="s">
        <v>1765</v>
      </c>
      <c r="E117" s="696" t="s">
        <v>1766</v>
      </c>
      <c r="F117" s="696"/>
      <c r="G117" s="696"/>
      <c r="H117" s="696" t="s">
        <v>1410</v>
      </c>
      <c r="I117" s="1036" t="s">
        <v>2262</v>
      </c>
      <c r="J117" s="256"/>
    </row>
    <row r="118" spans="1:10">
      <c r="A118" s="120"/>
      <c r="B118" s="679" t="s">
        <v>1786</v>
      </c>
      <c r="C118" s="679" t="s">
        <v>1768</v>
      </c>
      <c r="D118" s="697" t="s">
        <v>1769</v>
      </c>
      <c r="E118" s="697" t="s">
        <v>1770</v>
      </c>
      <c r="F118" s="697" t="s">
        <v>1771</v>
      </c>
      <c r="G118" s="697" t="s">
        <v>1772</v>
      </c>
      <c r="H118" s="697" t="s">
        <v>1759</v>
      </c>
      <c r="I118" s="679" t="s">
        <v>111</v>
      </c>
      <c r="J118" s="256"/>
    </row>
    <row r="119" spans="1:10">
      <c r="A119" s="120"/>
      <c r="B119" s="673" t="s">
        <v>1788</v>
      </c>
      <c r="C119" s="676"/>
      <c r="D119" s="696"/>
      <c r="E119" s="696"/>
      <c r="F119" s="696"/>
      <c r="G119" s="696"/>
      <c r="H119" s="696"/>
      <c r="I119" s="676"/>
      <c r="J119" s="256"/>
    </row>
    <row r="120" spans="1:10">
      <c r="A120" s="1161">
        <v>510</v>
      </c>
      <c r="B120" s="1163" t="s">
        <v>561</v>
      </c>
      <c r="C120" s="595"/>
      <c r="D120" s="596"/>
      <c r="E120" s="1235"/>
      <c r="F120" s="1162"/>
      <c r="G120" s="1162"/>
      <c r="H120" s="1162"/>
      <c r="I120" s="1159"/>
      <c r="J120" s="1159"/>
    </row>
    <row r="121" spans="1:10">
      <c r="A121" s="120"/>
      <c r="B121" s="600"/>
      <c r="C121" s="601"/>
      <c r="D121" s="518"/>
      <c r="E121" s="250"/>
      <c r="F121" s="250"/>
      <c r="G121" s="250"/>
      <c r="H121" s="250"/>
      <c r="I121" s="256"/>
      <c r="J121" s="256"/>
    </row>
    <row r="122" spans="1:10">
      <c r="A122" s="120">
        <v>650</v>
      </c>
      <c r="B122" s="601"/>
      <c r="C122" s="601" t="s">
        <v>1789</v>
      </c>
      <c r="D122" s="518">
        <f>SUM(D104:D113)+SUM(D120:D120)</f>
        <v>-747744873</v>
      </c>
      <c r="E122" s="518">
        <f>SUM(E104:E113)+SUM(E120:E120)</f>
        <v>-664923063.31134713</v>
      </c>
      <c r="F122" s="518">
        <f>SUM(F104:F113)+SUM(F120:F120)</f>
        <v>0</v>
      </c>
      <c r="G122" s="518">
        <f>SUM(G104:G113)+SUM(G120:G120)</f>
        <v>-81675461.673163503</v>
      </c>
      <c r="H122" s="518">
        <f>SUM(H104:H113)+SUM(H120:H120)</f>
        <v>-1146348.0154893589</v>
      </c>
      <c r="I122" s="265" t="str">
        <f>"Sum of Above Lines beginning on Line "&amp;A104&amp;""</f>
        <v>Sum of Above Lines beginning on Line 500</v>
      </c>
    </row>
    <row r="123" spans="1:10">
      <c r="A123" s="120"/>
      <c r="B123" s="601"/>
      <c r="C123" s="601"/>
      <c r="D123" s="518"/>
      <c r="E123" s="518"/>
      <c r="F123" s="518"/>
      <c r="G123" s="518"/>
      <c r="H123" s="518"/>
      <c r="I123" s="592"/>
    </row>
    <row r="124" spans="1:10">
      <c r="A124" s="635"/>
      <c r="B124" s="682" t="s">
        <v>1939</v>
      </c>
      <c r="C124" s="601"/>
      <c r="D124" s="518"/>
      <c r="E124" s="248"/>
      <c r="F124" s="248"/>
      <c r="G124" s="248"/>
      <c r="H124" s="248"/>
      <c r="I124" s="1036" t="s">
        <v>2262</v>
      </c>
    </row>
    <row r="125" spans="1:10">
      <c r="A125" s="635"/>
      <c r="C125" s="91" t="s">
        <v>391</v>
      </c>
      <c r="D125" s="91" t="s">
        <v>375</v>
      </c>
      <c r="E125" s="91" t="s">
        <v>376</v>
      </c>
      <c r="F125" s="91" t="s">
        <v>377</v>
      </c>
      <c r="G125" s="91" t="s">
        <v>378</v>
      </c>
      <c r="H125" s="91" t="s">
        <v>379</v>
      </c>
      <c r="I125" s="91" t="s">
        <v>380</v>
      </c>
    </row>
    <row r="126" spans="1:10">
      <c r="A126" s="1161">
        <v>700</v>
      </c>
      <c r="B126" s="1167">
        <v>283</v>
      </c>
      <c r="C126" s="1170" t="s">
        <v>3007</v>
      </c>
      <c r="D126" s="820">
        <v>-61716</v>
      </c>
      <c r="E126" s="1165">
        <f>D126</f>
        <v>-61716</v>
      </c>
      <c r="F126" s="1165"/>
      <c r="G126" s="1165"/>
      <c r="H126" s="1165"/>
      <c r="I126" s="1166" t="s">
        <v>3008</v>
      </c>
      <c r="J126" s="1166"/>
    </row>
    <row r="127" spans="1:10">
      <c r="A127" s="1161">
        <f>A126+1</f>
        <v>701</v>
      </c>
      <c r="B127" s="1167">
        <v>283</v>
      </c>
      <c r="C127" s="1170" t="s">
        <v>3011</v>
      </c>
      <c r="D127" s="820">
        <v>-4351620</v>
      </c>
      <c r="E127" s="1165">
        <f>D127</f>
        <v>-4351620</v>
      </c>
      <c r="F127" s="1165"/>
      <c r="G127" s="1165"/>
      <c r="H127" s="1165"/>
      <c r="I127" s="1166" t="s">
        <v>3010</v>
      </c>
      <c r="J127" s="1166"/>
    </row>
    <row r="128" spans="1:10">
      <c r="A128" s="1161">
        <f>A127+1</f>
        <v>702</v>
      </c>
      <c r="B128" s="818" t="s">
        <v>561</v>
      </c>
      <c r="C128" s="1170"/>
      <c r="D128" s="820"/>
      <c r="E128" s="1165"/>
      <c r="F128" s="1165"/>
      <c r="G128" s="1165"/>
      <c r="H128" s="1165"/>
      <c r="I128" s="1166"/>
      <c r="J128" s="1166"/>
    </row>
    <row r="129" spans="1:10">
      <c r="A129" s="120"/>
      <c r="B129" s="597"/>
      <c r="C129" s="598"/>
      <c r="D129" s="599"/>
      <c r="E129" s="250"/>
      <c r="F129" s="250"/>
      <c r="G129" s="250"/>
      <c r="H129" s="250"/>
      <c r="I129" s="256"/>
      <c r="J129" s="256"/>
    </row>
    <row r="130" spans="1:10">
      <c r="A130" s="120"/>
      <c r="B130" s="601"/>
      <c r="C130" s="91" t="s">
        <v>391</v>
      </c>
      <c r="D130" s="91" t="s">
        <v>375</v>
      </c>
      <c r="E130" s="91" t="s">
        <v>376</v>
      </c>
      <c r="F130" s="91" t="s">
        <v>377</v>
      </c>
      <c r="G130" s="91" t="s">
        <v>378</v>
      </c>
      <c r="H130" s="91" t="s">
        <v>379</v>
      </c>
      <c r="I130" s="390" t="s">
        <v>198</v>
      </c>
    </row>
    <row r="131" spans="1:10">
      <c r="A131" s="120">
        <v>800</v>
      </c>
      <c r="C131" s="517" t="s">
        <v>1790</v>
      </c>
      <c r="D131" s="518">
        <f>SUM(D126:D128)</f>
        <v>-4413336</v>
      </c>
      <c r="E131" s="518">
        <f>SUM(E126:E128)</f>
        <v>-4413336</v>
      </c>
      <c r="F131" s="518">
        <f>SUM(F126:F128)</f>
        <v>0</v>
      </c>
      <c r="G131" s="518">
        <f>SUM(G126:G128)</f>
        <v>0</v>
      </c>
      <c r="H131" s="518">
        <f>SUM(H126:H128)</f>
        <v>0</v>
      </c>
      <c r="I131" s="265" t="str">
        <f>"Sum of Above Lines beginning on Line "&amp;A126&amp;""</f>
        <v>Sum of Above Lines beginning on Line 700</v>
      </c>
    </row>
    <row r="132" spans="1:10">
      <c r="A132" s="120"/>
      <c r="C132" s="517"/>
      <c r="D132" s="518"/>
      <c r="E132" s="518"/>
      <c r="F132" s="518"/>
      <c r="G132" s="518"/>
      <c r="H132" s="518"/>
      <c r="I132" s="265"/>
    </row>
    <row r="133" spans="1:10">
      <c r="A133" s="120">
        <f>A131+1</f>
        <v>801</v>
      </c>
      <c r="C133" s="517" t="s">
        <v>1791</v>
      </c>
      <c r="D133" s="518">
        <f>D122+D131</f>
        <v>-752158209</v>
      </c>
      <c r="E133" s="518">
        <f>E122+E131</f>
        <v>-669336399.31134713</v>
      </c>
      <c r="F133" s="518">
        <f>F122+F131</f>
        <v>0</v>
      </c>
      <c r="G133" s="518">
        <f>G122+G131</f>
        <v>-81675461.673163503</v>
      </c>
      <c r="H133" s="518">
        <f>H122+H131</f>
        <v>-1146348.0154893589</v>
      </c>
      <c r="I133" s="591" t="str">
        <f>"Line "&amp;A122&amp;" + Line "&amp;A131&amp;""</f>
        <v>Line 650 + Line 800</v>
      </c>
    </row>
    <row r="134" spans="1:10">
      <c r="A134" s="605">
        <f>+A133+1</f>
        <v>802</v>
      </c>
      <c r="B134" s="673"/>
      <c r="C134" s="673" t="s">
        <v>1829</v>
      </c>
      <c r="D134" s="1120"/>
      <c r="E134" s="1120"/>
      <c r="F134" s="686"/>
      <c r="G134" s="688">
        <f>'27-Allocators'!$G$28</f>
        <v>0.19110914813082575</v>
      </c>
      <c r="H134" s="688">
        <f>'27-Allocators'!$G$15</f>
        <v>5.6231891976617258E-2</v>
      </c>
      <c r="I134" s="821" t="str">
        <f>"27-Allocators Lines "&amp;'27-Allocators'!A28&amp;" and "&amp;'27-Allocators'!A15&amp;" respectively."</f>
        <v>27-Allocators Lines 22 and 9 respectively.</v>
      </c>
    </row>
    <row r="135" spans="1:10">
      <c r="A135" s="605">
        <f>+A134+1</f>
        <v>803</v>
      </c>
      <c r="B135" s="673"/>
      <c r="C135" s="673" t="s">
        <v>1833</v>
      </c>
      <c r="D135" s="694">
        <f>SUM(F135:H135)</f>
        <v>-15673389.221324792</v>
      </c>
      <c r="E135" s="686"/>
      <c r="F135" s="689">
        <f>+F133</f>
        <v>0</v>
      </c>
      <c r="G135" s="689">
        <f>+G133*G134</f>
        <v>-15608927.903550185</v>
      </c>
      <c r="H135" s="1192">
        <f>+H133*H134</f>
        <v>-64461.317774607196</v>
      </c>
      <c r="I135" s="591" t="str">
        <f>"Line "&amp;A133&amp;" * Line "&amp;A134&amp;" for Cols 5 and 6.  Col. 4 100% ISO."</f>
        <v>Line 801 * Line 802 for Cols 5 and 6.  Col. 4 100% ISO.</v>
      </c>
    </row>
    <row r="136" spans="1:10">
      <c r="A136" s="120"/>
      <c r="C136" s="690" t="s">
        <v>1832</v>
      </c>
      <c r="D136" s="518"/>
      <c r="E136" s="518"/>
      <c r="F136" s="518"/>
      <c r="G136" s="518"/>
      <c r="H136" s="518"/>
      <c r="I136" s="591"/>
      <c r="J136" s="248"/>
    </row>
    <row r="137" spans="1:10">
      <c r="A137" s="120"/>
      <c r="C137" s="517"/>
      <c r="D137" s="518"/>
      <c r="E137" s="518"/>
      <c r="F137" s="518"/>
      <c r="G137" s="518"/>
      <c r="H137" s="518"/>
      <c r="I137" s="591"/>
    </row>
    <row r="138" spans="1:10">
      <c r="A138" s="120">
        <f>A135+1</f>
        <v>804</v>
      </c>
      <c r="C138" s="673" t="s">
        <v>1817</v>
      </c>
      <c r="D138" s="1164">
        <v>752158209</v>
      </c>
      <c r="E138" s="691" t="str">
        <f>"Must match amount on Line "&amp;A133&amp;", Col. 2"</f>
        <v>Must match amount on Line 801, Col. 2</v>
      </c>
      <c r="F138" s="686"/>
      <c r="G138" s="686"/>
      <c r="H138" s="686"/>
      <c r="I138" s="265" t="s">
        <v>1344</v>
      </c>
    </row>
    <row r="139" spans="1:10">
      <c r="B139" s="515"/>
      <c r="C139" s="515"/>
      <c r="D139" s="515"/>
      <c r="E139" s="515"/>
      <c r="F139" s="515"/>
      <c r="G139" s="515"/>
      <c r="H139" s="515"/>
      <c r="I139" s="519"/>
      <c r="J139" s="515"/>
    </row>
    <row r="140" spans="1:10">
      <c r="B140" s="515"/>
      <c r="C140" s="256" t="s">
        <v>2263</v>
      </c>
      <c r="D140" s="256"/>
      <c r="E140" s="256"/>
      <c r="F140" s="256"/>
      <c r="G140" s="256"/>
      <c r="J140" s="515"/>
    </row>
    <row r="141" spans="1:10">
      <c r="B141" s="515"/>
      <c r="C141" s="256" t="s">
        <v>2264</v>
      </c>
      <c r="D141" s="256"/>
      <c r="E141" s="256"/>
      <c r="F141" s="256"/>
      <c r="G141" s="256"/>
      <c r="J141" s="515"/>
    </row>
    <row r="142" spans="1:10">
      <c r="B142" s="515"/>
      <c r="C142" s="256"/>
      <c r="D142" s="256"/>
      <c r="E142" s="256"/>
      <c r="F142" s="256"/>
      <c r="G142" s="256"/>
      <c r="J142" s="515"/>
    </row>
    <row r="143" spans="1:10">
      <c r="B143" s="515"/>
      <c r="C143" s="256" t="s">
        <v>2265</v>
      </c>
      <c r="D143" s="256"/>
      <c r="E143" s="256"/>
      <c r="F143" s="256"/>
      <c r="G143" s="256"/>
      <c r="J143" s="515"/>
    </row>
    <row r="144" spans="1:10">
      <c r="B144" s="515"/>
      <c r="C144" s="256" t="s">
        <v>2266</v>
      </c>
      <c r="D144" s="256"/>
      <c r="E144" s="256"/>
      <c r="F144" s="256"/>
      <c r="G144" s="256"/>
      <c r="J144" s="515"/>
    </row>
    <row r="145" spans="2:10">
      <c r="B145" s="515"/>
      <c r="C145" s="256" t="s">
        <v>2267</v>
      </c>
      <c r="D145" s="256"/>
      <c r="E145" s="256"/>
      <c r="F145" s="256"/>
      <c r="G145" s="256"/>
      <c r="J145" s="515"/>
    </row>
    <row r="146" spans="2:10">
      <c r="B146" s="515"/>
      <c r="C146" s="517"/>
      <c r="D146" s="517"/>
      <c r="E146" s="120" t="s">
        <v>188</v>
      </c>
      <c r="F146" s="517"/>
      <c r="G146" s="1022" t="s">
        <v>73</v>
      </c>
      <c r="J146" s="515"/>
    </row>
    <row r="147" spans="2:10">
      <c r="B147" s="515"/>
      <c r="C147" s="517"/>
      <c r="D147" s="517"/>
      <c r="E147" s="134" t="s">
        <v>189</v>
      </c>
      <c r="F147" s="517"/>
      <c r="G147" s="134" t="s">
        <v>190</v>
      </c>
      <c r="J147" s="515"/>
    </row>
    <row r="148" spans="2:10">
      <c r="B148" s="515"/>
      <c r="C148" s="1037" t="s">
        <v>2268</v>
      </c>
      <c r="D148" s="517"/>
      <c r="E148" s="517" t="s">
        <v>313</v>
      </c>
      <c r="F148" s="517"/>
      <c r="G148" s="1186">
        <v>749285680</v>
      </c>
      <c r="I148" s="1311"/>
      <c r="J148" s="515"/>
    </row>
    <row r="149" spans="2:10">
      <c r="B149" s="515"/>
      <c r="C149" s="514" t="s">
        <v>2269</v>
      </c>
      <c r="D149" s="517"/>
      <c r="E149" s="517" t="s">
        <v>2270</v>
      </c>
      <c r="F149" s="517"/>
      <c r="G149" s="553">
        <v>615045</v>
      </c>
      <c r="I149" s="1311"/>
      <c r="J149" s="515"/>
    </row>
    <row r="150" spans="2:10">
      <c r="B150" s="515"/>
      <c r="C150" s="514" t="s">
        <v>2271</v>
      </c>
      <c r="D150" s="517"/>
      <c r="E150" s="517" t="s">
        <v>2272</v>
      </c>
      <c r="F150" s="517"/>
      <c r="G150" s="126">
        <v>1537997</v>
      </c>
      <c r="I150" s="1311"/>
      <c r="J150" s="515"/>
    </row>
    <row r="151" spans="2:10">
      <c r="B151" s="515"/>
      <c r="C151" s="1037" t="s">
        <v>2273</v>
      </c>
      <c r="D151" s="517"/>
      <c r="E151" s="517" t="s">
        <v>2274</v>
      </c>
      <c r="F151" s="517"/>
      <c r="G151" s="530">
        <f>SUM(G148:G150)</f>
        <v>751438722</v>
      </c>
      <c r="J151" s="515"/>
    </row>
    <row r="152" spans="2:10">
      <c r="B152" s="515"/>
      <c r="C152" s="514" t="s">
        <v>2275</v>
      </c>
      <c r="D152" s="517"/>
      <c r="E152" s="661" t="s">
        <v>2276</v>
      </c>
      <c r="F152" s="517"/>
      <c r="G152" s="429">
        <f>(G149+G150)/G151</f>
        <v>2.8652263144884889E-3</v>
      </c>
      <c r="J152" s="515"/>
    </row>
    <row r="153" spans="2:10">
      <c r="B153" s="515"/>
      <c r="C153" s="1015" t="s">
        <v>2277</v>
      </c>
      <c r="D153" s="256"/>
      <c r="E153" s="256"/>
      <c r="F153" s="256"/>
      <c r="G153" s="256"/>
      <c r="J153" s="515"/>
    </row>
    <row r="154" spans="2:10">
      <c r="B154" s="515"/>
      <c r="C154" s="517"/>
      <c r="D154" s="517"/>
      <c r="E154" s="120" t="s">
        <v>188</v>
      </c>
      <c r="F154" s="517"/>
      <c r="G154" s="1022" t="s">
        <v>73</v>
      </c>
      <c r="J154" s="515"/>
    </row>
    <row r="155" spans="2:10">
      <c r="B155" s="515"/>
      <c r="C155" s="517"/>
      <c r="D155" s="517"/>
      <c r="E155" s="134" t="s">
        <v>189</v>
      </c>
      <c r="F155" s="517"/>
      <c r="G155" s="134" t="s">
        <v>190</v>
      </c>
      <c r="J155" s="515"/>
    </row>
    <row r="156" spans="2:10">
      <c r="B156" s="515"/>
      <c r="C156" s="514" t="s">
        <v>2278</v>
      </c>
      <c r="D156" s="517"/>
      <c r="E156" s="517" t="s">
        <v>34</v>
      </c>
      <c r="F156" s="517"/>
      <c r="G156" s="1186">
        <v>46164121713</v>
      </c>
      <c r="I156" s="1311"/>
      <c r="J156" s="515"/>
    </row>
    <row r="157" spans="2:10">
      <c r="B157" s="515"/>
      <c r="C157" s="514" t="s">
        <v>2279</v>
      </c>
      <c r="D157" s="517"/>
      <c r="E157" s="517" t="s">
        <v>2280</v>
      </c>
      <c r="F157" s="517"/>
      <c r="G157" s="553">
        <v>6268777</v>
      </c>
      <c r="J157" s="515"/>
    </row>
    <row r="158" spans="2:10">
      <c r="B158" s="515"/>
      <c r="C158" s="514" t="s">
        <v>2281</v>
      </c>
      <c r="D158" s="517"/>
      <c r="E158" s="517" t="s">
        <v>2282</v>
      </c>
      <c r="F158" s="517"/>
      <c r="G158" s="553">
        <v>29763069</v>
      </c>
      <c r="I158" s="1311"/>
      <c r="J158" s="515"/>
    </row>
    <row r="159" spans="2:10">
      <c r="B159" s="515"/>
      <c r="C159" s="514" t="s">
        <v>2283</v>
      </c>
      <c r="D159" s="517"/>
      <c r="E159" s="517" t="s">
        <v>2284</v>
      </c>
      <c r="F159" s="517"/>
      <c r="G159" s="530">
        <f>SUM(G156:G158)</f>
        <v>46200153559</v>
      </c>
      <c r="H159" s="256"/>
      <c r="I159" s="256"/>
      <c r="J159" s="517"/>
    </row>
    <row r="160" spans="2:10">
      <c r="B160" s="515"/>
      <c r="C160" s="514" t="s">
        <v>2285</v>
      </c>
      <c r="D160" s="517"/>
      <c r="E160" s="661" t="s">
        <v>2286</v>
      </c>
      <c r="F160" s="517"/>
      <c r="G160" s="429">
        <f>(G157+G158)/G159</f>
        <v>7.7990749433301033E-4</v>
      </c>
      <c r="H160" s="256"/>
      <c r="I160" s="256"/>
      <c r="J160" s="517"/>
    </row>
    <row r="161" spans="2:10">
      <c r="B161" s="515"/>
      <c r="C161" s="256" t="s">
        <v>2511</v>
      </c>
      <c r="D161" s="256"/>
      <c r="E161" s="256"/>
      <c r="F161" s="256"/>
      <c r="G161" s="256"/>
      <c r="H161" s="256"/>
      <c r="I161" s="256"/>
      <c r="J161" s="517"/>
    </row>
    <row r="162" spans="2:10">
      <c r="B162" s="515"/>
      <c r="C162" s="256" t="s">
        <v>2415</v>
      </c>
      <c r="D162" s="256"/>
      <c r="E162" s="256"/>
      <c r="F162" s="256"/>
      <c r="G162" s="256"/>
      <c r="H162" s="256"/>
      <c r="I162" s="256"/>
      <c r="J162" s="517"/>
    </row>
    <row r="163" spans="2:10">
      <c r="B163" s="515"/>
      <c r="C163" s="256" t="s">
        <v>2416</v>
      </c>
      <c r="D163" s="256"/>
      <c r="E163" s="256"/>
      <c r="F163" s="256"/>
      <c r="G163" s="256"/>
      <c r="H163" s="256"/>
      <c r="I163" s="256"/>
      <c r="J163" s="517"/>
    </row>
    <row r="164" spans="2:10">
      <c r="B164" s="515"/>
      <c r="C164" s="256" t="s">
        <v>2512</v>
      </c>
      <c r="D164" s="256"/>
      <c r="E164" s="256"/>
      <c r="F164" s="256"/>
      <c r="G164" s="256"/>
      <c r="H164" s="256"/>
      <c r="I164" s="256"/>
      <c r="J164" s="517"/>
    </row>
    <row r="165" spans="2:10">
      <c r="C165" s="517" t="s">
        <v>2513</v>
      </c>
      <c r="D165" s="517"/>
      <c r="E165" s="517"/>
      <c r="F165" s="517"/>
      <c r="G165" s="517"/>
      <c r="H165" s="517"/>
      <c r="I165" s="517"/>
      <c r="J165" s="256"/>
    </row>
    <row r="168" spans="2:10">
      <c r="C168" s="515"/>
    </row>
  </sheetData>
  <protectedRanges>
    <protectedRange password="F1C4" sqref="D20:E30 F25:F30 E15:E19 D14:D15 D17:D18 I55 B7:C12 F20 I120 B14:C30" name="AAReport1_23_1_1_2"/>
    <protectedRange password="F1C4" sqref="D19" name="AAReport1_23_1_1_1_1_1"/>
    <protectedRange password="F1C4" sqref="B13:C13" name="AAReport1_23_1_1_2_3"/>
    <protectedRange password="F1C4" sqref="F32:F33 F45 J32:J35" name="AAReport1_23_1_1_2_1_1"/>
    <protectedRange password="F1C4" sqref="I47" name="AAReport1_23_1_1_2_2_1"/>
    <protectedRange password="F1C4" sqref="I113" name="AAReport1_23_1_1_2_4"/>
  </protectedRanges>
  <phoneticPr fontId="23" type="noConversion"/>
  <conditionalFormatting sqref="B114 D114 B128:B129 D128:D129">
    <cfRule type="expression" dxfId="19" priority="16" stopIfTrue="1">
      <formula>Formulas</formula>
    </cfRule>
  </conditionalFormatting>
  <conditionalFormatting sqref="D120">
    <cfRule type="expression" dxfId="18" priority="17" stopIfTrue="1">
      <formula>Formulas</formula>
    </cfRule>
  </conditionalFormatting>
  <conditionalFormatting sqref="C120 C114 C128:C129">
    <cfRule type="expression" dxfId="17" priority="15" stopIfTrue="1">
      <formula>#REF!&lt;&gt;""</formula>
    </cfRule>
  </conditionalFormatting>
  <conditionalFormatting sqref="D113">
    <cfRule type="expression" dxfId="16" priority="8" stopIfTrue="1">
      <formula>Formulas</formula>
    </cfRule>
  </conditionalFormatting>
  <conditionalFormatting sqref="C113">
    <cfRule type="expression" dxfId="15" priority="7" stopIfTrue="1">
      <formula>#REF!&lt;&gt;""</formula>
    </cfRule>
  </conditionalFormatting>
  <conditionalFormatting sqref="D104:D112">
    <cfRule type="expression" dxfId="14" priority="6" stopIfTrue="1">
      <formula>Formulas</formula>
    </cfRule>
  </conditionalFormatting>
  <conditionalFormatting sqref="C104:C112">
    <cfRule type="expression" dxfId="13" priority="5" stopIfTrue="1">
      <formula>#REF!&lt;&gt;""</formula>
    </cfRule>
  </conditionalFormatting>
  <conditionalFormatting sqref="D126">
    <cfRule type="expression" dxfId="12" priority="4" stopIfTrue="1">
      <formula>Formulas</formula>
    </cfRule>
  </conditionalFormatting>
  <conditionalFormatting sqref="C126">
    <cfRule type="expression" dxfId="11" priority="3" stopIfTrue="1">
      <formula>#REF!&lt;&gt;""</formula>
    </cfRule>
  </conditionalFormatting>
  <conditionalFormatting sqref="D127">
    <cfRule type="expression" dxfId="10" priority="2" stopIfTrue="1">
      <formula>Formulas</formula>
    </cfRule>
  </conditionalFormatting>
  <conditionalFormatting sqref="C127">
    <cfRule type="expression" dxfId="9" priority="1" stopIfTrue="1">
      <formula>#REF!&lt;&gt;""</formula>
    </cfRule>
  </conditionalFormatting>
  <pageMargins left="0.75" right="0.75" top="1" bottom="1" header="0.5" footer="0.5"/>
  <pageSetup scale="63" orientation="landscape" cellComments="asDisplayed" r:id="rId1"/>
  <headerFooter alignWithMargins="0">
    <oddHeader>&amp;CSchedule 9
ADIT
&amp;RTO2019 Draft Annual Update
Attachment 5
TO13 True Up TRR</oddHeader>
    <oddFooter>&amp;R&amp;A</oddFooter>
  </headerFooter>
  <rowBreaks count="4" manualBreakCount="4">
    <brk id="24" max="16383" man="1"/>
    <brk id="58" max="16383" man="1"/>
    <brk id="96" max="9" man="1"/>
    <brk id="12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0"/>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5" t="s">
        <v>592</v>
      </c>
      <c r="K1" s="1"/>
    </row>
    <row r="2" spans="1:12">
      <c r="A2" s="45"/>
      <c r="K2" s="1"/>
    </row>
    <row r="3" spans="1:12">
      <c r="A3" s="45"/>
      <c r="B3" s="515" t="s">
        <v>1039</v>
      </c>
      <c r="K3" s="1"/>
    </row>
    <row r="4" spans="1:12">
      <c r="B4" s="515" t="s">
        <v>596</v>
      </c>
      <c r="K4" s="1"/>
      <c r="L4" s="517"/>
    </row>
    <row r="5" spans="1:12">
      <c r="B5" s="515"/>
      <c r="K5" s="1"/>
    </row>
    <row r="6" spans="1:12">
      <c r="A6" s="517"/>
      <c r="B6" s="1" t="s">
        <v>1357</v>
      </c>
      <c r="K6" s="1"/>
    </row>
    <row r="7" spans="1:12">
      <c r="A7" s="517"/>
      <c r="B7" s="1"/>
      <c r="D7" s="91" t="s">
        <v>391</v>
      </c>
      <c r="E7" s="91" t="s">
        <v>375</v>
      </c>
      <c r="F7" s="91" t="s">
        <v>376</v>
      </c>
      <c r="G7" s="91" t="s">
        <v>377</v>
      </c>
      <c r="H7" s="91" t="s">
        <v>378</v>
      </c>
      <c r="I7" s="91" t="s">
        <v>379</v>
      </c>
      <c r="J7" s="380"/>
      <c r="K7" s="1"/>
      <c r="L7" s="380"/>
    </row>
    <row r="8" spans="1:12">
      <c r="D8" s="516" t="s">
        <v>1074</v>
      </c>
      <c r="J8" s="14"/>
      <c r="K8" s="14"/>
    </row>
    <row r="9" spans="1:12">
      <c r="D9" s="538" t="s">
        <v>599</v>
      </c>
      <c r="J9" s="14"/>
      <c r="K9" s="14"/>
    </row>
    <row r="10" spans="1:12">
      <c r="B10" s="635"/>
      <c r="J10" s="14"/>
      <c r="K10" s="14"/>
    </row>
    <row r="11" spans="1:12">
      <c r="B11" s="635"/>
      <c r="D11" s="635" t="s">
        <v>19</v>
      </c>
      <c r="F11" s="635" t="s">
        <v>373</v>
      </c>
      <c r="G11" s="1333" t="s">
        <v>1081</v>
      </c>
      <c r="H11" s="1333" t="s">
        <v>1082</v>
      </c>
      <c r="I11" s="635"/>
      <c r="J11" s="120"/>
      <c r="K11" s="515"/>
    </row>
    <row r="12" spans="1:12">
      <c r="A12" s="998" t="s">
        <v>360</v>
      </c>
      <c r="B12" s="698" t="s">
        <v>211</v>
      </c>
      <c r="C12" s="698" t="s">
        <v>212</v>
      </c>
      <c r="D12" s="3" t="s">
        <v>594</v>
      </c>
      <c r="E12" s="3" t="s">
        <v>249</v>
      </c>
      <c r="F12" s="3" t="s">
        <v>374</v>
      </c>
      <c r="G12" s="383" t="s">
        <v>1080</v>
      </c>
      <c r="H12" s="383" t="s">
        <v>1083</v>
      </c>
      <c r="I12" s="3" t="s">
        <v>597</v>
      </c>
      <c r="J12" s="134"/>
      <c r="K12" s="515"/>
    </row>
    <row r="13" spans="1:12">
      <c r="A13" s="120">
        <v>1</v>
      </c>
      <c r="B13" s="699" t="s">
        <v>199</v>
      </c>
      <c r="C13" s="700">
        <v>2016</v>
      </c>
      <c r="D13" s="7">
        <f>SUM(E13:I13)+SUM(D33:G33)</f>
        <v>115749706.3</v>
      </c>
      <c r="E13" s="580">
        <v>14915547.51</v>
      </c>
      <c r="F13" s="1185">
        <v>0</v>
      </c>
      <c r="G13" s="1185">
        <v>4204927.07</v>
      </c>
      <c r="H13" s="1185">
        <v>69685244.670000002</v>
      </c>
      <c r="I13" s="1185">
        <v>0</v>
      </c>
      <c r="J13" s="701"/>
    </row>
    <row r="14" spans="1:12">
      <c r="A14" s="120">
        <f>A13+1</f>
        <v>2</v>
      </c>
      <c r="B14" s="699" t="s">
        <v>200</v>
      </c>
      <c r="C14" s="700">
        <v>2017</v>
      </c>
      <c r="D14" s="7">
        <f t="shared" ref="D14:D25" si="0">SUM(E14:I14)+SUM(D34:G34)</f>
        <v>117194141.84999999</v>
      </c>
      <c r="E14" s="580">
        <v>15082524.26</v>
      </c>
      <c r="F14" s="1185">
        <v>0</v>
      </c>
      <c r="G14" s="1185">
        <v>4239930.7699999996</v>
      </c>
      <c r="H14" s="1185">
        <v>70177660.219999999</v>
      </c>
      <c r="I14" s="1185">
        <v>0</v>
      </c>
      <c r="J14" s="701"/>
    </row>
    <row r="15" spans="1:12">
      <c r="A15" s="120">
        <f t="shared" ref="A15:A26" si="1">A14+1</f>
        <v>3</v>
      </c>
      <c r="B15" s="702" t="s">
        <v>201</v>
      </c>
      <c r="C15" s="700">
        <v>2017</v>
      </c>
      <c r="D15" s="7">
        <f t="shared" si="0"/>
        <v>119164540.84</v>
      </c>
      <c r="E15" s="580">
        <v>15117127.390000001</v>
      </c>
      <c r="F15" s="1185">
        <v>0</v>
      </c>
      <c r="G15" s="1185">
        <v>4296863.42</v>
      </c>
      <c r="H15" s="1185">
        <v>71031101.459999993</v>
      </c>
      <c r="I15" s="1185">
        <v>0</v>
      </c>
      <c r="J15" s="701"/>
    </row>
    <row r="16" spans="1:12">
      <c r="A16" s="120">
        <f t="shared" si="1"/>
        <v>4</v>
      </c>
      <c r="B16" s="702" t="s">
        <v>214</v>
      </c>
      <c r="C16" s="700">
        <v>2017</v>
      </c>
      <c r="D16" s="7">
        <f t="shared" si="0"/>
        <v>125730090.70000002</v>
      </c>
      <c r="E16" s="580">
        <v>15123624.76</v>
      </c>
      <c r="F16" s="1185">
        <v>0</v>
      </c>
      <c r="G16" s="1185">
        <v>4400060.7300000004</v>
      </c>
      <c r="H16" s="1185">
        <v>73723203.530000001</v>
      </c>
      <c r="I16" s="1185">
        <v>0</v>
      </c>
      <c r="J16" s="701"/>
    </row>
    <row r="17" spans="1:12">
      <c r="A17" s="120">
        <f t="shared" si="1"/>
        <v>5</v>
      </c>
      <c r="B17" s="699" t="s">
        <v>202</v>
      </c>
      <c r="C17" s="700">
        <v>2017</v>
      </c>
      <c r="D17" s="7">
        <f t="shared" si="0"/>
        <v>95419243.700000003</v>
      </c>
      <c r="E17" s="580">
        <v>15192634.41</v>
      </c>
      <c r="F17" s="1185">
        <v>0</v>
      </c>
      <c r="G17" s="1185">
        <v>4461540.67</v>
      </c>
      <c r="H17" s="1185">
        <v>75120415.75</v>
      </c>
      <c r="I17" s="1185">
        <v>0</v>
      </c>
      <c r="J17" s="701"/>
    </row>
    <row r="18" spans="1:12">
      <c r="A18" s="120">
        <f t="shared" si="1"/>
        <v>6</v>
      </c>
      <c r="B18" s="702" t="s">
        <v>203</v>
      </c>
      <c r="C18" s="700">
        <v>2017</v>
      </c>
      <c r="D18" s="7">
        <f t="shared" si="0"/>
        <v>82582163</v>
      </c>
      <c r="E18" s="580">
        <v>149717.78</v>
      </c>
      <c r="F18" s="1185">
        <v>0</v>
      </c>
      <c r="G18" s="1185">
        <v>4476503.9800000004</v>
      </c>
      <c r="H18" s="1185">
        <v>77300754.379999995</v>
      </c>
      <c r="I18" s="1185">
        <v>0</v>
      </c>
      <c r="J18" s="701"/>
    </row>
    <row r="19" spans="1:12">
      <c r="A19" s="120">
        <f t="shared" si="1"/>
        <v>7</v>
      </c>
      <c r="B19" s="702" t="s">
        <v>204</v>
      </c>
      <c r="C19" s="700">
        <v>2017</v>
      </c>
      <c r="D19" s="7">
        <f t="shared" si="0"/>
        <v>84504679.470000014</v>
      </c>
      <c r="E19" s="580">
        <v>149717.78</v>
      </c>
      <c r="F19" s="1185">
        <v>0</v>
      </c>
      <c r="G19" s="1185">
        <v>4697237.76</v>
      </c>
      <c r="H19" s="1185">
        <v>78966263.950000003</v>
      </c>
      <c r="I19" s="1185">
        <v>0</v>
      </c>
      <c r="J19" s="701"/>
    </row>
    <row r="20" spans="1:12">
      <c r="A20" s="120">
        <f t="shared" si="1"/>
        <v>8</v>
      </c>
      <c r="B20" s="699" t="s">
        <v>205</v>
      </c>
      <c r="C20" s="700">
        <v>2017</v>
      </c>
      <c r="D20" s="7">
        <f t="shared" si="0"/>
        <v>85941139.910000011</v>
      </c>
      <c r="E20" s="580">
        <v>149717.78</v>
      </c>
      <c r="F20" s="1185">
        <v>0</v>
      </c>
      <c r="G20" s="1185">
        <v>4761048.12</v>
      </c>
      <c r="H20" s="1185">
        <v>80276384.420000002</v>
      </c>
      <c r="I20" s="1185">
        <v>0</v>
      </c>
      <c r="J20" s="701"/>
    </row>
    <row r="21" spans="1:12">
      <c r="A21" s="120">
        <f t="shared" si="1"/>
        <v>9</v>
      </c>
      <c r="B21" s="702" t="s">
        <v>206</v>
      </c>
      <c r="C21" s="700">
        <v>2017</v>
      </c>
      <c r="D21" s="7">
        <f t="shared" si="0"/>
        <v>89338929.129999995</v>
      </c>
      <c r="E21" s="580">
        <v>150128.82999999999</v>
      </c>
      <c r="F21" s="1185">
        <v>0</v>
      </c>
      <c r="G21" s="1185">
        <v>4777853.08</v>
      </c>
      <c r="H21" s="1185">
        <v>83585450.480000004</v>
      </c>
      <c r="I21" s="1185">
        <v>0</v>
      </c>
      <c r="J21" s="701"/>
    </row>
    <row r="22" spans="1:12">
      <c r="A22" s="120">
        <f t="shared" si="1"/>
        <v>10</v>
      </c>
      <c r="B22" s="702" t="s">
        <v>207</v>
      </c>
      <c r="C22" s="700">
        <v>2017</v>
      </c>
      <c r="D22" s="7">
        <f t="shared" si="0"/>
        <v>91194894.549999997</v>
      </c>
      <c r="E22" s="580">
        <v>150061.94</v>
      </c>
      <c r="F22" s="1185">
        <v>0</v>
      </c>
      <c r="G22" s="1185">
        <v>4824268.1100000003</v>
      </c>
      <c r="H22" s="1185">
        <v>85335964.900000006</v>
      </c>
      <c r="I22" s="1185">
        <v>0</v>
      </c>
      <c r="J22" s="701"/>
    </row>
    <row r="23" spans="1:12">
      <c r="A23" s="120">
        <f t="shared" si="1"/>
        <v>11</v>
      </c>
      <c r="B23" s="699" t="s">
        <v>208</v>
      </c>
      <c r="C23" s="700">
        <v>2017</v>
      </c>
      <c r="D23" s="7">
        <f t="shared" si="0"/>
        <v>91967696.25</v>
      </c>
      <c r="E23" s="580">
        <v>150061.94</v>
      </c>
      <c r="F23" s="1185">
        <v>0</v>
      </c>
      <c r="G23" s="1185">
        <v>4844917.93</v>
      </c>
      <c r="H23" s="1185">
        <v>86972716.379999995</v>
      </c>
      <c r="I23" s="1185">
        <v>0</v>
      </c>
      <c r="J23" s="701"/>
    </row>
    <row r="24" spans="1:12">
      <c r="A24" s="120">
        <f t="shared" si="1"/>
        <v>12</v>
      </c>
      <c r="B24" s="699" t="s">
        <v>209</v>
      </c>
      <c r="C24" s="700">
        <v>2017</v>
      </c>
      <c r="D24" s="7">
        <f t="shared" si="0"/>
        <v>134322418.63999999</v>
      </c>
      <c r="E24" s="580">
        <v>150061.94</v>
      </c>
      <c r="F24" s="1185">
        <v>0</v>
      </c>
      <c r="G24" s="1185">
        <v>4852268.33</v>
      </c>
      <c r="H24" s="1185">
        <v>91066687.480000004</v>
      </c>
      <c r="I24" s="1185">
        <v>0</v>
      </c>
      <c r="J24" s="701"/>
    </row>
    <row r="25" spans="1:12">
      <c r="A25" s="120">
        <f t="shared" si="1"/>
        <v>13</v>
      </c>
      <c r="B25" s="699" t="s">
        <v>199</v>
      </c>
      <c r="C25" s="700">
        <v>2017</v>
      </c>
      <c r="D25" s="98">
        <f t="shared" si="0"/>
        <v>150629631.90000001</v>
      </c>
      <c r="E25" s="435">
        <v>150976.49</v>
      </c>
      <c r="F25" s="126">
        <v>0</v>
      </c>
      <c r="G25" s="126">
        <v>4884727.96</v>
      </c>
      <c r="H25" s="126">
        <v>98805811.510000005</v>
      </c>
      <c r="I25" s="126">
        <v>0</v>
      </c>
      <c r="J25" s="701"/>
    </row>
    <row r="26" spans="1:12">
      <c r="A26" s="120">
        <f t="shared" si="1"/>
        <v>14</v>
      </c>
      <c r="B26" s="699"/>
      <c r="C26" s="703" t="s">
        <v>595</v>
      </c>
      <c r="D26" s="578">
        <f t="shared" ref="D26:I26" si="2">SUM(D13:D25)/13</f>
        <v>106441482.78769232</v>
      </c>
      <c r="E26" s="578">
        <f>SUM(E13:E25)/13</f>
        <v>5894761.7546153832</v>
      </c>
      <c r="F26" s="578">
        <f t="shared" si="2"/>
        <v>0</v>
      </c>
      <c r="G26" s="578">
        <f t="shared" si="2"/>
        <v>4594011.3792307694</v>
      </c>
      <c r="H26" s="578">
        <f t="shared" si="2"/>
        <v>80157512.240769237</v>
      </c>
      <c r="I26" s="578">
        <f t="shared" si="2"/>
        <v>0</v>
      </c>
      <c r="J26" s="701"/>
      <c r="K26" s="701"/>
    </row>
    <row r="27" spans="1:12">
      <c r="A27" s="120"/>
      <c r="B27" s="699"/>
      <c r="C27" s="703"/>
      <c r="D27" s="578"/>
      <c r="E27" s="578"/>
      <c r="F27" s="578"/>
      <c r="G27" s="578"/>
      <c r="H27" s="578"/>
      <c r="I27" s="701"/>
      <c r="J27" s="701"/>
      <c r="K27" s="14"/>
      <c r="L27"/>
    </row>
    <row r="28" spans="1:12">
      <c r="A28" s="120"/>
      <c r="B28" s="699"/>
      <c r="C28" s="703"/>
      <c r="D28" s="91" t="s">
        <v>380</v>
      </c>
      <c r="E28" s="91" t="s">
        <v>593</v>
      </c>
      <c r="F28" s="91" t="s">
        <v>1040</v>
      </c>
      <c r="G28" s="91" t="s">
        <v>1056</v>
      </c>
      <c r="H28" s="91" t="s">
        <v>1059</v>
      </c>
      <c r="I28" s="91" t="s">
        <v>1077</v>
      </c>
      <c r="J28" s="701"/>
      <c r="K28" s="14"/>
      <c r="L28"/>
    </row>
    <row r="29" spans="1:12">
      <c r="A29" s="120"/>
      <c r="B29" s="699"/>
      <c r="C29" s="703"/>
      <c r="E29" s="381" t="s">
        <v>1078</v>
      </c>
      <c r="F29" s="381"/>
      <c r="G29" s="381"/>
      <c r="H29" s="578"/>
      <c r="I29" s="701"/>
      <c r="J29" s="701"/>
      <c r="K29" s="14"/>
      <c r="L29"/>
    </row>
    <row r="30" spans="1:12">
      <c r="B30" s="635"/>
      <c r="D30" s="635" t="s">
        <v>1075</v>
      </c>
      <c r="E30" s="635" t="s">
        <v>1079</v>
      </c>
      <c r="F30" s="381"/>
      <c r="G30" s="381"/>
      <c r="H30" s="578"/>
      <c r="I30" s="701"/>
      <c r="J30" s="701"/>
      <c r="K30" s="14"/>
      <c r="L30"/>
    </row>
    <row r="31" spans="1:12">
      <c r="B31" s="635"/>
      <c r="D31" s="635" t="s">
        <v>470</v>
      </c>
      <c r="E31" s="635" t="s">
        <v>470</v>
      </c>
      <c r="F31" s="578"/>
      <c r="G31" s="701"/>
      <c r="H31" s="1333" t="s">
        <v>2946</v>
      </c>
      <c r="I31" s="701"/>
      <c r="J31" s="701"/>
      <c r="K31" s="14"/>
      <c r="L31"/>
    </row>
    <row r="32" spans="1:12">
      <c r="A32" s="998" t="s">
        <v>360</v>
      </c>
      <c r="B32" s="698" t="s">
        <v>211</v>
      </c>
      <c r="C32" s="698" t="s">
        <v>212</v>
      </c>
      <c r="D32" s="3" t="s">
        <v>1076</v>
      </c>
      <c r="E32" s="3" t="s">
        <v>1076</v>
      </c>
      <c r="F32" s="383" t="s">
        <v>2944</v>
      </c>
      <c r="G32" s="383" t="s">
        <v>2945</v>
      </c>
      <c r="H32" s="383" t="s">
        <v>2947</v>
      </c>
      <c r="I32" s="383"/>
      <c r="J32" s="701"/>
      <c r="K32" s="14"/>
      <c r="L32"/>
    </row>
    <row r="33" spans="1:12">
      <c r="A33" s="120">
        <f>+A26+1</f>
        <v>15</v>
      </c>
      <c r="B33" s="699" t="s">
        <v>199</v>
      </c>
      <c r="C33" s="700">
        <v>2016</v>
      </c>
      <c r="D33" s="1185">
        <v>26943987.050000001</v>
      </c>
      <c r="E33" s="1185">
        <v>0</v>
      </c>
      <c r="F33" s="1185">
        <v>0</v>
      </c>
      <c r="G33" s="1185">
        <v>0</v>
      </c>
      <c r="H33" s="1373">
        <v>0</v>
      </c>
      <c r="I33" s="704"/>
      <c r="J33" s="701"/>
      <c r="K33" s="14"/>
      <c r="L33"/>
    </row>
    <row r="34" spans="1:12">
      <c r="A34" s="120">
        <f>A33+1</f>
        <v>16</v>
      </c>
      <c r="B34" s="699" t="s">
        <v>200</v>
      </c>
      <c r="C34" s="700">
        <v>2017</v>
      </c>
      <c r="D34" s="1185">
        <v>27694026.600000001</v>
      </c>
      <c r="E34" s="1185">
        <v>0</v>
      </c>
      <c r="F34" s="1185">
        <v>0</v>
      </c>
      <c r="G34" s="1185">
        <v>0</v>
      </c>
      <c r="H34" s="1373">
        <v>0</v>
      </c>
      <c r="I34" s="704"/>
      <c r="J34" s="701"/>
      <c r="K34" s="14"/>
      <c r="L34"/>
    </row>
    <row r="35" spans="1:12">
      <c r="A35" s="120">
        <f t="shared" ref="A35:A46" si="3">A34+1</f>
        <v>17</v>
      </c>
      <c r="B35" s="702" t="s">
        <v>201</v>
      </c>
      <c r="C35" s="700">
        <v>2017</v>
      </c>
      <c r="D35" s="1185">
        <v>28719448.57</v>
      </c>
      <c r="E35" s="1185">
        <v>0</v>
      </c>
      <c r="F35" s="1185">
        <v>0</v>
      </c>
      <c r="G35" s="1185">
        <v>0</v>
      </c>
      <c r="H35" s="1373">
        <v>0</v>
      </c>
      <c r="I35" s="704"/>
      <c r="J35" s="701"/>
      <c r="K35" s="14"/>
      <c r="L35"/>
    </row>
    <row r="36" spans="1:12">
      <c r="A36" s="120">
        <f t="shared" si="3"/>
        <v>18</v>
      </c>
      <c r="B36" s="702" t="s">
        <v>214</v>
      </c>
      <c r="C36" s="700">
        <v>2017</v>
      </c>
      <c r="D36" s="1185">
        <v>32483201.68</v>
      </c>
      <c r="E36" s="1185">
        <v>0</v>
      </c>
      <c r="F36" s="1185">
        <v>0</v>
      </c>
      <c r="G36" s="1185">
        <v>0</v>
      </c>
      <c r="H36" s="1373">
        <v>0</v>
      </c>
      <c r="I36" s="704"/>
      <c r="J36" s="701"/>
      <c r="K36" s="14"/>
      <c r="L36"/>
    </row>
    <row r="37" spans="1:12">
      <c r="A37" s="120">
        <f t="shared" si="3"/>
        <v>19</v>
      </c>
      <c r="B37" s="699" t="s">
        <v>202</v>
      </c>
      <c r="C37" s="700">
        <v>2017</v>
      </c>
      <c r="D37" s="1185">
        <v>644652.87</v>
      </c>
      <c r="E37" s="1185">
        <v>0</v>
      </c>
      <c r="F37" s="1185">
        <v>0</v>
      </c>
      <c r="G37" s="1185">
        <v>0</v>
      </c>
      <c r="H37" s="1373">
        <v>0</v>
      </c>
      <c r="I37" s="704"/>
      <c r="J37" s="701"/>
      <c r="K37" s="14"/>
      <c r="L37"/>
    </row>
    <row r="38" spans="1:12">
      <c r="A38" s="120">
        <f t="shared" si="3"/>
        <v>20</v>
      </c>
      <c r="B38" s="702" t="s">
        <v>203</v>
      </c>
      <c r="C38" s="700">
        <v>2017</v>
      </c>
      <c r="D38" s="1185">
        <v>655186.86</v>
      </c>
      <c r="E38" s="1185">
        <v>0</v>
      </c>
      <c r="F38" s="1185">
        <v>0</v>
      </c>
      <c r="G38" s="1185">
        <v>0</v>
      </c>
      <c r="H38" s="1373">
        <v>0</v>
      </c>
      <c r="I38" s="704"/>
      <c r="J38" s="701"/>
      <c r="K38" s="14"/>
      <c r="L38"/>
    </row>
    <row r="39" spans="1:12">
      <c r="A39" s="120">
        <f t="shared" si="3"/>
        <v>21</v>
      </c>
      <c r="B39" s="702" t="s">
        <v>204</v>
      </c>
      <c r="C39" s="700">
        <v>2017</v>
      </c>
      <c r="D39" s="1185">
        <v>691459.98</v>
      </c>
      <c r="E39" s="1185">
        <v>0</v>
      </c>
      <c r="F39" s="1185">
        <v>0</v>
      </c>
      <c r="G39" s="1185">
        <v>0</v>
      </c>
      <c r="H39" s="1373">
        <v>0</v>
      </c>
      <c r="I39" s="704"/>
      <c r="J39" s="701"/>
      <c r="K39" s="14"/>
      <c r="L39"/>
    </row>
    <row r="40" spans="1:12">
      <c r="A40" s="120">
        <f t="shared" si="3"/>
        <v>22</v>
      </c>
      <c r="B40" s="699" t="s">
        <v>205</v>
      </c>
      <c r="C40" s="700">
        <v>2017</v>
      </c>
      <c r="D40" s="1185">
        <v>753989.59</v>
      </c>
      <c r="E40" s="1185">
        <v>0</v>
      </c>
      <c r="F40" s="1185">
        <v>0</v>
      </c>
      <c r="G40" s="1185">
        <v>0</v>
      </c>
      <c r="H40" s="1373">
        <v>0</v>
      </c>
      <c r="I40" s="704"/>
      <c r="J40" s="701"/>
      <c r="K40" s="14"/>
      <c r="L40"/>
    </row>
    <row r="41" spans="1:12">
      <c r="A41" s="120">
        <f t="shared" si="3"/>
        <v>23</v>
      </c>
      <c r="B41" s="702" t="s">
        <v>206</v>
      </c>
      <c r="C41" s="700">
        <v>2017</v>
      </c>
      <c r="D41" s="1185">
        <v>825496.74</v>
      </c>
      <c r="E41" s="1185">
        <v>0</v>
      </c>
      <c r="F41" s="1185">
        <v>0</v>
      </c>
      <c r="G41" s="1185">
        <v>0</v>
      </c>
      <c r="H41" s="1373">
        <v>0</v>
      </c>
      <c r="I41" s="704"/>
      <c r="J41" s="701"/>
      <c r="K41" s="14"/>
      <c r="L41"/>
    </row>
    <row r="42" spans="1:12">
      <c r="A42" s="120">
        <f t="shared" si="3"/>
        <v>24</v>
      </c>
      <c r="B42" s="702" t="s">
        <v>207</v>
      </c>
      <c r="C42" s="700">
        <v>2017</v>
      </c>
      <c r="D42" s="1185">
        <v>884599.6</v>
      </c>
      <c r="E42" s="1185">
        <v>0</v>
      </c>
      <c r="F42" s="1185">
        <v>0</v>
      </c>
      <c r="G42" s="1185">
        <v>0</v>
      </c>
      <c r="H42" s="1373">
        <v>0</v>
      </c>
      <c r="I42" s="704"/>
      <c r="J42" s="701"/>
      <c r="K42" s="14"/>
      <c r="L42"/>
    </row>
    <row r="43" spans="1:12">
      <c r="A43" s="120">
        <f t="shared" si="3"/>
        <v>25</v>
      </c>
      <c r="B43" s="699" t="s">
        <v>208</v>
      </c>
      <c r="C43" s="700">
        <v>2017</v>
      </c>
      <c r="D43" s="1185">
        <v>0</v>
      </c>
      <c r="E43" s="1185">
        <v>0</v>
      </c>
      <c r="F43" s="1185">
        <v>0</v>
      </c>
      <c r="G43" s="1185">
        <v>0</v>
      </c>
      <c r="H43" s="1373">
        <v>0</v>
      </c>
      <c r="I43" s="704"/>
      <c r="J43" s="701"/>
      <c r="K43" s="14"/>
      <c r="L43"/>
    </row>
    <row r="44" spans="1:12">
      <c r="A44" s="120">
        <f t="shared" si="3"/>
        <v>26</v>
      </c>
      <c r="B44" s="699" t="s">
        <v>209</v>
      </c>
      <c r="C44" s="700">
        <v>2017</v>
      </c>
      <c r="D44" s="1185">
        <v>0</v>
      </c>
      <c r="E44" s="1185">
        <v>0</v>
      </c>
      <c r="F44" s="1185">
        <v>38253400.890000001</v>
      </c>
      <c r="G44" s="1185">
        <v>0</v>
      </c>
      <c r="H44" s="1373">
        <v>0</v>
      </c>
      <c r="I44" s="704"/>
      <c r="J44" s="701"/>
      <c r="K44" s="14"/>
      <c r="L44"/>
    </row>
    <row r="45" spans="1:12">
      <c r="A45" s="120">
        <f t="shared" si="3"/>
        <v>27</v>
      </c>
      <c r="B45" s="699" t="s">
        <v>199</v>
      </c>
      <c r="C45" s="700">
        <v>2017</v>
      </c>
      <c r="D45" s="126">
        <v>0</v>
      </c>
      <c r="E45" s="126">
        <v>0</v>
      </c>
      <c r="F45" s="126">
        <v>46788115.939999998</v>
      </c>
      <c r="G45" s="126">
        <v>0</v>
      </c>
      <c r="H45" s="1374">
        <v>0</v>
      </c>
      <c r="I45" s="704"/>
      <c r="J45" s="701"/>
      <c r="K45" s="14"/>
      <c r="L45"/>
    </row>
    <row r="46" spans="1:12">
      <c r="A46" s="120">
        <f t="shared" si="3"/>
        <v>28</v>
      </c>
      <c r="B46" s="699"/>
      <c r="C46" s="703" t="s">
        <v>595</v>
      </c>
      <c r="D46" s="578">
        <f>SUM(D33:D45)/13</f>
        <v>9253542.2723076921</v>
      </c>
      <c r="E46" s="578">
        <f>SUM(E33:E45)/13</f>
        <v>0</v>
      </c>
      <c r="F46" s="578">
        <f>SUM(F33:F45)/13</f>
        <v>6541655.1407692302</v>
      </c>
      <c r="G46" s="578">
        <f>SUM(G33:G45)/13</f>
        <v>0</v>
      </c>
      <c r="H46" s="578">
        <f t="shared" ref="H46" si="4">SUM(H33:H45)/13</f>
        <v>0</v>
      </c>
      <c r="I46" s="705" t="s">
        <v>86</v>
      </c>
      <c r="J46" s="701"/>
      <c r="K46" s="14"/>
      <c r="L46"/>
    </row>
    <row r="48" spans="1:12">
      <c r="B48" s="706" t="s">
        <v>2304</v>
      </c>
    </row>
    <row r="49" spans="1:13">
      <c r="B49" s="706"/>
      <c r="D49" s="734" t="s">
        <v>391</v>
      </c>
      <c r="E49" s="734" t="s">
        <v>375</v>
      </c>
      <c r="F49" s="734" t="s">
        <v>376</v>
      </c>
      <c r="G49" s="734" t="s">
        <v>377</v>
      </c>
      <c r="H49" s="734" t="s">
        <v>378</v>
      </c>
      <c r="I49" s="734" t="s">
        <v>379</v>
      </c>
      <c r="J49" s="734" t="s">
        <v>380</v>
      </c>
      <c r="K49" s="734" t="s">
        <v>593</v>
      </c>
    </row>
    <row r="50" spans="1:13" s="735" customFormat="1">
      <c r="A50" s="946"/>
      <c r="D50" s="516" t="s">
        <v>235</v>
      </c>
      <c r="E50" s="516" t="s">
        <v>235</v>
      </c>
      <c r="F50" s="516" t="s">
        <v>235</v>
      </c>
      <c r="G50" s="516" t="s">
        <v>235</v>
      </c>
      <c r="H50" s="516" t="s">
        <v>235</v>
      </c>
      <c r="I50" s="516" t="s">
        <v>235</v>
      </c>
      <c r="J50" s="516" t="s">
        <v>235</v>
      </c>
      <c r="K50" s="516" t="s">
        <v>235</v>
      </c>
      <c r="L50" s="946"/>
    </row>
    <row r="51" spans="1:13">
      <c r="G51" s="635" t="s">
        <v>2305</v>
      </c>
      <c r="K51" s="736"/>
    </row>
    <row r="52" spans="1:13">
      <c r="A52" s="736"/>
      <c r="B52" s="736"/>
      <c r="C52" s="736"/>
      <c r="D52" s="736" t="s">
        <v>217</v>
      </c>
      <c r="E52" s="736" t="s">
        <v>2288</v>
      </c>
      <c r="F52" s="736" t="s">
        <v>2306</v>
      </c>
      <c r="G52" s="736" t="s">
        <v>215</v>
      </c>
      <c r="H52" s="736" t="s">
        <v>2307</v>
      </c>
      <c r="I52" s="737" t="s">
        <v>2308</v>
      </c>
      <c r="J52" s="736" t="s">
        <v>217</v>
      </c>
      <c r="K52" s="736" t="s">
        <v>18</v>
      </c>
    </row>
    <row r="53" spans="1:13">
      <c r="A53" s="998" t="s">
        <v>360</v>
      </c>
      <c r="B53" s="698" t="s">
        <v>211</v>
      </c>
      <c r="C53" s="698" t="s">
        <v>212</v>
      </c>
      <c r="D53" s="734" t="s">
        <v>2309</v>
      </c>
      <c r="E53" s="734" t="s">
        <v>2289</v>
      </c>
      <c r="F53" s="734" t="s">
        <v>2310</v>
      </c>
      <c r="G53" s="734" t="s">
        <v>2311</v>
      </c>
      <c r="H53" s="734" t="s">
        <v>2312</v>
      </c>
      <c r="I53" s="734" t="s">
        <v>2313</v>
      </c>
      <c r="J53" s="734" t="s">
        <v>2314</v>
      </c>
      <c r="K53" s="3" t="s">
        <v>2315</v>
      </c>
    </row>
    <row r="54" spans="1:13">
      <c r="A54" s="120">
        <f>A46+1</f>
        <v>29</v>
      </c>
      <c r="B54" s="699" t="s">
        <v>199</v>
      </c>
      <c r="C54" s="700">
        <v>2017</v>
      </c>
      <c r="D54" s="743" t="s">
        <v>86</v>
      </c>
      <c r="E54" s="743" t="s">
        <v>86</v>
      </c>
      <c r="F54" s="743" t="s">
        <v>86</v>
      </c>
      <c r="G54" s="743" t="s">
        <v>86</v>
      </c>
      <c r="H54" s="743" t="s">
        <v>86</v>
      </c>
      <c r="I54" s="743" t="s">
        <v>86</v>
      </c>
      <c r="J54" s="7">
        <f>D25</f>
        <v>150629631.90000001</v>
      </c>
      <c r="K54" s="743" t="s">
        <v>86</v>
      </c>
    </row>
    <row r="55" spans="1:13">
      <c r="A55" s="120">
        <f>A54+1</f>
        <v>30</v>
      </c>
      <c r="B55" s="699" t="s">
        <v>200</v>
      </c>
      <c r="C55" s="700">
        <v>2018</v>
      </c>
      <c r="D55" s="7">
        <f>D89+D122+D153+D186+D217+D250+D281+D314+D345+D378</f>
        <v>9351203.5251600072</v>
      </c>
      <c r="E55" s="7">
        <f t="shared" ref="D55:K64" si="5">E89+E122+E153+E186+E217+E250+E281+E314+E345+E378</f>
        <v>701340.26438700035</v>
      </c>
      <c r="F55" s="7">
        <f t="shared" si="5"/>
        <v>10052543.789547008</v>
      </c>
      <c r="G55" s="7">
        <f t="shared" si="5"/>
        <v>5037315.0016000001</v>
      </c>
      <c r="H55" s="7">
        <f t="shared" si="5"/>
        <v>4098416.9471999994</v>
      </c>
      <c r="I55" s="7">
        <f t="shared" si="5"/>
        <v>70417.354080000048</v>
      </c>
      <c r="J55" s="7">
        <f t="shared" si="5"/>
        <v>155574443.33386704</v>
      </c>
      <c r="K55" s="7">
        <f t="shared" si="5"/>
        <v>4944811.433867014</v>
      </c>
      <c r="L55" s="943"/>
      <c r="M55" s="7"/>
    </row>
    <row r="56" spans="1:13">
      <c r="A56" s="120">
        <f t="shared" ref="A56:A79" si="6">A55+1</f>
        <v>31</v>
      </c>
      <c r="B56" s="702" t="s">
        <v>201</v>
      </c>
      <c r="C56" s="700">
        <v>2018</v>
      </c>
      <c r="D56" s="7">
        <f t="shared" si="5"/>
        <v>10204201.744830003</v>
      </c>
      <c r="E56" s="7">
        <f t="shared" si="5"/>
        <v>765315.13086225023</v>
      </c>
      <c r="F56" s="7">
        <f t="shared" si="5"/>
        <v>10969516.875692254</v>
      </c>
      <c r="G56" s="7">
        <f t="shared" si="5"/>
        <v>1615948.3799999997</v>
      </c>
      <c r="H56" s="7">
        <f t="shared" si="5"/>
        <v>0</v>
      </c>
      <c r="I56" s="7">
        <f t="shared" si="5"/>
        <v>121196.12849999998</v>
      </c>
      <c r="J56" s="7">
        <f t="shared" si="5"/>
        <v>164806815.70105928</v>
      </c>
      <c r="K56" s="7">
        <f t="shared" si="5"/>
        <v>14177183.801059261</v>
      </c>
      <c r="L56" s="943"/>
      <c r="M56" s="7"/>
    </row>
    <row r="57" spans="1:13">
      <c r="A57" s="120">
        <f t="shared" si="6"/>
        <v>32</v>
      </c>
      <c r="B57" s="702" t="s">
        <v>214</v>
      </c>
      <c r="C57" s="700">
        <v>2018</v>
      </c>
      <c r="D57" s="7">
        <f t="shared" si="5"/>
        <v>22153491.458437972</v>
      </c>
      <c r="E57" s="7">
        <f t="shared" si="5"/>
        <v>1661511.8593828478</v>
      </c>
      <c r="F57" s="7">
        <f t="shared" si="5"/>
        <v>23815003.317820817</v>
      </c>
      <c r="G57" s="7">
        <f t="shared" si="5"/>
        <v>1024176.6912</v>
      </c>
      <c r="H57" s="7">
        <f t="shared" si="5"/>
        <v>0</v>
      </c>
      <c r="I57" s="7">
        <f t="shared" si="5"/>
        <v>76813.251840000012</v>
      </c>
      <c r="J57" s="7">
        <f t="shared" si="5"/>
        <v>187520829.07584009</v>
      </c>
      <c r="K57" s="7">
        <f t="shared" si="5"/>
        <v>36891197.17584008</v>
      </c>
      <c r="L57" s="943"/>
      <c r="M57" s="7"/>
    </row>
    <row r="58" spans="1:13">
      <c r="A58" s="120">
        <f t="shared" si="6"/>
        <v>33</v>
      </c>
      <c r="B58" s="699" t="s">
        <v>202</v>
      </c>
      <c r="C58" s="700">
        <v>2018</v>
      </c>
      <c r="D58" s="7">
        <f t="shared" si="5"/>
        <v>9357335.1182040256</v>
      </c>
      <c r="E58" s="7">
        <f t="shared" si="5"/>
        <v>701800.13386530185</v>
      </c>
      <c r="F58" s="7">
        <f t="shared" si="5"/>
        <v>10059135.252069328</v>
      </c>
      <c r="G58" s="7">
        <f t="shared" si="5"/>
        <v>116255.00000000001</v>
      </c>
      <c r="H58" s="7">
        <f t="shared" si="5"/>
        <v>0</v>
      </c>
      <c r="I58" s="7">
        <f t="shared" si="5"/>
        <v>8719.125</v>
      </c>
      <c r="J58" s="7">
        <f t="shared" si="5"/>
        <v>197454990.20290944</v>
      </c>
      <c r="K58" s="7">
        <f t="shared" si="5"/>
        <v>46825358.302909419</v>
      </c>
      <c r="L58" s="943"/>
      <c r="M58" s="7"/>
    </row>
    <row r="59" spans="1:13">
      <c r="A59" s="120">
        <f t="shared" si="6"/>
        <v>34</v>
      </c>
      <c r="B59" s="702" t="s">
        <v>203</v>
      </c>
      <c r="C59" s="700">
        <v>2018</v>
      </c>
      <c r="D59" s="7">
        <f t="shared" si="5"/>
        <v>14954818.094085429</v>
      </c>
      <c r="E59" s="7">
        <f t="shared" si="5"/>
        <v>1121611.357056407</v>
      </c>
      <c r="F59" s="7">
        <f t="shared" si="5"/>
        <v>16076429.451141836</v>
      </c>
      <c r="G59" s="7">
        <f t="shared" si="5"/>
        <v>786000</v>
      </c>
      <c r="H59" s="7">
        <f t="shared" si="5"/>
        <v>0</v>
      </c>
      <c r="I59" s="7">
        <f t="shared" si="5"/>
        <v>58950</v>
      </c>
      <c r="J59" s="7">
        <f t="shared" si="5"/>
        <v>212686469.65405124</v>
      </c>
      <c r="K59" s="7">
        <f t="shared" si="5"/>
        <v>62056837.754051268</v>
      </c>
      <c r="L59" s="943"/>
      <c r="M59" s="7"/>
    </row>
    <row r="60" spans="1:13">
      <c r="A60" s="120">
        <f t="shared" si="6"/>
        <v>35</v>
      </c>
      <c r="B60" s="702" t="s">
        <v>1650</v>
      </c>
      <c r="C60" s="700">
        <v>2018</v>
      </c>
      <c r="D60" s="7">
        <f t="shared" si="5"/>
        <v>17718218.694935065</v>
      </c>
      <c r="E60" s="7">
        <f t="shared" si="5"/>
        <v>1328866.4021201301</v>
      </c>
      <c r="F60" s="7">
        <f t="shared" si="5"/>
        <v>19047085.097055193</v>
      </c>
      <c r="G60" s="7">
        <f t="shared" si="5"/>
        <v>3410369.5299999993</v>
      </c>
      <c r="H60" s="7">
        <f t="shared" si="5"/>
        <v>2447557.5500000003</v>
      </c>
      <c r="I60" s="7">
        <f t="shared" si="5"/>
        <v>72210.898499999967</v>
      </c>
      <c r="J60" s="7">
        <f t="shared" si="5"/>
        <v>228250974.32260644</v>
      </c>
      <c r="K60" s="7">
        <f t="shared" si="5"/>
        <v>77621342.422606438</v>
      </c>
      <c r="L60" s="943"/>
      <c r="M60" s="7"/>
    </row>
    <row r="61" spans="1:13">
      <c r="A61" s="120">
        <f t="shared" si="6"/>
        <v>36</v>
      </c>
      <c r="B61" s="699" t="s">
        <v>205</v>
      </c>
      <c r="C61" s="700">
        <v>2018</v>
      </c>
      <c r="D61" s="7">
        <f t="shared" si="5"/>
        <v>12070760.36228192</v>
      </c>
      <c r="E61" s="7">
        <f t="shared" si="5"/>
        <v>905307.02717114403</v>
      </c>
      <c r="F61" s="7">
        <f t="shared" si="5"/>
        <v>12976067.389453067</v>
      </c>
      <c r="G61" s="7">
        <f t="shared" si="5"/>
        <v>548326</v>
      </c>
      <c r="H61" s="7">
        <f t="shared" si="5"/>
        <v>0</v>
      </c>
      <c r="I61" s="7">
        <f t="shared" si="5"/>
        <v>41124.449999999997</v>
      </c>
      <c r="J61" s="7">
        <f t="shared" si="5"/>
        <v>240637591.26205948</v>
      </c>
      <c r="K61" s="7">
        <f t="shared" si="5"/>
        <v>90007959.362059504</v>
      </c>
      <c r="L61" s="943"/>
      <c r="M61" s="7"/>
    </row>
    <row r="62" spans="1:13">
      <c r="A62" s="120">
        <f t="shared" si="6"/>
        <v>37</v>
      </c>
      <c r="B62" s="702" t="s">
        <v>206</v>
      </c>
      <c r="C62" s="700">
        <v>2018</v>
      </c>
      <c r="D62" s="7">
        <f t="shared" si="5"/>
        <v>16798570.912209753</v>
      </c>
      <c r="E62" s="7">
        <f t="shared" si="5"/>
        <v>1259892.8184157314</v>
      </c>
      <c r="F62" s="7">
        <f t="shared" si="5"/>
        <v>18058463.730625484</v>
      </c>
      <c r="G62" s="7">
        <f t="shared" si="5"/>
        <v>297663</v>
      </c>
      <c r="H62" s="7">
        <f t="shared" si="5"/>
        <v>0</v>
      </c>
      <c r="I62" s="7">
        <f t="shared" si="5"/>
        <v>22324.724999999999</v>
      </c>
      <c r="J62" s="7">
        <f t="shared" si="5"/>
        <v>258376067.267685</v>
      </c>
      <c r="K62" s="7">
        <f t="shared" si="5"/>
        <v>107746435.36768499</v>
      </c>
      <c r="L62" s="943"/>
      <c r="M62" s="7"/>
    </row>
    <row r="63" spans="1:13">
      <c r="A63" s="120">
        <f t="shared" si="6"/>
        <v>38</v>
      </c>
      <c r="B63" s="702" t="s">
        <v>207</v>
      </c>
      <c r="C63" s="700">
        <v>2018</v>
      </c>
      <c r="D63" s="7">
        <f t="shared" si="5"/>
        <v>13815046.666871225</v>
      </c>
      <c r="E63" s="7">
        <f t="shared" si="5"/>
        <v>1036128.5000153418</v>
      </c>
      <c r="F63" s="7">
        <f t="shared" si="5"/>
        <v>14851175.166886566</v>
      </c>
      <c r="G63" s="7">
        <f t="shared" si="5"/>
        <v>349971</v>
      </c>
      <c r="H63" s="7">
        <f t="shared" si="5"/>
        <v>0</v>
      </c>
      <c r="I63" s="7">
        <f t="shared" si="5"/>
        <v>26247.825000000001</v>
      </c>
      <c r="J63" s="7">
        <f t="shared" si="5"/>
        <v>272851023.60957158</v>
      </c>
      <c r="K63" s="7">
        <f t="shared" si="5"/>
        <v>122221391.70957156</v>
      </c>
      <c r="L63" s="943"/>
      <c r="M63" s="7"/>
    </row>
    <row r="64" spans="1:13">
      <c r="A64" s="120">
        <f t="shared" si="6"/>
        <v>39</v>
      </c>
      <c r="B64" s="699" t="s">
        <v>210</v>
      </c>
      <c r="C64" s="700">
        <v>2018</v>
      </c>
      <c r="D64" s="7">
        <f t="shared" si="5"/>
        <v>24263779.81418046</v>
      </c>
      <c r="E64" s="7">
        <f t="shared" si="5"/>
        <v>1819783.4860635344</v>
      </c>
      <c r="F64" s="7">
        <f t="shared" si="5"/>
        <v>26083563.300243992</v>
      </c>
      <c r="G64" s="7">
        <f t="shared" si="5"/>
        <v>77673</v>
      </c>
      <c r="H64" s="7">
        <f t="shared" si="5"/>
        <v>0</v>
      </c>
      <c r="I64" s="7">
        <f t="shared" si="5"/>
        <v>5825.4749999999995</v>
      </c>
      <c r="J64" s="7">
        <f t="shared" si="5"/>
        <v>298851088.43481559</v>
      </c>
      <c r="K64" s="7">
        <f t="shared" si="5"/>
        <v>148221456.53481558</v>
      </c>
      <c r="L64" s="943"/>
      <c r="M64" s="7"/>
    </row>
    <row r="65" spans="1:13">
      <c r="A65" s="120">
        <f t="shared" si="6"/>
        <v>40</v>
      </c>
      <c r="B65" s="699" t="s">
        <v>209</v>
      </c>
      <c r="C65" s="700">
        <v>2018</v>
      </c>
      <c r="D65" s="7">
        <f t="shared" ref="D65:K74" si="7">D99+D132+D163+D196+D227+D260+D291+D324+D355+D388</f>
        <v>22781800.740541551</v>
      </c>
      <c r="E65" s="7">
        <f t="shared" si="7"/>
        <v>1708635.0555406166</v>
      </c>
      <c r="F65" s="7">
        <f t="shared" si="7"/>
        <v>24490435.796082173</v>
      </c>
      <c r="G65" s="7">
        <f t="shared" si="7"/>
        <v>47000</v>
      </c>
      <c r="H65" s="7">
        <f t="shared" si="7"/>
        <v>0</v>
      </c>
      <c r="I65" s="7">
        <f t="shared" si="7"/>
        <v>3525</v>
      </c>
      <c r="J65" s="7">
        <f t="shared" si="7"/>
        <v>323290999.23089772</v>
      </c>
      <c r="K65" s="7">
        <f t="shared" si="7"/>
        <v>172661367.33089772</v>
      </c>
      <c r="L65" s="943"/>
      <c r="M65" s="7"/>
    </row>
    <row r="66" spans="1:13">
      <c r="A66" s="120">
        <f t="shared" si="6"/>
        <v>41</v>
      </c>
      <c r="B66" s="699" t="s">
        <v>199</v>
      </c>
      <c r="C66" s="700">
        <v>2018</v>
      </c>
      <c r="D66" s="7">
        <f t="shared" si="7"/>
        <v>27803219.212408446</v>
      </c>
      <c r="E66" s="7">
        <f t="shared" si="7"/>
        <v>2085241.4409306336</v>
      </c>
      <c r="F66" s="7">
        <f t="shared" si="7"/>
        <v>29888460.653339084</v>
      </c>
      <c r="G66" s="7">
        <f t="shared" si="7"/>
        <v>20677884.444288</v>
      </c>
      <c r="H66" s="7">
        <f t="shared" si="7"/>
        <v>8513637.9700000007</v>
      </c>
      <c r="I66" s="7">
        <f t="shared" si="7"/>
        <v>912318.4855715998</v>
      </c>
      <c r="J66" s="7">
        <f t="shared" si="7"/>
        <v>331589256.95437723</v>
      </c>
      <c r="K66" s="7">
        <f t="shared" si="7"/>
        <v>180959625.05437723</v>
      </c>
      <c r="L66" s="943"/>
      <c r="M66" s="7"/>
    </row>
    <row r="67" spans="1:13">
      <c r="A67" s="120">
        <f t="shared" si="6"/>
        <v>42</v>
      </c>
      <c r="B67" s="699" t="s">
        <v>200</v>
      </c>
      <c r="C67" s="700">
        <v>2019</v>
      </c>
      <c r="D67" s="7">
        <f t="shared" si="7"/>
        <v>10509600.680446928</v>
      </c>
      <c r="E67" s="7">
        <f t="shared" si="7"/>
        <v>788220.05103351944</v>
      </c>
      <c r="F67" s="7">
        <f t="shared" si="7"/>
        <v>11297820.731480448</v>
      </c>
      <c r="G67" s="7">
        <f t="shared" si="7"/>
        <v>185930</v>
      </c>
      <c r="H67" s="7">
        <f t="shared" si="7"/>
        <v>0</v>
      </c>
      <c r="I67" s="7">
        <f t="shared" si="7"/>
        <v>13944.75</v>
      </c>
      <c r="J67" s="7">
        <f t="shared" si="7"/>
        <v>342687202.93585765</v>
      </c>
      <c r="K67" s="7">
        <f t="shared" si="7"/>
        <v>192057571.03585768</v>
      </c>
      <c r="L67" s="943"/>
      <c r="M67" s="7"/>
    </row>
    <row r="68" spans="1:13">
      <c r="A68" s="120">
        <f t="shared" si="6"/>
        <v>43</v>
      </c>
      <c r="B68" s="702" t="s">
        <v>201</v>
      </c>
      <c r="C68" s="700">
        <v>2019</v>
      </c>
      <c r="D68" s="7">
        <f t="shared" si="7"/>
        <v>18429547.798468925</v>
      </c>
      <c r="E68" s="7">
        <f t="shared" si="7"/>
        <v>1382216.0848851695</v>
      </c>
      <c r="F68" s="7">
        <f t="shared" si="7"/>
        <v>19811763.883354098</v>
      </c>
      <c r="G68" s="7">
        <f t="shared" si="7"/>
        <v>204642.63</v>
      </c>
      <c r="H68" s="7">
        <f t="shared" si="7"/>
        <v>0</v>
      </c>
      <c r="I68" s="7">
        <f t="shared" si="7"/>
        <v>15348.197249999999</v>
      </c>
      <c r="J68" s="7">
        <f t="shared" si="7"/>
        <v>362278975.99196184</v>
      </c>
      <c r="K68" s="7">
        <f t="shared" si="7"/>
        <v>211649344.09196177</v>
      </c>
      <c r="L68" s="943"/>
      <c r="M68" s="7"/>
    </row>
    <row r="69" spans="1:13">
      <c r="A69" s="120">
        <f t="shared" si="6"/>
        <v>44</v>
      </c>
      <c r="B69" s="702" t="s">
        <v>214</v>
      </c>
      <c r="C69" s="700">
        <v>2019</v>
      </c>
      <c r="D69" s="7">
        <f t="shared" si="7"/>
        <v>20210542.548006929</v>
      </c>
      <c r="E69" s="7">
        <f t="shared" si="7"/>
        <v>1515790.6911005196</v>
      </c>
      <c r="F69" s="7">
        <f t="shared" si="7"/>
        <v>21726333.239107449</v>
      </c>
      <c r="G69" s="7">
        <f t="shared" si="7"/>
        <v>361033.7</v>
      </c>
      <c r="H69" s="7">
        <f t="shared" si="7"/>
        <v>0</v>
      </c>
      <c r="I69" s="7">
        <f t="shared" si="7"/>
        <v>27077.5275</v>
      </c>
      <c r="J69" s="7">
        <f t="shared" si="7"/>
        <v>383617198.00356925</v>
      </c>
      <c r="K69" s="7">
        <f t="shared" si="7"/>
        <v>232987566.10356924</v>
      </c>
      <c r="L69" s="943"/>
      <c r="M69" s="7"/>
    </row>
    <row r="70" spans="1:13">
      <c r="A70" s="120">
        <f t="shared" si="6"/>
        <v>45</v>
      </c>
      <c r="B70" s="699" t="s">
        <v>202</v>
      </c>
      <c r="C70" s="700">
        <v>2019</v>
      </c>
      <c r="D70" s="7">
        <f t="shared" si="7"/>
        <v>18395093.093095724</v>
      </c>
      <c r="E70" s="7">
        <f t="shared" si="7"/>
        <v>1379631.9819821792</v>
      </c>
      <c r="F70" s="7">
        <f t="shared" si="7"/>
        <v>19774725.075077903</v>
      </c>
      <c r="G70" s="7">
        <f t="shared" si="7"/>
        <v>373816.33</v>
      </c>
      <c r="H70" s="7">
        <f t="shared" si="7"/>
        <v>0</v>
      </c>
      <c r="I70" s="7">
        <f t="shared" si="7"/>
        <v>28036.224750000001</v>
      </c>
      <c r="J70" s="7">
        <f t="shared" si="7"/>
        <v>402990070.52389711</v>
      </c>
      <c r="K70" s="7">
        <f t="shared" si="7"/>
        <v>252360438.62389714</v>
      </c>
      <c r="L70" s="943"/>
      <c r="M70" s="7"/>
    </row>
    <row r="71" spans="1:13">
      <c r="A71" s="120">
        <f t="shared" si="6"/>
        <v>46</v>
      </c>
      <c r="B71" s="702" t="s">
        <v>203</v>
      </c>
      <c r="C71" s="700">
        <v>2019</v>
      </c>
      <c r="D71" s="7">
        <f t="shared" si="7"/>
        <v>19070891.887879726</v>
      </c>
      <c r="E71" s="7">
        <f t="shared" si="7"/>
        <v>1430316.8915909794</v>
      </c>
      <c r="F71" s="7">
        <f t="shared" si="7"/>
        <v>20501208.779470704</v>
      </c>
      <c r="G71" s="7">
        <f t="shared" si="7"/>
        <v>400430.52</v>
      </c>
      <c r="H71" s="7">
        <f t="shared" si="7"/>
        <v>0</v>
      </c>
      <c r="I71" s="7">
        <f t="shared" si="7"/>
        <v>30032.289000000001</v>
      </c>
      <c r="J71" s="7">
        <f t="shared" si="7"/>
        <v>423060816.49436778</v>
      </c>
      <c r="K71" s="7">
        <f t="shared" si="7"/>
        <v>272431184.5943678</v>
      </c>
      <c r="L71" s="943"/>
      <c r="M71" s="7"/>
    </row>
    <row r="72" spans="1:13">
      <c r="A72" s="120">
        <f t="shared" si="6"/>
        <v>47</v>
      </c>
      <c r="B72" s="702" t="s">
        <v>1650</v>
      </c>
      <c r="C72" s="700">
        <v>2019</v>
      </c>
      <c r="D72" s="7">
        <f t="shared" si="7"/>
        <v>34328458.891959727</v>
      </c>
      <c r="E72" s="7">
        <f t="shared" si="7"/>
        <v>2574634.4168969793</v>
      </c>
      <c r="F72" s="7">
        <f t="shared" si="7"/>
        <v>36903093.308856703</v>
      </c>
      <c r="G72" s="7">
        <f t="shared" si="7"/>
        <v>413213.15</v>
      </c>
      <c r="H72" s="7">
        <f t="shared" si="7"/>
        <v>0</v>
      </c>
      <c r="I72" s="7">
        <f t="shared" si="7"/>
        <v>30990.986250000002</v>
      </c>
      <c r="J72" s="7">
        <f t="shared" si="7"/>
        <v>459519705.66697448</v>
      </c>
      <c r="K72" s="7">
        <f t="shared" si="7"/>
        <v>308890073.76697457</v>
      </c>
      <c r="L72" s="943"/>
      <c r="M72" s="7"/>
    </row>
    <row r="73" spans="1:13">
      <c r="A73" s="120">
        <f t="shared" si="6"/>
        <v>48</v>
      </c>
      <c r="B73" s="699" t="s">
        <v>205</v>
      </c>
      <c r="C73" s="700">
        <v>2019</v>
      </c>
      <c r="D73" s="7">
        <f t="shared" si="7"/>
        <v>21416332.885885727</v>
      </c>
      <c r="E73" s="7">
        <f t="shared" si="7"/>
        <v>1606224.9664414295</v>
      </c>
      <c r="F73" s="7">
        <f t="shared" si="7"/>
        <v>23022557.852327153</v>
      </c>
      <c r="G73" s="7">
        <f t="shared" si="7"/>
        <v>432386.85</v>
      </c>
      <c r="H73" s="7">
        <f t="shared" si="7"/>
        <v>0</v>
      </c>
      <c r="I73" s="7">
        <f t="shared" si="7"/>
        <v>32429.013749999998</v>
      </c>
      <c r="J73" s="7">
        <f t="shared" si="7"/>
        <v>482077447.65555167</v>
      </c>
      <c r="K73" s="7">
        <f t="shared" si="7"/>
        <v>331447815.7555517</v>
      </c>
      <c r="L73" s="943"/>
      <c r="M73" s="7"/>
    </row>
    <row r="74" spans="1:13">
      <c r="A74" s="120">
        <f t="shared" si="6"/>
        <v>49</v>
      </c>
      <c r="B74" s="702" t="s">
        <v>206</v>
      </c>
      <c r="C74" s="700">
        <v>2019</v>
      </c>
      <c r="D74" s="7">
        <f t="shared" si="7"/>
        <v>22238369.516114414</v>
      </c>
      <c r="E74" s="7">
        <f t="shared" si="7"/>
        <v>1667877.7137085809</v>
      </c>
      <c r="F74" s="7">
        <f t="shared" si="7"/>
        <v>23906247.229822993</v>
      </c>
      <c r="G74" s="7">
        <f t="shared" si="7"/>
        <v>14427934.35</v>
      </c>
      <c r="H74" s="7">
        <f t="shared" si="7"/>
        <v>8470082.9399999995</v>
      </c>
      <c r="I74" s="7">
        <f t="shared" si="7"/>
        <v>446838.85574999999</v>
      </c>
      <c r="J74" s="7">
        <f t="shared" si="7"/>
        <v>491108921.67962468</v>
      </c>
      <c r="K74" s="7">
        <f t="shared" si="7"/>
        <v>340479289.7796247</v>
      </c>
      <c r="L74" s="943"/>
      <c r="M74" s="7"/>
    </row>
    <row r="75" spans="1:13">
      <c r="A75" s="120">
        <f t="shared" si="6"/>
        <v>50</v>
      </c>
      <c r="B75" s="702" t="s">
        <v>207</v>
      </c>
      <c r="C75" s="700">
        <v>2019</v>
      </c>
      <c r="D75" s="7">
        <f t="shared" ref="D75:K75" si="8">D109+D142+D173+D206+D237+D270+D301+D334+D365+D398</f>
        <v>24775208.928607386</v>
      </c>
      <c r="E75" s="7">
        <f t="shared" si="8"/>
        <v>1858140.6696455539</v>
      </c>
      <c r="F75" s="7">
        <f t="shared" si="8"/>
        <v>26633349.598252941</v>
      </c>
      <c r="G75" s="7">
        <f t="shared" si="8"/>
        <v>453078.41000000003</v>
      </c>
      <c r="H75" s="7">
        <f t="shared" si="8"/>
        <v>0</v>
      </c>
      <c r="I75" s="7">
        <f t="shared" si="8"/>
        <v>33980.880749999997</v>
      </c>
      <c r="J75" s="7">
        <f t="shared" si="8"/>
        <v>517255211.98712754</v>
      </c>
      <c r="K75" s="522">
        <f t="shared" si="8"/>
        <v>366625580.08712757</v>
      </c>
      <c r="L75" s="943"/>
      <c r="M75" s="7"/>
    </row>
    <row r="76" spans="1:13">
      <c r="A76" s="120">
        <f t="shared" si="6"/>
        <v>51</v>
      </c>
      <c r="B76" s="702" t="s">
        <v>210</v>
      </c>
      <c r="C76" s="700">
        <v>2019</v>
      </c>
      <c r="D76" s="7">
        <f>D110+D143+D174+D207+D238+D271+D302+D335+D366</f>
        <v>23310192.734987721</v>
      </c>
      <c r="E76" s="7">
        <f>E110+E143+E174+E207+E238+E271+E302+E335+E366+E399</f>
        <v>2891631.9551240792</v>
      </c>
      <c r="F76" s="7">
        <f t="shared" ref="F76:K78" si="9">F110+F143+F174+F207+F238+F271+F302+F335+F366+F399</f>
        <v>41446724.690111801</v>
      </c>
      <c r="G76" s="7">
        <f t="shared" si="9"/>
        <v>19987218.269999996</v>
      </c>
      <c r="H76" s="7">
        <f t="shared" si="9"/>
        <v>9341863.8599999994</v>
      </c>
      <c r="I76" s="7">
        <f t="shared" si="9"/>
        <v>798401.58074999985</v>
      </c>
      <c r="J76" s="7">
        <f t="shared" si="9"/>
        <v>537916316.82648945</v>
      </c>
      <c r="K76" s="522">
        <f t="shared" si="9"/>
        <v>387286684.92648947</v>
      </c>
      <c r="L76" s="943"/>
      <c r="M76" s="7"/>
    </row>
    <row r="77" spans="1:13">
      <c r="A77" s="120">
        <f t="shared" si="6"/>
        <v>52</v>
      </c>
      <c r="B77" s="702" t="s">
        <v>209</v>
      </c>
      <c r="C77" s="700">
        <v>2019</v>
      </c>
      <c r="D77" s="7">
        <f>D111+D144+D175+D208+D239+D272+D303+D336+D367</f>
        <v>28594395.182708353</v>
      </c>
      <c r="E77" s="7">
        <f>E111+E144+E175+E208+E239+E272+E303+E336+E367+E400</f>
        <v>2488228.9637031266</v>
      </c>
      <c r="F77" s="7">
        <f t="shared" si="9"/>
        <v>35664615.146411479</v>
      </c>
      <c r="G77" s="7">
        <f t="shared" si="9"/>
        <v>16531554.139999997</v>
      </c>
      <c r="H77" s="7">
        <f t="shared" si="9"/>
        <v>6140181.3599999994</v>
      </c>
      <c r="I77" s="7">
        <f t="shared" si="9"/>
        <v>779352.95849999983</v>
      </c>
      <c r="J77" s="7">
        <f t="shared" si="9"/>
        <v>556270024.87440097</v>
      </c>
      <c r="K77" s="522">
        <f t="shared" si="9"/>
        <v>405640392.97440094</v>
      </c>
      <c r="L77" s="943"/>
      <c r="M77" s="7"/>
    </row>
    <row r="78" spans="1:13">
      <c r="A78" s="120">
        <f t="shared" si="6"/>
        <v>53</v>
      </c>
      <c r="B78" s="702" t="s">
        <v>199</v>
      </c>
      <c r="C78" s="700">
        <v>2019</v>
      </c>
      <c r="D78" s="7">
        <f>D112+D145+D176+D209+D240+D273+D304+D337+D368+D401</f>
        <v>33982790.172716424</v>
      </c>
      <c r="E78" s="7">
        <f>E112+E145+E176+E209+E240+E273+E304+E337+E368+E401</f>
        <v>2548709.2629537322</v>
      </c>
      <c r="F78" s="7">
        <f t="shared" si="9"/>
        <v>36531499.43567016</v>
      </c>
      <c r="G78" s="7">
        <f t="shared" si="9"/>
        <v>5786284.5911999997</v>
      </c>
      <c r="H78" s="7">
        <f t="shared" si="9"/>
        <v>2531642.4799999995</v>
      </c>
      <c r="I78" s="7">
        <f t="shared" si="9"/>
        <v>244098.15833999997</v>
      </c>
      <c r="J78" s="7">
        <f t="shared" si="9"/>
        <v>586771141.56053102</v>
      </c>
      <c r="K78" s="98">
        <f>K112+K145+K176+K209+K240+K273+K304+K337+K368+K401</f>
        <v>436141509.6605311</v>
      </c>
      <c r="L78" s="944"/>
      <c r="M78" s="7"/>
    </row>
    <row r="79" spans="1:13">
      <c r="A79" s="120">
        <f t="shared" si="6"/>
        <v>54</v>
      </c>
      <c r="C79" s="738" t="s">
        <v>1821</v>
      </c>
      <c r="K79" s="80">
        <f>AVERAGE(K66:K78)</f>
        <v>301458236.65036392</v>
      </c>
      <c r="L79" s="947"/>
    </row>
    <row r="81" spans="1:11">
      <c r="B81" s="706" t="s">
        <v>2316</v>
      </c>
    </row>
    <row r="82" spans="1:11" s="739" customFormat="1">
      <c r="B82" s="740" t="s">
        <v>2317</v>
      </c>
      <c r="D82" s="1394" t="s">
        <v>249</v>
      </c>
      <c r="E82" s="1394"/>
    </row>
    <row r="83" spans="1:11" s="734" customFormat="1">
      <c r="D83" s="734" t="s">
        <v>391</v>
      </c>
      <c r="E83" s="734" t="s">
        <v>375</v>
      </c>
      <c r="F83" s="734" t="s">
        <v>376</v>
      </c>
      <c r="G83" s="734" t="s">
        <v>377</v>
      </c>
      <c r="H83" s="734" t="s">
        <v>378</v>
      </c>
      <c r="I83" s="734" t="s">
        <v>379</v>
      </c>
      <c r="J83" s="734" t="s">
        <v>380</v>
      </c>
      <c r="K83" s="734" t="s">
        <v>593</v>
      </c>
    </row>
    <row r="84" spans="1:11" s="739" customFormat="1" ht="25.9" customHeight="1">
      <c r="D84" s="741"/>
      <c r="E84" s="742" t="s">
        <v>2561</v>
      </c>
      <c r="F84" s="743" t="s">
        <v>2318</v>
      </c>
      <c r="G84" s="524"/>
      <c r="H84" s="741"/>
      <c r="I84" s="742" t="s">
        <v>2562</v>
      </c>
      <c r="J84" s="742" t="s">
        <v>2319</v>
      </c>
      <c r="K84" s="742" t="s">
        <v>2320</v>
      </c>
    </row>
    <row r="85" spans="1:11" s="739" customFormat="1">
      <c r="D85" s="741"/>
      <c r="E85" s="744"/>
      <c r="F85" s="744"/>
      <c r="G85" s="635" t="str">
        <f>G51</f>
        <v>Unloaded</v>
      </c>
      <c r="H85" s="741"/>
      <c r="I85" s="744"/>
      <c r="J85" s="744"/>
      <c r="K85" s="635"/>
    </row>
    <row r="86" spans="1:11" s="736" customFormat="1">
      <c r="D86" s="736" t="str">
        <f>D$52</f>
        <v>Forecast</v>
      </c>
      <c r="E86" s="736" t="str">
        <f t="shared" ref="E86:J86" si="10">E$52</f>
        <v>Corporate</v>
      </c>
      <c r="F86" s="736" t="str">
        <f t="shared" si="10"/>
        <v xml:space="preserve">Total </v>
      </c>
      <c r="G86" s="635" t="str">
        <f>G52</f>
        <v>Total</v>
      </c>
      <c r="H86" s="736" t="str">
        <f t="shared" si="10"/>
        <v>Prior Period</v>
      </c>
      <c r="I86" s="736" t="str">
        <f t="shared" si="10"/>
        <v>Over Heads</v>
      </c>
      <c r="J86" s="736" t="str">
        <f t="shared" si="10"/>
        <v>Forecast</v>
      </c>
      <c r="K86" s="635" t="str">
        <f>K$52</f>
        <v>Forecast Period</v>
      </c>
    </row>
    <row r="87" spans="1:11" s="739" customFormat="1">
      <c r="A87" s="998" t="s">
        <v>360</v>
      </c>
      <c r="B87" s="698" t="s">
        <v>211</v>
      </c>
      <c r="C87" s="698" t="s">
        <v>212</v>
      </c>
      <c r="D87" s="734" t="str">
        <f>D$53</f>
        <v>Expenditures</v>
      </c>
      <c r="E87" s="734" t="str">
        <f t="shared" ref="E87:J87" si="11">E$53</f>
        <v>Overheads</v>
      </c>
      <c r="F87" s="734" t="str">
        <f t="shared" si="11"/>
        <v>CWIP Exp</v>
      </c>
      <c r="G87" s="3" t="str">
        <f>G53</f>
        <v>Plant Adds</v>
      </c>
      <c r="H87" s="734" t="str">
        <f t="shared" si="11"/>
        <v>CWIP Closed</v>
      </c>
      <c r="I87" s="734" t="str">
        <f t="shared" si="11"/>
        <v>Closed to PIS</v>
      </c>
      <c r="J87" s="734" t="str">
        <f t="shared" si="11"/>
        <v>Period CWIP</v>
      </c>
      <c r="K87" s="734" t="str">
        <f>K$53</f>
        <v>Incremental CWIP</v>
      </c>
    </row>
    <row r="88" spans="1:11" s="739" customFormat="1">
      <c r="A88" s="120">
        <f>A79+1</f>
        <v>55</v>
      </c>
      <c r="B88" s="699" t="s">
        <v>199</v>
      </c>
      <c r="C88" s="700">
        <v>2017</v>
      </c>
      <c r="D88" s="743" t="s">
        <v>86</v>
      </c>
      <c r="E88" s="743" t="s">
        <v>86</v>
      </c>
      <c r="F88" s="743" t="s">
        <v>86</v>
      </c>
      <c r="G88" s="743" t="s">
        <v>86</v>
      </c>
      <c r="H88" s="743" t="s">
        <v>86</v>
      </c>
      <c r="I88" s="743" t="s">
        <v>86</v>
      </c>
      <c r="J88" s="65">
        <f>E25</f>
        <v>150976.49</v>
      </c>
      <c r="K88" s="743" t="s">
        <v>86</v>
      </c>
    </row>
    <row r="89" spans="1:11" s="739" customFormat="1">
      <c r="A89" s="120">
        <f>A88+1</f>
        <v>56</v>
      </c>
      <c r="B89" s="699" t="s">
        <v>200</v>
      </c>
      <c r="C89" s="700">
        <v>2018</v>
      </c>
      <c r="D89" s="1185">
        <v>426481</v>
      </c>
      <c r="E89" s="65">
        <f>D89*'16-PlantAdditions'!$E$103</f>
        <v>31986.074999999997</v>
      </c>
      <c r="F89" s="65">
        <f>E89+D89</f>
        <v>458467.07500000001</v>
      </c>
      <c r="G89" s="1185">
        <v>191116.00000000003</v>
      </c>
      <c r="H89" s="1185">
        <v>0</v>
      </c>
      <c r="I89" s="65">
        <f>(G89-H89)*'16-PlantAdditions'!$E$103</f>
        <v>14333.700000000003</v>
      </c>
      <c r="J89" s="65">
        <f>J88+F89-G89-I89</f>
        <v>403993.86499999993</v>
      </c>
      <c r="K89" s="65">
        <f>J89-$J$88</f>
        <v>253017.37499999994</v>
      </c>
    </row>
    <row r="90" spans="1:11" s="739" customFormat="1">
      <c r="A90" s="120">
        <f t="shared" ref="A90:A108" si="12">A89+1</f>
        <v>57</v>
      </c>
      <c r="B90" s="702" t="s">
        <v>201</v>
      </c>
      <c r="C90" s="700">
        <v>2018</v>
      </c>
      <c r="D90" s="1185">
        <v>659259</v>
      </c>
      <c r="E90" s="65">
        <f>D90*'16-PlantAdditions'!$E$103</f>
        <v>49444.424999999996</v>
      </c>
      <c r="F90" s="65">
        <f t="shared" ref="F90:F112" si="13">E90+D90</f>
        <v>708703.42500000005</v>
      </c>
      <c r="G90" s="1185">
        <v>891972</v>
      </c>
      <c r="H90" s="1185">
        <v>0</v>
      </c>
      <c r="I90" s="65">
        <f>(G90-H90)*'16-PlantAdditions'!$E$103</f>
        <v>66897.899999999994</v>
      </c>
      <c r="J90" s="65">
        <f t="shared" ref="J90:J108" si="14">J89+F90-G90-I90</f>
        <v>153827.39000000004</v>
      </c>
      <c r="K90" s="65">
        <f t="shared" ref="K90:K112" si="15">J90-$J$88</f>
        <v>2850.9000000000524</v>
      </c>
    </row>
    <row r="91" spans="1:11" s="739" customFormat="1">
      <c r="A91" s="120">
        <f t="shared" si="12"/>
        <v>58</v>
      </c>
      <c r="B91" s="702" t="s">
        <v>214</v>
      </c>
      <c r="C91" s="700">
        <v>2018</v>
      </c>
      <c r="D91" s="1185">
        <v>589704.00000000012</v>
      </c>
      <c r="E91" s="65">
        <f>D91*'16-PlantAdditions'!$E$103</f>
        <v>44227.80000000001</v>
      </c>
      <c r="F91" s="65">
        <f t="shared" si="13"/>
        <v>633931.80000000016</v>
      </c>
      <c r="G91" s="1185">
        <v>588345.00000000012</v>
      </c>
      <c r="H91" s="1185">
        <v>0</v>
      </c>
      <c r="I91" s="65">
        <f>(G91-H91)*'16-PlantAdditions'!$E$103</f>
        <v>44125.875000000007</v>
      </c>
      <c r="J91" s="65">
        <f t="shared" si="14"/>
        <v>155288.31500000006</v>
      </c>
      <c r="K91" s="65">
        <f t="shared" si="15"/>
        <v>4311.8250000000698</v>
      </c>
    </row>
    <row r="92" spans="1:11" s="739" customFormat="1">
      <c r="A92" s="120">
        <f t="shared" si="12"/>
        <v>59</v>
      </c>
      <c r="B92" s="699" t="s">
        <v>202</v>
      </c>
      <c r="C92" s="700">
        <v>2018</v>
      </c>
      <c r="D92" s="1185">
        <v>82255.000000000015</v>
      </c>
      <c r="E92" s="65">
        <f>D92*'16-PlantAdditions'!$E$103</f>
        <v>6169.1250000000009</v>
      </c>
      <c r="F92" s="65">
        <f t="shared" si="13"/>
        <v>88424.125000000015</v>
      </c>
      <c r="G92" s="1185">
        <v>80255.000000000015</v>
      </c>
      <c r="H92" s="1185">
        <v>0</v>
      </c>
      <c r="I92" s="65">
        <f>(G92-H92)*'16-PlantAdditions'!$E$103</f>
        <v>6019.1250000000009</v>
      </c>
      <c r="J92" s="65">
        <f t="shared" si="14"/>
        <v>157438.31500000006</v>
      </c>
      <c r="K92" s="65">
        <f t="shared" si="15"/>
        <v>6461.8250000000698</v>
      </c>
    </row>
    <row r="93" spans="1:11" s="739" customFormat="1">
      <c r="A93" s="120">
        <f t="shared" si="12"/>
        <v>60</v>
      </c>
      <c r="B93" s="702" t="s">
        <v>203</v>
      </c>
      <c r="C93" s="700">
        <v>2018</v>
      </c>
      <c r="D93" s="1185">
        <v>788000</v>
      </c>
      <c r="E93" s="65">
        <f>D93*'16-PlantAdditions'!$E$103</f>
        <v>59100</v>
      </c>
      <c r="F93" s="65">
        <f t="shared" si="13"/>
        <v>847100</v>
      </c>
      <c r="G93" s="1185">
        <v>786000</v>
      </c>
      <c r="H93" s="1185">
        <v>0</v>
      </c>
      <c r="I93" s="65">
        <f>(G93-H93)*'16-PlantAdditions'!$E$103</f>
        <v>58950</v>
      </c>
      <c r="J93" s="65">
        <f t="shared" si="14"/>
        <v>159588.31500000006</v>
      </c>
      <c r="K93" s="65">
        <f t="shared" si="15"/>
        <v>8611.8250000000698</v>
      </c>
    </row>
    <row r="94" spans="1:11" s="739" customFormat="1">
      <c r="A94" s="120">
        <f t="shared" si="12"/>
        <v>61</v>
      </c>
      <c r="B94" s="702" t="s">
        <v>1650</v>
      </c>
      <c r="C94" s="700">
        <v>2018</v>
      </c>
      <c r="D94" s="1185">
        <v>703326</v>
      </c>
      <c r="E94" s="65">
        <f>D94*'16-PlantAdditions'!$E$103</f>
        <v>52749.45</v>
      </c>
      <c r="F94" s="65">
        <f t="shared" si="13"/>
        <v>756075.45</v>
      </c>
      <c r="G94" s="1185">
        <v>862313.49</v>
      </c>
      <c r="H94" s="1185">
        <v>150976.49</v>
      </c>
      <c r="I94" s="65">
        <f>(G94-H94)*'16-PlantAdditions'!$E$103</f>
        <v>53350.275000000001</v>
      </c>
      <c r="J94" s="65">
        <f t="shared" si="14"/>
        <v>0</v>
      </c>
      <c r="K94" s="65">
        <f t="shared" si="15"/>
        <v>-150976.49</v>
      </c>
    </row>
    <row r="95" spans="1:11" s="739" customFormat="1">
      <c r="A95" s="120">
        <f t="shared" si="12"/>
        <v>62</v>
      </c>
      <c r="B95" s="699" t="s">
        <v>205</v>
      </c>
      <c r="C95" s="700">
        <v>2018</v>
      </c>
      <c r="D95" s="1185">
        <v>503326</v>
      </c>
      <c r="E95" s="65">
        <f>D95*'16-PlantAdditions'!$E$103</f>
        <v>37749.449999999997</v>
      </c>
      <c r="F95" s="65">
        <f t="shared" si="13"/>
        <v>541075.44999999995</v>
      </c>
      <c r="G95" s="1185">
        <v>503326</v>
      </c>
      <c r="H95" s="1185">
        <v>0</v>
      </c>
      <c r="I95" s="65">
        <f>(G95-H95)*'16-PlantAdditions'!$E$103</f>
        <v>37749.449999999997</v>
      </c>
      <c r="J95" s="65">
        <f t="shared" si="14"/>
        <v>0</v>
      </c>
      <c r="K95" s="65">
        <f t="shared" si="15"/>
        <v>-150976.49</v>
      </c>
    </row>
    <row r="96" spans="1:11" s="739" customFormat="1">
      <c r="A96" s="120">
        <f t="shared" si="12"/>
        <v>63</v>
      </c>
      <c r="B96" s="702" t="s">
        <v>206</v>
      </c>
      <c r="C96" s="700">
        <v>2018</v>
      </c>
      <c r="D96" s="1185">
        <v>252663</v>
      </c>
      <c r="E96" s="65">
        <f>D96*'16-PlantAdditions'!$E$103</f>
        <v>18949.724999999999</v>
      </c>
      <c r="F96" s="65">
        <f t="shared" si="13"/>
        <v>271612.72499999998</v>
      </c>
      <c r="G96" s="1185">
        <v>252663</v>
      </c>
      <c r="H96" s="1185">
        <v>0</v>
      </c>
      <c r="I96" s="65">
        <f>(G96-H96)*'16-PlantAdditions'!$E$103</f>
        <v>18949.724999999999</v>
      </c>
      <c r="J96" s="65">
        <f t="shared" si="14"/>
        <v>0</v>
      </c>
      <c r="K96" s="65">
        <f t="shared" si="15"/>
        <v>-150976.49</v>
      </c>
    </row>
    <row r="97" spans="1:11" s="739" customFormat="1">
      <c r="A97" s="120">
        <f t="shared" si="12"/>
        <v>64</v>
      </c>
      <c r="B97" s="702" t="s">
        <v>207</v>
      </c>
      <c r="C97" s="700">
        <v>2018</v>
      </c>
      <c r="D97" s="1185">
        <v>304971</v>
      </c>
      <c r="E97" s="65">
        <f>D97*'16-PlantAdditions'!$E$103</f>
        <v>22872.825000000001</v>
      </c>
      <c r="F97" s="65">
        <f t="shared" si="13"/>
        <v>327843.82500000001</v>
      </c>
      <c r="G97" s="1185">
        <v>304971</v>
      </c>
      <c r="H97" s="1185">
        <v>0</v>
      </c>
      <c r="I97" s="65">
        <f>(G97-H97)*'16-PlantAdditions'!$E$103</f>
        <v>22872.825000000001</v>
      </c>
      <c r="J97" s="65">
        <f t="shared" si="14"/>
        <v>0</v>
      </c>
      <c r="K97" s="65">
        <f t="shared" si="15"/>
        <v>-150976.49</v>
      </c>
    </row>
    <row r="98" spans="1:11" s="739" customFormat="1">
      <c r="A98" s="120">
        <f t="shared" si="12"/>
        <v>65</v>
      </c>
      <c r="B98" s="699" t="s">
        <v>210</v>
      </c>
      <c r="C98" s="700">
        <v>2018</v>
      </c>
      <c r="D98" s="1185">
        <v>2000</v>
      </c>
      <c r="E98" s="65">
        <f>D98*'16-PlantAdditions'!$E$103</f>
        <v>150</v>
      </c>
      <c r="F98" s="65">
        <f t="shared" si="13"/>
        <v>2150</v>
      </c>
      <c r="G98" s="1185">
        <v>2000</v>
      </c>
      <c r="H98" s="1185">
        <v>0</v>
      </c>
      <c r="I98" s="65">
        <f>(G98-H98)*'16-PlantAdditions'!$E$103</f>
        <v>150</v>
      </c>
      <c r="J98" s="65">
        <f t="shared" si="14"/>
        <v>0</v>
      </c>
      <c r="K98" s="65">
        <f t="shared" si="15"/>
        <v>-150976.49</v>
      </c>
    </row>
    <row r="99" spans="1:11" s="739" customFormat="1">
      <c r="A99" s="120">
        <f t="shared" si="12"/>
        <v>66</v>
      </c>
      <c r="B99" s="699" t="s">
        <v>209</v>
      </c>
      <c r="C99" s="700">
        <v>2018</v>
      </c>
      <c r="D99" s="1185">
        <v>2000</v>
      </c>
      <c r="E99" s="65">
        <f>D99*'16-PlantAdditions'!$E$103</f>
        <v>150</v>
      </c>
      <c r="F99" s="65">
        <f t="shared" si="13"/>
        <v>2150</v>
      </c>
      <c r="G99" s="1185">
        <v>2000</v>
      </c>
      <c r="H99" s="1185">
        <v>0</v>
      </c>
      <c r="I99" s="65">
        <f>(G99-H99)*'16-PlantAdditions'!$E$103</f>
        <v>150</v>
      </c>
      <c r="J99" s="65">
        <f t="shared" si="14"/>
        <v>0</v>
      </c>
      <c r="K99" s="65">
        <f t="shared" si="15"/>
        <v>-150976.49</v>
      </c>
    </row>
    <row r="100" spans="1:11" s="739" customFormat="1">
      <c r="A100" s="120">
        <f t="shared" si="12"/>
        <v>67</v>
      </c>
      <c r="B100" s="699" t="s">
        <v>199</v>
      </c>
      <c r="C100" s="700">
        <v>2018</v>
      </c>
      <c r="D100" s="1185">
        <v>2161291</v>
      </c>
      <c r="E100" s="65">
        <f>D100*'16-PlantAdditions'!$E$103</f>
        <v>162096.82499999998</v>
      </c>
      <c r="F100" s="65">
        <f t="shared" si="13"/>
        <v>2323387.8250000002</v>
      </c>
      <c r="G100" s="1185">
        <v>2161291</v>
      </c>
      <c r="H100" s="1185">
        <v>0</v>
      </c>
      <c r="I100" s="65">
        <f>(G100-H100)*'16-PlantAdditions'!$E$103</f>
        <v>162096.82499999998</v>
      </c>
      <c r="J100" s="65">
        <f t="shared" si="14"/>
        <v>0</v>
      </c>
      <c r="K100" s="65">
        <f t="shared" si="15"/>
        <v>-150976.49</v>
      </c>
    </row>
    <row r="101" spans="1:11" s="739" customFormat="1">
      <c r="A101" s="120">
        <f t="shared" si="12"/>
        <v>68</v>
      </c>
      <c r="B101" s="699" t="s">
        <v>200</v>
      </c>
      <c r="C101" s="700">
        <v>2019</v>
      </c>
      <c r="D101" s="1185">
        <v>0</v>
      </c>
      <c r="E101" s="65">
        <f>D101*'16-PlantAdditions'!$E$103</f>
        <v>0</v>
      </c>
      <c r="F101" s="65">
        <f t="shared" si="13"/>
        <v>0</v>
      </c>
      <c r="G101" s="1185">
        <v>0</v>
      </c>
      <c r="H101" s="1185">
        <v>0</v>
      </c>
      <c r="I101" s="65">
        <f>(G101-H101)*'16-PlantAdditions'!$E$103</f>
        <v>0</v>
      </c>
      <c r="J101" s="65">
        <f t="shared" si="14"/>
        <v>0</v>
      </c>
      <c r="K101" s="65">
        <f t="shared" si="15"/>
        <v>-150976.49</v>
      </c>
    </row>
    <row r="102" spans="1:11" s="739" customFormat="1">
      <c r="A102" s="120">
        <f t="shared" si="12"/>
        <v>69</v>
      </c>
      <c r="B102" s="702" t="s">
        <v>201</v>
      </c>
      <c r="C102" s="700">
        <v>2019</v>
      </c>
      <c r="D102" s="1185">
        <v>0</v>
      </c>
      <c r="E102" s="65">
        <f>D102*'16-PlantAdditions'!$E$103</f>
        <v>0</v>
      </c>
      <c r="F102" s="65">
        <f t="shared" si="13"/>
        <v>0</v>
      </c>
      <c r="G102" s="1185">
        <v>0</v>
      </c>
      <c r="H102" s="1185">
        <v>0</v>
      </c>
      <c r="I102" s="65">
        <f>(G102-H102)*'16-PlantAdditions'!$E$103</f>
        <v>0</v>
      </c>
      <c r="J102" s="65">
        <f t="shared" si="14"/>
        <v>0</v>
      </c>
      <c r="K102" s="65">
        <f t="shared" si="15"/>
        <v>-150976.49</v>
      </c>
    </row>
    <row r="103" spans="1:11" s="739" customFormat="1">
      <c r="A103" s="120">
        <f t="shared" si="12"/>
        <v>70</v>
      </c>
      <c r="B103" s="702" t="s">
        <v>214</v>
      </c>
      <c r="C103" s="700">
        <v>2019</v>
      </c>
      <c r="D103" s="1185">
        <v>0</v>
      </c>
      <c r="E103" s="65">
        <f>D103*'16-PlantAdditions'!$E$103</f>
        <v>0</v>
      </c>
      <c r="F103" s="65">
        <f t="shared" si="13"/>
        <v>0</v>
      </c>
      <c r="G103" s="1185">
        <v>0</v>
      </c>
      <c r="H103" s="1185">
        <v>0</v>
      </c>
      <c r="I103" s="65">
        <f>(G103-H103)*'16-PlantAdditions'!$E$103</f>
        <v>0</v>
      </c>
      <c r="J103" s="65">
        <f t="shared" si="14"/>
        <v>0</v>
      </c>
      <c r="K103" s="65">
        <f t="shared" si="15"/>
        <v>-150976.49</v>
      </c>
    </row>
    <row r="104" spans="1:11" s="739" customFormat="1">
      <c r="A104" s="120">
        <f t="shared" si="12"/>
        <v>71</v>
      </c>
      <c r="B104" s="699" t="s">
        <v>202</v>
      </c>
      <c r="C104" s="700">
        <v>2019</v>
      </c>
      <c r="D104" s="1185">
        <v>0</v>
      </c>
      <c r="E104" s="65">
        <f>D104*'16-PlantAdditions'!$E$103</f>
        <v>0</v>
      </c>
      <c r="F104" s="65">
        <f t="shared" si="13"/>
        <v>0</v>
      </c>
      <c r="G104" s="1185">
        <v>0</v>
      </c>
      <c r="H104" s="1185">
        <v>0</v>
      </c>
      <c r="I104" s="65">
        <f>(G104-H104)*'16-PlantAdditions'!$E$103</f>
        <v>0</v>
      </c>
      <c r="J104" s="65">
        <f t="shared" si="14"/>
        <v>0</v>
      </c>
      <c r="K104" s="65">
        <f t="shared" si="15"/>
        <v>-150976.49</v>
      </c>
    </row>
    <row r="105" spans="1:11" s="739" customFormat="1">
      <c r="A105" s="120">
        <f t="shared" si="12"/>
        <v>72</v>
      </c>
      <c r="B105" s="702" t="s">
        <v>203</v>
      </c>
      <c r="C105" s="700">
        <v>2019</v>
      </c>
      <c r="D105" s="1185">
        <v>0</v>
      </c>
      <c r="E105" s="65">
        <f>D105*'16-PlantAdditions'!$E$103</f>
        <v>0</v>
      </c>
      <c r="F105" s="65">
        <f t="shared" si="13"/>
        <v>0</v>
      </c>
      <c r="G105" s="1185">
        <v>0</v>
      </c>
      <c r="H105" s="1185">
        <v>0</v>
      </c>
      <c r="I105" s="65">
        <f>(G105-H105)*'16-PlantAdditions'!$E$103</f>
        <v>0</v>
      </c>
      <c r="J105" s="65">
        <f t="shared" si="14"/>
        <v>0</v>
      </c>
      <c r="K105" s="65">
        <f t="shared" si="15"/>
        <v>-150976.49</v>
      </c>
    </row>
    <row r="106" spans="1:11" s="739" customFormat="1">
      <c r="A106" s="120">
        <f t="shared" si="12"/>
        <v>73</v>
      </c>
      <c r="B106" s="702" t="s">
        <v>1650</v>
      </c>
      <c r="C106" s="700">
        <v>2019</v>
      </c>
      <c r="D106" s="1185">
        <v>0</v>
      </c>
      <c r="E106" s="65">
        <f>D106*'16-PlantAdditions'!$E$103</f>
        <v>0</v>
      </c>
      <c r="F106" s="65">
        <f t="shared" si="13"/>
        <v>0</v>
      </c>
      <c r="G106" s="1185">
        <v>0</v>
      </c>
      <c r="H106" s="1185">
        <v>0</v>
      </c>
      <c r="I106" s="65">
        <f>(G106-H106)*'16-PlantAdditions'!$E$103</f>
        <v>0</v>
      </c>
      <c r="J106" s="65">
        <f t="shared" si="14"/>
        <v>0</v>
      </c>
      <c r="K106" s="65">
        <f t="shared" si="15"/>
        <v>-150976.49</v>
      </c>
    </row>
    <row r="107" spans="1:11" s="739" customFormat="1">
      <c r="A107" s="120">
        <f t="shared" si="12"/>
        <v>74</v>
      </c>
      <c r="B107" s="699" t="s">
        <v>205</v>
      </c>
      <c r="C107" s="700">
        <v>2019</v>
      </c>
      <c r="D107" s="1185">
        <v>0</v>
      </c>
      <c r="E107" s="65">
        <f>D107*'16-PlantAdditions'!$E$103</f>
        <v>0</v>
      </c>
      <c r="F107" s="65">
        <f t="shared" si="13"/>
        <v>0</v>
      </c>
      <c r="G107" s="1185">
        <v>0</v>
      </c>
      <c r="H107" s="1185">
        <v>0</v>
      </c>
      <c r="I107" s="65">
        <f>(G107-H107)*'16-PlantAdditions'!$E$103</f>
        <v>0</v>
      </c>
      <c r="J107" s="65">
        <f t="shared" si="14"/>
        <v>0</v>
      </c>
      <c r="K107" s="65">
        <f t="shared" si="15"/>
        <v>-150976.49</v>
      </c>
    </row>
    <row r="108" spans="1:11" s="739" customFormat="1">
      <c r="A108" s="120">
        <f t="shared" si="12"/>
        <v>75</v>
      </c>
      <c r="B108" s="702" t="s">
        <v>206</v>
      </c>
      <c r="C108" s="700">
        <v>2019</v>
      </c>
      <c r="D108" s="1185">
        <v>0</v>
      </c>
      <c r="E108" s="65">
        <f>D108*'16-PlantAdditions'!$E$103</f>
        <v>0</v>
      </c>
      <c r="F108" s="65">
        <f t="shared" si="13"/>
        <v>0</v>
      </c>
      <c r="G108" s="1185">
        <v>0</v>
      </c>
      <c r="H108" s="1185">
        <v>0</v>
      </c>
      <c r="I108" s="65">
        <f>(G108-H108)*'16-PlantAdditions'!$E$103</f>
        <v>0</v>
      </c>
      <c r="J108" s="65">
        <f t="shared" si="14"/>
        <v>0</v>
      </c>
      <c r="K108" s="65">
        <f t="shared" si="15"/>
        <v>-150976.49</v>
      </c>
    </row>
    <row r="109" spans="1:11" s="739" customFormat="1">
      <c r="A109" s="120">
        <f>A108+1</f>
        <v>76</v>
      </c>
      <c r="B109" s="702" t="s">
        <v>207</v>
      </c>
      <c r="C109" s="700">
        <v>2019</v>
      </c>
      <c r="D109" s="1185">
        <v>0</v>
      </c>
      <c r="E109" s="65">
        <f>D109*'16-PlantAdditions'!$E$103</f>
        <v>0</v>
      </c>
      <c r="F109" s="65">
        <f t="shared" si="13"/>
        <v>0</v>
      </c>
      <c r="G109" s="1185">
        <v>0</v>
      </c>
      <c r="H109" s="1185">
        <v>0</v>
      </c>
      <c r="I109" s="65">
        <f>(G109-H109)*'16-PlantAdditions'!$E$103</f>
        <v>0</v>
      </c>
      <c r="J109" s="65">
        <f>J108+F109-G109-I109</f>
        <v>0</v>
      </c>
      <c r="K109" s="65">
        <f t="shared" si="15"/>
        <v>-150976.49</v>
      </c>
    </row>
    <row r="110" spans="1:11" s="739" customFormat="1">
      <c r="A110" s="120">
        <f t="shared" ref="A110:A113" si="16">A109+1</f>
        <v>77</v>
      </c>
      <c r="B110" s="702" t="s">
        <v>210</v>
      </c>
      <c r="C110" s="700">
        <v>2019</v>
      </c>
      <c r="D110" s="1185">
        <v>0</v>
      </c>
      <c r="E110" s="65">
        <f>D110*'16-PlantAdditions'!$E$103</f>
        <v>0</v>
      </c>
      <c r="F110" s="65">
        <f t="shared" si="13"/>
        <v>0</v>
      </c>
      <c r="G110" s="1185">
        <v>0</v>
      </c>
      <c r="H110" s="1185">
        <v>0</v>
      </c>
      <c r="I110" s="65">
        <f>(G110-H110)*'16-PlantAdditions'!$E$103</f>
        <v>0</v>
      </c>
      <c r="J110" s="65">
        <f t="shared" ref="J110:J112" si="17">J109+F110-G110-I110</f>
        <v>0</v>
      </c>
      <c r="K110" s="65">
        <f t="shared" si="15"/>
        <v>-150976.49</v>
      </c>
    </row>
    <row r="111" spans="1:11" s="739" customFormat="1">
      <c r="A111" s="120">
        <f t="shared" si="16"/>
        <v>78</v>
      </c>
      <c r="B111" s="702" t="s">
        <v>209</v>
      </c>
      <c r="C111" s="700">
        <v>2019</v>
      </c>
      <c r="D111" s="1185">
        <v>0</v>
      </c>
      <c r="E111" s="65">
        <f>D111*'16-PlantAdditions'!$E$103</f>
        <v>0</v>
      </c>
      <c r="F111" s="65">
        <f t="shared" si="13"/>
        <v>0</v>
      </c>
      <c r="G111" s="1185">
        <v>0</v>
      </c>
      <c r="H111" s="1185">
        <v>0</v>
      </c>
      <c r="I111" s="65">
        <f>(G111-H111)*'16-PlantAdditions'!$E$103</f>
        <v>0</v>
      </c>
      <c r="J111" s="65">
        <f t="shared" si="17"/>
        <v>0</v>
      </c>
      <c r="K111" s="65">
        <f t="shared" si="15"/>
        <v>-150976.49</v>
      </c>
    </row>
    <row r="112" spans="1:11" s="739" customFormat="1">
      <c r="A112" s="120">
        <f t="shared" si="16"/>
        <v>79</v>
      </c>
      <c r="B112" s="702" t="s">
        <v>199</v>
      </c>
      <c r="C112" s="700">
        <v>2019</v>
      </c>
      <c r="D112" s="1185">
        <v>0</v>
      </c>
      <c r="E112" s="65">
        <f>D112*'16-PlantAdditions'!$E$103</f>
        <v>0</v>
      </c>
      <c r="F112" s="65">
        <f t="shared" si="13"/>
        <v>0</v>
      </c>
      <c r="G112" s="1185">
        <v>0</v>
      </c>
      <c r="H112" s="1185">
        <v>0</v>
      </c>
      <c r="I112" s="65">
        <f>(G112-H112)*'16-PlantAdditions'!$E$103</f>
        <v>0</v>
      </c>
      <c r="J112" s="65">
        <f t="shared" si="17"/>
        <v>0</v>
      </c>
      <c r="K112" s="121">
        <f t="shared" si="15"/>
        <v>-150976.49</v>
      </c>
    </row>
    <row r="113" spans="1:11" s="739" customFormat="1">
      <c r="A113" s="120">
        <f t="shared" si="16"/>
        <v>80</v>
      </c>
      <c r="B113"/>
      <c r="C113" s="738" t="s">
        <v>1821</v>
      </c>
      <c r="D113"/>
      <c r="E113"/>
      <c r="F113"/>
      <c r="G113"/>
      <c r="H113"/>
      <c r="I113"/>
      <c r="J113"/>
      <c r="K113" s="80">
        <f>AVERAGE(K100:K112)</f>
        <v>-150976.49</v>
      </c>
    </row>
    <row r="114" spans="1:11" s="739" customFormat="1">
      <c r="A114" s="120"/>
      <c r="B114"/>
      <c r="C114" s="738"/>
      <c r="D114"/>
      <c r="E114"/>
      <c r="F114"/>
      <c r="G114"/>
      <c r="H114"/>
      <c r="I114"/>
      <c r="J114"/>
      <c r="K114" s="80"/>
    </row>
    <row r="115" spans="1:11" s="739" customFormat="1">
      <c r="B115" s="740" t="s">
        <v>2321</v>
      </c>
      <c r="D115" s="1394" t="s">
        <v>2322</v>
      </c>
      <c r="E115" s="1394"/>
    </row>
    <row r="116" spans="1:11" s="739" customFormat="1">
      <c r="A116" s="734"/>
      <c r="B116" s="734"/>
      <c r="C116" s="734"/>
      <c r="D116" s="734" t="s">
        <v>391</v>
      </c>
      <c r="E116" s="734" t="s">
        <v>375</v>
      </c>
      <c r="F116" s="734" t="s">
        <v>376</v>
      </c>
      <c r="G116" s="734" t="s">
        <v>377</v>
      </c>
      <c r="H116" s="734" t="s">
        <v>378</v>
      </c>
      <c r="I116" s="734" t="s">
        <v>379</v>
      </c>
      <c r="J116" s="734" t="s">
        <v>380</v>
      </c>
      <c r="K116" s="734" t="s">
        <v>593</v>
      </c>
    </row>
    <row r="117" spans="1:11" s="739" customFormat="1" ht="38.25">
      <c r="D117" s="741"/>
      <c r="E117" s="742" t="s">
        <v>2561</v>
      </c>
      <c r="F117" s="743" t="s">
        <v>2318</v>
      </c>
      <c r="G117" s="524"/>
      <c r="H117" s="741"/>
      <c r="I117" s="742" t="s">
        <v>2562</v>
      </c>
      <c r="J117" s="742" t="s">
        <v>2319</v>
      </c>
      <c r="K117" s="742" t="s">
        <v>2320</v>
      </c>
    </row>
    <row r="118" spans="1:11" s="739" customFormat="1">
      <c r="D118" s="741"/>
      <c r="E118" s="741"/>
      <c r="F118" s="741"/>
      <c r="G118" s="635" t="str">
        <f>G51</f>
        <v>Unloaded</v>
      </c>
      <c r="H118" s="741"/>
      <c r="I118" s="741"/>
    </row>
    <row r="119" spans="1:11" s="739" customFormat="1">
      <c r="A119" s="736"/>
      <c r="B119" s="736"/>
      <c r="C119" s="736"/>
      <c r="D119" s="736" t="str">
        <f>D$52</f>
        <v>Forecast</v>
      </c>
      <c r="E119" s="736" t="str">
        <f t="shared" ref="E119:J119" si="18">E$52</f>
        <v>Corporate</v>
      </c>
      <c r="F119" s="736" t="str">
        <f t="shared" si="18"/>
        <v xml:space="preserve">Total </v>
      </c>
      <c r="G119" s="635" t="str">
        <f>G52</f>
        <v>Total</v>
      </c>
      <c r="H119" s="736" t="str">
        <f t="shared" si="18"/>
        <v>Prior Period</v>
      </c>
      <c r="I119" s="736" t="str">
        <f t="shared" si="18"/>
        <v>Over Heads</v>
      </c>
      <c r="J119" s="736" t="str">
        <f t="shared" si="18"/>
        <v>Forecast</v>
      </c>
      <c r="K119" s="635" t="str">
        <f>K$52</f>
        <v>Forecast Period</v>
      </c>
    </row>
    <row r="120" spans="1:11" s="739" customFormat="1">
      <c r="A120" s="998" t="s">
        <v>360</v>
      </c>
      <c r="B120" s="698" t="s">
        <v>211</v>
      </c>
      <c r="C120" s="698" t="s">
        <v>212</v>
      </c>
      <c r="D120" s="734" t="str">
        <f>D$53</f>
        <v>Expenditures</v>
      </c>
      <c r="E120" s="734" t="str">
        <f t="shared" ref="E120:J120" si="19">E$53</f>
        <v>Overheads</v>
      </c>
      <c r="F120" s="734" t="str">
        <f t="shared" si="19"/>
        <v>CWIP Exp</v>
      </c>
      <c r="G120" s="3" t="str">
        <f>G53</f>
        <v>Plant Adds</v>
      </c>
      <c r="H120" s="734" t="str">
        <f t="shared" si="19"/>
        <v>CWIP Closed</v>
      </c>
      <c r="I120" s="734" t="str">
        <f t="shared" si="19"/>
        <v>Closed to PIS</v>
      </c>
      <c r="J120" s="734" t="str">
        <f t="shared" si="19"/>
        <v>Period CWIP</v>
      </c>
      <c r="K120" s="734" t="str">
        <f>K$53</f>
        <v>Incremental CWIP</v>
      </c>
    </row>
    <row r="121" spans="1:11" s="739" customFormat="1">
      <c r="A121" s="120">
        <f>A113+1</f>
        <v>81</v>
      </c>
      <c r="B121" s="699" t="s">
        <v>199</v>
      </c>
      <c r="C121" s="700">
        <v>2017</v>
      </c>
      <c r="D121" s="743" t="s">
        <v>86</v>
      </c>
      <c r="E121" s="743" t="s">
        <v>86</v>
      </c>
      <c r="F121" s="743" t="s">
        <v>86</v>
      </c>
      <c r="G121" s="743" t="s">
        <v>86</v>
      </c>
      <c r="H121" s="743" t="s">
        <v>86</v>
      </c>
      <c r="I121" s="743" t="s">
        <v>86</v>
      </c>
      <c r="J121" s="65">
        <f>F25</f>
        <v>0</v>
      </c>
      <c r="K121" s="743" t="s">
        <v>86</v>
      </c>
    </row>
    <row r="122" spans="1:11" s="739" customFormat="1">
      <c r="A122" s="120">
        <f>A121+1</f>
        <v>82</v>
      </c>
      <c r="B122" s="699" t="s">
        <v>200</v>
      </c>
      <c r="C122" s="700">
        <v>2018</v>
      </c>
      <c r="D122" s="1185">
        <v>0</v>
      </c>
      <c r="E122" s="65">
        <f>D122*'16-PlantAdditions'!$E$103</f>
        <v>0</v>
      </c>
      <c r="F122" s="65">
        <f>E122+D122</f>
        <v>0</v>
      </c>
      <c r="G122" s="1185">
        <v>0</v>
      </c>
      <c r="H122" s="1185">
        <v>0</v>
      </c>
      <c r="I122" s="65">
        <f>(G122-H122)*'16-PlantAdditions'!$E$103</f>
        <v>0</v>
      </c>
      <c r="J122" s="65">
        <f>J121+F122-G122-I122</f>
        <v>0</v>
      </c>
      <c r="K122" s="530">
        <f>J122-$J$121</f>
        <v>0</v>
      </c>
    </row>
    <row r="123" spans="1:11" s="739" customFormat="1">
      <c r="A123" s="120">
        <f t="shared" ref="A123:A146" si="20">A122+1</f>
        <v>83</v>
      </c>
      <c r="B123" s="702" t="s">
        <v>201</v>
      </c>
      <c r="C123" s="700">
        <v>2018</v>
      </c>
      <c r="D123" s="1185">
        <v>0</v>
      </c>
      <c r="E123" s="65">
        <f>D123*'16-PlantAdditions'!$E$103</f>
        <v>0</v>
      </c>
      <c r="F123" s="65">
        <f t="shared" ref="F123:F145" si="21">E123+D123</f>
        <v>0</v>
      </c>
      <c r="G123" s="1185">
        <v>0</v>
      </c>
      <c r="H123" s="1185">
        <v>0</v>
      </c>
      <c r="I123" s="65">
        <f>(G123-H123)*'16-PlantAdditions'!$E$103</f>
        <v>0</v>
      </c>
      <c r="J123" s="65">
        <f t="shared" ref="J123:J145" si="22">J122+F123-G123-I123</f>
        <v>0</v>
      </c>
      <c r="K123" s="530">
        <f t="shared" ref="K123:K145" si="23">J123-$J$121</f>
        <v>0</v>
      </c>
    </row>
    <row r="124" spans="1:11" s="739" customFormat="1">
      <c r="A124" s="120">
        <f t="shared" si="20"/>
        <v>84</v>
      </c>
      <c r="B124" s="702" t="s">
        <v>214</v>
      </c>
      <c r="C124" s="700">
        <v>2018</v>
      </c>
      <c r="D124" s="1185">
        <v>0</v>
      </c>
      <c r="E124" s="65">
        <f>D124*'16-PlantAdditions'!$E$103</f>
        <v>0</v>
      </c>
      <c r="F124" s="65">
        <f t="shared" si="21"/>
        <v>0</v>
      </c>
      <c r="G124" s="1185">
        <v>0</v>
      </c>
      <c r="H124" s="1185">
        <v>0</v>
      </c>
      <c r="I124" s="65">
        <f>(G124-H124)*'16-PlantAdditions'!$E$103</f>
        <v>0</v>
      </c>
      <c r="J124" s="65">
        <f t="shared" si="22"/>
        <v>0</v>
      </c>
      <c r="K124" s="530">
        <f t="shared" si="23"/>
        <v>0</v>
      </c>
    </row>
    <row r="125" spans="1:11" s="739" customFormat="1">
      <c r="A125" s="120">
        <f t="shared" si="20"/>
        <v>85</v>
      </c>
      <c r="B125" s="699" t="s">
        <v>202</v>
      </c>
      <c r="C125" s="700">
        <v>2018</v>
      </c>
      <c r="D125" s="1185">
        <v>0</v>
      </c>
      <c r="E125" s="65">
        <f>D125*'16-PlantAdditions'!$E$103</f>
        <v>0</v>
      </c>
      <c r="F125" s="65">
        <f t="shared" si="21"/>
        <v>0</v>
      </c>
      <c r="G125" s="1185">
        <v>0</v>
      </c>
      <c r="H125" s="1185">
        <v>0</v>
      </c>
      <c r="I125" s="65">
        <f>(G125-H125)*'16-PlantAdditions'!$E$103</f>
        <v>0</v>
      </c>
      <c r="J125" s="65">
        <f t="shared" si="22"/>
        <v>0</v>
      </c>
      <c r="K125" s="530">
        <f t="shared" si="23"/>
        <v>0</v>
      </c>
    </row>
    <row r="126" spans="1:11" s="739" customFormat="1">
      <c r="A126" s="120">
        <f t="shared" si="20"/>
        <v>86</v>
      </c>
      <c r="B126" s="702" t="s">
        <v>203</v>
      </c>
      <c r="C126" s="700">
        <v>2018</v>
      </c>
      <c r="D126" s="1185">
        <v>0</v>
      </c>
      <c r="E126" s="65">
        <f>D126*'16-PlantAdditions'!$E$103</f>
        <v>0</v>
      </c>
      <c r="F126" s="65">
        <f t="shared" si="21"/>
        <v>0</v>
      </c>
      <c r="G126" s="1185">
        <v>0</v>
      </c>
      <c r="H126" s="1185">
        <v>0</v>
      </c>
      <c r="I126" s="65">
        <f>(G126-H126)*'16-PlantAdditions'!$E$103</f>
        <v>0</v>
      </c>
      <c r="J126" s="65">
        <f t="shared" si="22"/>
        <v>0</v>
      </c>
      <c r="K126" s="530">
        <f t="shared" si="23"/>
        <v>0</v>
      </c>
    </row>
    <row r="127" spans="1:11" s="739" customFormat="1">
      <c r="A127" s="120">
        <f t="shared" si="20"/>
        <v>87</v>
      </c>
      <c r="B127" s="702" t="s">
        <v>1650</v>
      </c>
      <c r="C127" s="700">
        <v>2018</v>
      </c>
      <c r="D127" s="1185">
        <v>0</v>
      </c>
      <c r="E127" s="65">
        <f>D127*'16-PlantAdditions'!$E$103</f>
        <v>0</v>
      </c>
      <c r="F127" s="65">
        <f t="shared" si="21"/>
        <v>0</v>
      </c>
      <c r="G127" s="1185">
        <v>0</v>
      </c>
      <c r="H127" s="1185">
        <v>0</v>
      </c>
      <c r="I127" s="65">
        <f>(G127-H127)*'16-PlantAdditions'!$E$103</f>
        <v>0</v>
      </c>
      <c r="J127" s="65">
        <f t="shared" si="22"/>
        <v>0</v>
      </c>
      <c r="K127" s="530">
        <f t="shared" si="23"/>
        <v>0</v>
      </c>
    </row>
    <row r="128" spans="1:11" s="739" customFormat="1">
      <c r="A128" s="120">
        <f t="shared" si="20"/>
        <v>88</v>
      </c>
      <c r="B128" s="699" t="s">
        <v>205</v>
      </c>
      <c r="C128" s="700">
        <v>2018</v>
      </c>
      <c r="D128" s="1185">
        <v>0</v>
      </c>
      <c r="E128" s="65">
        <f>D128*'16-PlantAdditions'!$E$103</f>
        <v>0</v>
      </c>
      <c r="F128" s="65">
        <f t="shared" si="21"/>
        <v>0</v>
      </c>
      <c r="G128" s="1185">
        <v>0</v>
      </c>
      <c r="H128" s="1185">
        <v>0</v>
      </c>
      <c r="I128" s="65">
        <f>(G128-H128)*'16-PlantAdditions'!$E$103</f>
        <v>0</v>
      </c>
      <c r="J128" s="65">
        <f t="shared" si="22"/>
        <v>0</v>
      </c>
      <c r="K128" s="530">
        <f t="shared" si="23"/>
        <v>0</v>
      </c>
    </row>
    <row r="129" spans="1:11" s="739" customFormat="1">
      <c r="A129" s="120">
        <f t="shared" si="20"/>
        <v>89</v>
      </c>
      <c r="B129" s="702" t="s">
        <v>206</v>
      </c>
      <c r="C129" s="700">
        <v>2018</v>
      </c>
      <c r="D129" s="1185">
        <v>0</v>
      </c>
      <c r="E129" s="65">
        <f>D129*'16-PlantAdditions'!$E$103</f>
        <v>0</v>
      </c>
      <c r="F129" s="65">
        <f t="shared" si="21"/>
        <v>0</v>
      </c>
      <c r="G129" s="1185">
        <v>0</v>
      </c>
      <c r="H129" s="1185">
        <v>0</v>
      </c>
      <c r="I129" s="65">
        <f>(G129-H129)*'16-PlantAdditions'!$E$103</f>
        <v>0</v>
      </c>
      <c r="J129" s="65">
        <f t="shared" si="22"/>
        <v>0</v>
      </c>
      <c r="K129" s="530">
        <f t="shared" si="23"/>
        <v>0</v>
      </c>
    </row>
    <row r="130" spans="1:11" s="739" customFormat="1">
      <c r="A130" s="120">
        <f t="shared" si="20"/>
        <v>90</v>
      </c>
      <c r="B130" s="702" t="s">
        <v>207</v>
      </c>
      <c r="C130" s="700">
        <v>2018</v>
      </c>
      <c r="D130" s="1185">
        <v>0</v>
      </c>
      <c r="E130" s="65">
        <f>D130*'16-PlantAdditions'!$E$103</f>
        <v>0</v>
      </c>
      <c r="F130" s="65">
        <f t="shared" si="21"/>
        <v>0</v>
      </c>
      <c r="G130" s="1185">
        <v>0</v>
      </c>
      <c r="H130" s="1185">
        <v>0</v>
      </c>
      <c r="I130" s="65">
        <f>(G130-H130)*'16-PlantAdditions'!$E$103</f>
        <v>0</v>
      </c>
      <c r="J130" s="65">
        <f t="shared" si="22"/>
        <v>0</v>
      </c>
      <c r="K130" s="530">
        <f t="shared" si="23"/>
        <v>0</v>
      </c>
    </row>
    <row r="131" spans="1:11" s="739" customFormat="1">
      <c r="A131" s="120">
        <f t="shared" si="20"/>
        <v>91</v>
      </c>
      <c r="B131" s="699" t="s">
        <v>210</v>
      </c>
      <c r="C131" s="700">
        <v>2018</v>
      </c>
      <c r="D131" s="1185">
        <v>0</v>
      </c>
      <c r="E131" s="65">
        <f>D131*'16-PlantAdditions'!$E$103</f>
        <v>0</v>
      </c>
      <c r="F131" s="65">
        <f t="shared" si="21"/>
        <v>0</v>
      </c>
      <c r="G131" s="1185">
        <v>0</v>
      </c>
      <c r="H131" s="1185">
        <v>0</v>
      </c>
      <c r="I131" s="65">
        <f>(G131-H131)*'16-PlantAdditions'!$E$103</f>
        <v>0</v>
      </c>
      <c r="J131" s="65">
        <f t="shared" si="22"/>
        <v>0</v>
      </c>
      <c r="K131" s="530">
        <f t="shared" si="23"/>
        <v>0</v>
      </c>
    </row>
    <row r="132" spans="1:11" s="739" customFormat="1">
      <c r="A132" s="120">
        <f t="shared" si="20"/>
        <v>92</v>
      </c>
      <c r="B132" s="699" t="s">
        <v>209</v>
      </c>
      <c r="C132" s="700">
        <v>2018</v>
      </c>
      <c r="D132" s="1185">
        <v>0</v>
      </c>
      <c r="E132" s="65">
        <f>D132*'16-PlantAdditions'!$E$103</f>
        <v>0</v>
      </c>
      <c r="F132" s="65">
        <f t="shared" si="21"/>
        <v>0</v>
      </c>
      <c r="G132" s="1185">
        <v>0</v>
      </c>
      <c r="H132" s="1185">
        <v>0</v>
      </c>
      <c r="I132" s="65">
        <f>(G132-H132)*'16-PlantAdditions'!$E$103</f>
        <v>0</v>
      </c>
      <c r="J132" s="65">
        <f t="shared" si="22"/>
        <v>0</v>
      </c>
      <c r="K132" s="530">
        <f t="shared" si="23"/>
        <v>0</v>
      </c>
    </row>
    <row r="133" spans="1:11" s="739" customFormat="1">
      <c r="A133" s="120">
        <f t="shared" si="20"/>
        <v>93</v>
      </c>
      <c r="B133" s="699" t="s">
        <v>199</v>
      </c>
      <c r="C133" s="700">
        <v>2018</v>
      </c>
      <c r="D133" s="1185">
        <v>0</v>
      </c>
      <c r="E133" s="65">
        <f>D133*'16-PlantAdditions'!$E$103</f>
        <v>0</v>
      </c>
      <c r="F133" s="65">
        <f t="shared" si="21"/>
        <v>0</v>
      </c>
      <c r="G133" s="1185">
        <v>0</v>
      </c>
      <c r="H133" s="1185">
        <v>0</v>
      </c>
      <c r="I133" s="65">
        <f>(G133-H133)*'16-PlantAdditions'!$E$103</f>
        <v>0</v>
      </c>
      <c r="J133" s="65">
        <f t="shared" si="22"/>
        <v>0</v>
      </c>
      <c r="K133" s="530">
        <f t="shared" si="23"/>
        <v>0</v>
      </c>
    </row>
    <row r="134" spans="1:11" s="739" customFormat="1">
      <c r="A134" s="120">
        <f t="shared" si="20"/>
        <v>94</v>
      </c>
      <c r="B134" s="699" t="s">
        <v>200</v>
      </c>
      <c r="C134" s="700">
        <v>2019</v>
      </c>
      <c r="D134" s="1185">
        <v>0</v>
      </c>
      <c r="E134" s="65">
        <f>D134*'16-PlantAdditions'!$E$103</f>
        <v>0</v>
      </c>
      <c r="F134" s="65">
        <f t="shared" si="21"/>
        <v>0</v>
      </c>
      <c r="G134" s="1185">
        <v>0</v>
      </c>
      <c r="H134" s="1185">
        <v>0</v>
      </c>
      <c r="I134" s="65">
        <f>(G134-H134)*'16-PlantAdditions'!$E$103</f>
        <v>0</v>
      </c>
      <c r="J134" s="65">
        <f t="shared" si="22"/>
        <v>0</v>
      </c>
      <c r="K134" s="530">
        <f t="shared" si="23"/>
        <v>0</v>
      </c>
    </row>
    <row r="135" spans="1:11" s="739" customFormat="1">
      <c r="A135" s="120">
        <f t="shared" si="20"/>
        <v>95</v>
      </c>
      <c r="B135" s="702" t="s">
        <v>201</v>
      </c>
      <c r="C135" s="700">
        <v>2019</v>
      </c>
      <c r="D135" s="1185">
        <v>0</v>
      </c>
      <c r="E135" s="65">
        <f>D135*'16-PlantAdditions'!$E$103</f>
        <v>0</v>
      </c>
      <c r="F135" s="65">
        <f t="shared" si="21"/>
        <v>0</v>
      </c>
      <c r="G135" s="1185">
        <v>0</v>
      </c>
      <c r="H135" s="1185">
        <v>0</v>
      </c>
      <c r="I135" s="65">
        <f>(G135-H135)*'16-PlantAdditions'!$E$103</f>
        <v>0</v>
      </c>
      <c r="J135" s="65">
        <f t="shared" si="22"/>
        <v>0</v>
      </c>
      <c r="K135" s="530">
        <f t="shared" si="23"/>
        <v>0</v>
      </c>
    </row>
    <row r="136" spans="1:11" s="739" customFormat="1">
      <c r="A136" s="120">
        <f t="shared" si="20"/>
        <v>96</v>
      </c>
      <c r="B136" s="702" t="s">
        <v>214</v>
      </c>
      <c r="C136" s="700">
        <v>2019</v>
      </c>
      <c r="D136" s="1185">
        <v>0</v>
      </c>
      <c r="E136" s="65">
        <f>D136*'16-PlantAdditions'!$E$103</f>
        <v>0</v>
      </c>
      <c r="F136" s="65">
        <f t="shared" si="21"/>
        <v>0</v>
      </c>
      <c r="G136" s="1185">
        <v>0</v>
      </c>
      <c r="H136" s="1185">
        <v>0</v>
      </c>
      <c r="I136" s="65">
        <f>(G136-H136)*'16-PlantAdditions'!$E$103</f>
        <v>0</v>
      </c>
      <c r="J136" s="65">
        <f t="shared" si="22"/>
        <v>0</v>
      </c>
      <c r="K136" s="530">
        <f t="shared" si="23"/>
        <v>0</v>
      </c>
    </row>
    <row r="137" spans="1:11" s="739" customFormat="1">
      <c r="A137" s="120">
        <f t="shared" si="20"/>
        <v>97</v>
      </c>
      <c r="B137" s="699" t="s">
        <v>202</v>
      </c>
      <c r="C137" s="700">
        <v>2019</v>
      </c>
      <c r="D137" s="1185">
        <v>0</v>
      </c>
      <c r="E137" s="65">
        <f>D137*'16-PlantAdditions'!$E$103</f>
        <v>0</v>
      </c>
      <c r="F137" s="65">
        <f t="shared" si="21"/>
        <v>0</v>
      </c>
      <c r="G137" s="1185">
        <v>0</v>
      </c>
      <c r="H137" s="1185">
        <v>0</v>
      </c>
      <c r="I137" s="65">
        <f>(G137-H137)*'16-PlantAdditions'!$E$103</f>
        <v>0</v>
      </c>
      <c r="J137" s="65">
        <f t="shared" si="22"/>
        <v>0</v>
      </c>
      <c r="K137" s="530">
        <f t="shared" si="23"/>
        <v>0</v>
      </c>
    </row>
    <row r="138" spans="1:11" s="739" customFormat="1">
      <c r="A138" s="120">
        <f t="shared" si="20"/>
        <v>98</v>
      </c>
      <c r="B138" s="702" t="s">
        <v>203</v>
      </c>
      <c r="C138" s="700">
        <v>2019</v>
      </c>
      <c r="D138" s="1185">
        <v>0</v>
      </c>
      <c r="E138" s="65">
        <f>D138*'16-PlantAdditions'!$E$103</f>
        <v>0</v>
      </c>
      <c r="F138" s="65">
        <f t="shared" si="21"/>
        <v>0</v>
      </c>
      <c r="G138" s="1185">
        <v>0</v>
      </c>
      <c r="H138" s="1185">
        <v>0</v>
      </c>
      <c r="I138" s="65">
        <f>(G138-H138)*'16-PlantAdditions'!$E$103</f>
        <v>0</v>
      </c>
      <c r="J138" s="65">
        <f t="shared" si="22"/>
        <v>0</v>
      </c>
      <c r="K138" s="530">
        <f t="shared" si="23"/>
        <v>0</v>
      </c>
    </row>
    <row r="139" spans="1:11" s="739" customFormat="1">
      <c r="A139" s="120">
        <f t="shared" si="20"/>
        <v>99</v>
      </c>
      <c r="B139" s="702" t="s">
        <v>1650</v>
      </c>
      <c r="C139" s="700">
        <v>2019</v>
      </c>
      <c r="D139" s="1185">
        <v>0</v>
      </c>
      <c r="E139" s="65">
        <f>D139*'16-PlantAdditions'!$E$103</f>
        <v>0</v>
      </c>
      <c r="F139" s="65">
        <f t="shared" si="21"/>
        <v>0</v>
      </c>
      <c r="G139" s="1185">
        <v>0</v>
      </c>
      <c r="H139" s="1185">
        <v>0</v>
      </c>
      <c r="I139" s="65">
        <f>(G139-H139)*'16-PlantAdditions'!$E$103</f>
        <v>0</v>
      </c>
      <c r="J139" s="65">
        <f t="shared" si="22"/>
        <v>0</v>
      </c>
      <c r="K139" s="530">
        <f t="shared" si="23"/>
        <v>0</v>
      </c>
    </row>
    <row r="140" spans="1:11" s="739" customFormat="1">
      <c r="A140" s="120">
        <f t="shared" si="20"/>
        <v>100</v>
      </c>
      <c r="B140" s="699" t="s">
        <v>205</v>
      </c>
      <c r="C140" s="700">
        <v>2019</v>
      </c>
      <c r="D140" s="1185">
        <v>0</v>
      </c>
      <c r="E140" s="65">
        <f>D140*'16-PlantAdditions'!$E$103</f>
        <v>0</v>
      </c>
      <c r="F140" s="65">
        <f t="shared" si="21"/>
        <v>0</v>
      </c>
      <c r="G140" s="1185">
        <v>0</v>
      </c>
      <c r="H140" s="1185">
        <v>0</v>
      </c>
      <c r="I140" s="65">
        <f>(G140-H140)*'16-PlantAdditions'!$E$103</f>
        <v>0</v>
      </c>
      <c r="J140" s="65">
        <f t="shared" si="22"/>
        <v>0</v>
      </c>
      <c r="K140" s="530">
        <f t="shared" si="23"/>
        <v>0</v>
      </c>
    </row>
    <row r="141" spans="1:11" s="739" customFormat="1">
      <c r="A141" s="120">
        <f t="shared" si="20"/>
        <v>101</v>
      </c>
      <c r="B141" s="702" t="s">
        <v>206</v>
      </c>
      <c r="C141" s="700">
        <v>2019</v>
      </c>
      <c r="D141" s="1185">
        <v>0</v>
      </c>
      <c r="E141" s="65">
        <f>D141*'16-PlantAdditions'!$E$103</f>
        <v>0</v>
      </c>
      <c r="F141" s="65">
        <f t="shared" si="21"/>
        <v>0</v>
      </c>
      <c r="G141" s="1185">
        <v>0</v>
      </c>
      <c r="H141" s="1185">
        <v>0</v>
      </c>
      <c r="I141" s="65">
        <f>(G141-H141)*'16-PlantAdditions'!$E$103</f>
        <v>0</v>
      </c>
      <c r="J141" s="65">
        <f t="shared" si="22"/>
        <v>0</v>
      </c>
      <c r="K141" s="530">
        <f t="shared" si="23"/>
        <v>0</v>
      </c>
    </row>
    <row r="142" spans="1:11" s="739" customFormat="1">
      <c r="A142" s="120">
        <f t="shared" si="20"/>
        <v>102</v>
      </c>
      <c r="B142" s="702" t="s">
        <v>207</v>
      </c>
      <c r="C142" s="700">
        <v>2019</v>
      </c>
      <c r="D142" s="1185">
        <v>0</v>
      </c>
      <c r="E142" s="65">
        <f>D142*'16-PlantAdditions'!$E$103</f>
        <v>0</v>
      </c>
      <c r="F142" s="65">
        <f t="shared" si="21"/>
        <v>0</v>
      </c>
      <c r="G142" s="1185">
        <v>0</v>
      </c>
      <c r="H142" s="1185">
        <v>0</v>
      </c>
      <c r="I142" s="65">
        <f>(G142-H142)*'16-PlantAdditions'!$E$103</f>
        <v>0</v>
      </c>
      <c r="J142" s="65">
        <f t="shared" si="22"/>
        <v>0</v>
      </c>
      <c r="K142" s="530">
        <f t="shared" si="23"/>
        <v>0</v>
      </c>
    </row>
    <row r="143" spans="1:11" s="739" customFormat="1">
      <c r="A143" s="120">
        <f t="shared" si="20"/>
        <v>103</v>
      </c>
      <c r="B143" s="702" t="s">
        <v>210</v>
      </c>
      <c r="C143" s="700">
        <v>2019</v>
      </c>
      <c r="D143" s="1185">
        <v>0</v>
      </c>
      <c r="E143" s="65">
        <f>D143*'16-PlantAdditions'!$E$103</f>
        <v>0</v>
      </c>
      <c r="F143" s="65">
        <f t="shared" si="21"/>
        <v>0</v>
      </c>
      <c r="G143" s="1185">
        <v>0</v>
      </c>
      <c r="H143" s="1185">
        <v>0</v>
      </c>
      <c r="I143" s="65">
        <f>(G143-H143)*'16-PlantAdditions'!$E$103</f>
        <v>0</v>
      </c>
      <c r="J143" s="65">
        <f t="shared" si="22"/>
        <v>0</v>
      </c>
      <c r="K143" s="530">
        <f t="shared" si="23"/>
        <v>0</v>
      </c>
    </row>
    <row r="144" spans="1:11" s="739" customFormat="1">
      <c r="A144" s="120">
        <f t="shared" si="20"/>
        <v>104</v>
      </c>
      <c r="B144" s="702" t="s">
        <v>209</v>
      </c>
      <c r="C144" s="700">
        <v>2019</v>
      </c>
      <c r="D144" s="1185">
        <v>0</v>
      </c>
      <c r="E144" s="65">
        <f>D144*'16-PlantAdditions'!$E$103</f>
        <v>0</v>
      </c>
      <c r="F144" s="65">
        <f t="shared" si="21"/>
        <v>0</v>
      </c>
      <c r="G144" s="1185">
        <v>0</v>
      </c>
      <c r="H144" s="1185">
        <v>0</v>
      </c>
      <c r="I144" s="65">
        <f>(G144-H144)*'16-PlantAdditions'!$E$103</f>
        <v>0</v>
      </c>
      <c r="J144" s="65">
        <f t="shared" si="22"/>
        <v>0</v>
      </c>
      <c r="K144" s="530">
        <f t="shared" si="23"/>
        <v>0</v>
      </c>
    </row>
    <row r="145" spans="1:11" s="739" customFormat="1">
      <c r="A145" s="120">
        <f t="shared" si="20"/>
        <v>105</v>
      </c>
      <c r="B145" s="702" t="s">
        <v>199</v>
      </c>
      <c r="C145" s="700">
        <v>2019</v>
      </c>
      <c r="D145" s="1185">
        <v>0</v>
      </c>
      <c r="E145" s="65">
        <f>D145*'16-PlantAdditions'!$E$103</f>
        <v>0</v>
      </c>
      <c r="F145" s="65">
        <f t="shared" si="21"/>
        <v>0</v>
      </c>
      <c r="G145" s="1185">
        <v>0</v>
      </c>
      <c r="H145" s="1185">
        <v>0</v>
      </c>
      <c r="I145" s="65">
        <f>(G145-H145)*'16-PlantAdditions'!$E$103</f>
        <v>0</v>
      </c>
      <c r="J145" s="65">
        <f t="shared" si="22"/>
        <v>0</v>
      </c>
      <c r="K145" s="121">
        <f t="shared" si="23"/>
        <v>0</v>
      </c>
    </row>
    <row r="146" spans="1:11" s="739" customFormat="1">
      <c r="A146" s="120">
        <f t="shared" si="20"/>
        <v>106</v>
      </c>
      <c r="B146"/>
      <c r="C146" s="738" t="s">
        <v>1821</v>
      </c>
      <c r="D146"/>
      <c r="E146"/>
      <c r="F146"/>
      <c r="G146"/>
      <c r="H146"/>
      <c r="I146"/>
      <c r="J146"/>
      <c r="K146" s="80">
        <f>AVERAGE(K133:K145)</f>
        <v>0</v>
      </c>
    </row>
    <row r="147" spans="1:11" s="739" customFormat="1">
      <c r="A147" s="120"/>
      <c r="B147"/>
      <c r="C147" s="738"/>
      <c r="D147"/>
      <c r="E147"/>
      <c r="F147"/>
      <c r="G147"/>
      <c r="H147"/>
      <c r="I147"/>
      <c r="J147"/>
      <c r="K147" s="80"/>
    </row>
    <row r="148" spans="1:11" s="739" customFormat="1">
      <c r="B148" s="740" t="s">
        <v>2323</v>
      </c>
      <c r="D148" s="1394" t="s">
        <v>2332</v>
      </c>
      <c r="E148" s="1394"/>
    </row>
    <row r="149" spans="1:11" s="739" customFormat="1">
      <c r="D149" s="741"/>
      <c r="E149" s="741"/>
      <c r="F149" s="741"/>
      <c r="G149" s="635" t="str">
        <f>G51</f>
        <v>Unloaded</v>
      </c>
      <c r="H149" s="741"/>
      <c r="I149" s="741"/>
    </row>
    <row r="150" spans="1:11" s="739" customFormat="1">
      <c r="A150" s="736"/>
      <c r="B150" s="736"/>
      <c r="C150" s="736"/>
      <c r="D150" s="736" t="str">
        <f>D$52</f>
        <v>Forecast</v>
      </c>
      <c r="E150" s="736" t="str">
        <f t="shared" ref="E150:J150" si="24">E$52</f>
        <v>Corporate</v>
      </c>
      <c r="F150" s="736" t="str">
        <f t="shared" si="24"/>
        <v xml:space="preserve">Total </v>
      </c>
      <c r="G150" s="635" t="str">
        <f>G52</f>
        <v>Total</v>
      </c>
      <c r="H150" s="736" t="str">
        <f t="shared" si="24"/>
        <v>Prior Period</v>
      </c>
      <c r="I150" s="736" t="str">
        <f t="shared" si="24"/>
        <v>Over Heads</v>
      </c>
      <c r="J150" s="736" t="str">
        <f t="shared" si="24"/>
        <v>Forecast</v>
      </c>
      <c r="K150" s="635" t="str">
        <f>K$52</f>
        <v>Forecast Period</v>
      </c>
    </row>
    <row r="151" spans="1:11" s="739" customFormat="1">
      <c r="A151" s="998" t="s">
        <v>360</v>
      </c>
      <c r="B151" s="698" t="s">
        <v>211</v>
      </c>
      <c r="C151" s="698" t="s">
        <v>212</v>
      </c>
      <c r="D151" s="734" t="str">
        <f>D$53</f>
        <v>Expenditures</v>
      </c>
      <c r="E151" s="734" t="str">
        <f t="shared" ref="E151:J151" si="25">E$53</f>
        <v>Overheads</v>
      </c>
      <c r="F151" s="734" t="str">
        <f t="shared" si="25"/>
        <v>CWIP Exp</v>
      </c>
      <c r="G151" s="3" t="str">
        <f>G53</f>
        <v>Plant Adds</v>
      </c>
      <c r="H151" s="734" t="str">
        <f t="shared" si="25"/>
        <v>CWIP Closed</v>
      </c>
      <c r="I151" s="734" t="str">
        <f t="shared" si="25"/>
        <v>Closed to PIS</v>
      </c>
      <c r="J151" s="734" t="str">
        <f t="shared" si="25"/>
        <v>Period CWIP</v>
      </c>
      <c r="K151" s="734" t="str">
        <f>K$53</f>
        <v>Incremental CWIP</v>
      </c>
    </row>
    <row r="152" spans="1:11" s="739" customFormat="1">
      <c r="A152" s="120">
        <f>A146+1</f>
        <v>107</v>
      </c>
      <c r="B152" s="699" t="s">
        <v>199</v>
      </c>
      <c r="C152" s="700">
        <v>2017</v>
      </c>
      <c r="D152" s="743" t="s">
        <v>86</v>
      </c>
      <c r="E152" s="743" t="s">
        <v>86</v>
      </c>
      <c r="F152" s="743" t="s">
        <v>86</v>
      </c>
      <c r="G152" s="743" t="s">
        <v>86</v>
      </c>
      <c r="H152" s="743" t="s">
        <v>86</v>
      </c>
      <c r="I152" s="743" t="s">
        <v>86</v>
      </c>
      <c r="J152" s="65">
        <f>G25</f>
        <v>4884727.96</v>
      </c>
      <c r="K152" s="743" t="s">
        <v>86</v>
      </c>
    </row>
    <row r="153" spans="1:11" s="739" customFormat="1">
      <c r="A153" s="120">
        <f>A152+1</f>
        <v>108</v>
      </c>
      <c r="B153" s="699" t="s">
        <v>200</v>
      </c>
      <c r="C153" s="700">
        <v>2018</v>
      </c>
      <c r="D153" s="1185">
        <v>11515</v>
      </c>
      <c r="E153" s="65">
        <f>D153*'16-PlantAdditions'!$E$103</f>
        <v>863.625</v>
      </c>
      <c r="F153" s="65">
        <f>E153+D153</f>
        <v>12378.625</v>
      </c>
      <c r="G153" s="1185">
        <v>0</v>
      </c>
      <c r="H153" s="1185">
        <v>0</v>
      </c>
      <c r="I153" s="65">
        <f>(G153-H153)*'16-PlantAdditions'!$E$103</f>
        <v>0</v>
      </c>
      <c r="J153" s="65">
        <f>J152+F153-G153-I153</f>
        <v>4897106.585</v>
      </c>
      <c r="K153" s="65">
        <f>J153-$J$152</f>
        <v>12378.625</v>
      </c>
    </row>
    <row r="154" spans="1:11" s="739" customFormat="1">
      <c r="A154" s="120">
        <f t="shared" ref="A154:A177" si="26">A153+1</f>
        <v>109</v>
      </c>
      <c r="B154" s="702" t="s">
        <v>201</v>
      </c>
      <c r="C154" s="700">
        <v>2018</v>
      </c>
      <c r="D154" s="1185">
        <v>11776</v>
      </c>
      <c r="E154" s="65">
        <f>D154*'16-PlantAdditions'!$E$103</f>
        <v>883.19999999999993</v>
      </c>
      <c r="F154" s="65">
        <f t="shared" ref="F154:F176" si="27">E154+D154</f>
        <v>12659.2</v>
      </c>
      <c r="G154" s="1185">
        <v>0</v>
      </c>
      <c r="H154" s="1185">
        <v>0</v>
      </c>
      <c r="I154" s="65">
        <f>(G154-H154)*'16-PlantAdditions'!$E$103</f>
        <v>0</v>
      </c>
      <c r="J154" s="65">
        <f t="shared" ref="J154:J173" si="28">J153+F154-G154-I154</f>
        <v>4909765.7850000001</v>
      </c>
      <c r="K154" s="65">
        <f t="shared" ref="K154:K176" si="29">J154-$J$152</f>
        <v>25037.825000000186</v>
      </c>
    </row>
    <row r="155" spans="1:11" s="739" customFormat="1">
      <c r="A155" s="120">
        <f t="shared" si="26"/>
        <v>110</v>
      </c>
      <c r="B155" s="702" t="s">
        <v>214</v>
      </c>
      <c r="C155" s="700">
        <v>2018</v>
      </c>
      <c r="D155" s="1185">
        <v>11286</v>
      </c>
      <c r="E155" s="65">
        <f>D155*'16-PlantAdditions'!$E$103</f>
        <v>846.44999999999993</v>
      </c>
      <c r="F155" s="65">
        <f t="shared" si="27"/>
        <v>12132.45</v>
      </c>
      <c r="G155" s="1185">
        <v>0</v>
      </c>
      <c r="H155" s="1185">
        <v>0</v>
      </c>
      <c r="I155" s="65">
        <f>(G155-H155)*'16-PlantAdditions'!$E$103</f>
        <v>0</v>
      </c>
      <c r="J155" s="65">
        <f t="shared" si="28"/>
        <v>4921898.2350000003</v>
      </c>
      <c r="K155" s="65">
        <f t="shared" si="29"/>
        <v>37170.275000000373</v>
      </c>
    </row>
    <row r="156" spans="1:11" s="739" customFormat="1">
      <c r="A156" s="120">
        <f t="shared" si="26"/>
        <v>111</v>
      </c>
      <c r="B156" s="699" t="s">
        <v>202</v>
      </c>
      <c r="C156" s="700">
        <v>2018</v>
      </c>
      <c r="D156" s="1185">
        <v>18380</v>
      </c>
      <c r="E156" s="65">
        <f>D156*'16-PlantAdditions'!$E$103</f>
        <v>1378.5</v>
      </c>
      <c r="F156" s="65">
        <f t="shared" si="27"/>
        <v>19758.5</v>
      </c>
      <c r="G156" s="1185">
        <v>0</v>
      </c>
      <c r="H156" s="1185">
        <v>0</v>
      </c>
      <c r="I156" s="65">
        <f>(G156-H156)*'16-PlantAdditions'!$E$103</f>
        <v>0</v>
      </c>
      <c r="J156" s="65">
        <f t="shared" si="28"/>
        <v>4941656.7350000003</v>
      </c>
      <c r="K156" s="65">
        <f t="shared" si="29"/>
        <v>56928.775000000373</v>
      </c>
    </row>
    <row r="157" spans="1:11" s="739" customFormat="1">
      <c r="A157" s="120">
        <f t="shared" si="26"/>
        <v>112</v>
      </c>
      <c r="B157" s="702" t="s">
        <v>203</v>
      </c>
      <c r="C157" s="700">
        <v>2018</v>
      </c>
      <c r="D157" s="1185">
        <v>18380</v>
      </c>
      <c r="E157" s="65">
        <f>D157*'16-PlantAdditions'!$E$103</f>
        <v>1378.5</v>
      </c>
      <c r="F157" s="65">
        <f t="shared" si="27"/>
        <v>19758.5</v>
      </c>
      <c r="G157" s="1185">
        <v>0</v>
      </c>
      <c r="H157" s="1185">
        <v>0</v>
      </c>
      <c r="I157" s="65">
        <f>(G157-H157)*'16-PlantAdditions'!$E$103</f>
        <v>0</v>
      </c>
      <c r="J157" s="65">
        <f t="shared" si="28"/>
        <v>4961415.2350000003</v>
      </c>
      <c r="K157" s="65">
        <f t="shared" si="29"/>
        <v>76687.275000000373</v>
      </c>
    </row>
    <row r="158" spans="1:11" s="739" customFormat="1">
      <c r="A158" s="120">
        <f t="shared" si="26"/>
        <v>113</v>
      </c>
      <c r="B158" s="702" t="s">
        <v>1650</v>
      </c>
      <c r="C158" s="700">
        <v>2018</v>
      </c>
      <c r="D158" s="1185">
        <v>18380</v>
      </c>
      <c r="E158" s="65">
        <f>D158*'16-PlantAdditions'!$E$103</f>
        <v>1378.5</v>
      </c>
      <c r="F158" s="65">
        <f t="shared" si="27"/>
        <v>19758.5</v>
      </c>
      <c r="G158" s="1185">
        <v>0</v>
      </c>
      <c r="H158" s="1185">
        <v>0</v>
      </c>
      <c r="I158" s="65">
        <f>(G158-H158)*'16-PlantAdditions'!$E$103</f>
        <v>0</v>
      </c>
      <c r="J158" s="65">
        <f t="shared" si="28"/>
        <v>4981173.7350000003</v>
      </c>
      <c r="K158" s="65">
        <f t="shared" si="29"/>
        <v>96445.775000000373</v>
      </c>
    </row>
    <row r="159" spans="1:11" s="739" customFormat="1">
      <c r="A159" s="120">
        <f t="shared" si="26"/>
        <v>114</v>
      </c>
      <c r="B159" s="699" t="s">
        <v>205</v>
      </c>
      <c r="C159" s="700">
        <v>2018</v>
      </c>
      <c r="D159" s="1185">
        <v>18380</v>
      </c>
      <c r="E159" s="65">
        <f>D159*'16-PlantAdditions'!$E$103</f>
        <v>1378.5</v>
      </c>
      <c r="F159" s="65">
        <f t="shared" si="27"/>
        <v>19758.5</v>
      </c>
      <c r="G159" s="1185">
        <v>0</v>
      </c>
      <c r="H159" s="1185">
        <v>0</v>
      </c>
      <c r="I159" s="65">
        <f>(G159-H159)*'16-PlantAdditions'!$E$103</f>
        <v>0</v>
      </c>
      <c r="J159" s="65">
        <f t="shared" si="28"/>
        <v>5000932.2350000003</v>
      </c>
      <c r="K159" s="65">
        <f t="shared" si="29"/>
        <v>116204.27500000037</v>
      </c>
    </row>
    <row r="160" spans="1:11" s="739" customFormat="1">
      <c r="A160" s="120">
        <f t="shared" si="26"/>
        <v>115</v>
      </c>
      <c r="B160" s="702" t="s">
        <v>206</v>
      </c>
      <c r="C160" s="700">
        <v>2018</v>
      </c>
      <c r="D160" s="1185">
        <v>18380</v>
      </c>
      <c r="E160" s="65">
        <f>D160*'16-PlantAdditions'!$E$103</f>
        <v>1378.5</v>
      </c>
      <c r="F160" s="65">
        <f t="shared" si="27"/>
        <v>19758.5</v>
      </c>
      <c r="G160" s="1185">
        <v>0</v>
      </c>
      <c r="H160" s="1185">
        <v>0</v>
      </c>
      <c r="I160" s="65">
        <f>(G160-H160)*'16-PlantAdditions'!$E$103</f>
        <v>0</v>
      </c>
      <c r="J160" s="65">
        <f t="shared" si="28"/>
        <v>5020690.7350000003</v>
      </c>
      <c r="K160" s="65">
        <f t="shared" si="29"/>
        <v>135962.77500000037</v>
      </c>
    </row>
    <row r="161" spans="1:11" s="739" customFormat="1">
      <c r="A161" s="120">
        <f t="shared" si="26"/>
        <v>116</v>
      </c>
      <c r="B161" s="702" t="s">
        <v>207</v>
      </c>
      <c r="C161" s="700">
        <v>2018</v>
      </c>
      <c r="D161" s="1185">
        <v>18380</v>
      </c>
      <c r="E161" s="65">
        <f>D161*'16-PlantAdditions'!$E$103</f>
        <v>1378.5</v>
      </c>
      <c r="F161" s="65">
        <f t="shared" si="27"/>
        <v>19758.5</v>
      </c>
      <c r="G161" s="1185">
        <v>0</v>
      </c>
      <c r="H161" s="1185">
        <v>0</v>
      </c>
      <c r="I161" s="65">
        <f>(G161-H161)*'16-PlantAdditions'!$E$103</f>
        <v>0</v>
      </c>
      <c r="J161" s="65">
        <f t="shared" si="28"/>
        <v>5040449.2350000003</v>
      </c>
      <c r="K161" s="65">
        <f t="shared" si="29"/>
        <v>155721.27500000037</v>
      </c>
    </row>
    <row r="162" spans="1:11" s="739" customFormat="1">
      <c r="A162" s="120">
        <f t="shared" si="26"/>
        <v>117</v>
      </c>
      <c r="B162" s="699" t="s">
        <v>210</v>
      </c>
      <c r="C162" s="700">
        <v>2018</v>
      </c>
      <c r="D162" s="1185">
        <v>18380</v>
      </c>
      <c r="E162" s="65">
        <f>D162*'16-PlantAdditions'!$E$103</f>
        <v>1378.5</v>
      </c>
      <c r="F162" s="65">
        <f t="shared" si="27"/>
        <v>19758.5</v>
      </c>
      <c r="G162" s="1185">
        <v>0</v>
      </c>
      <c r="H162" s="1185">
        <v>0</v>
      </c>
      <c r="I162" s="65">
        <f>(G162-H162)*'16-PlantAdditions'!$E$103</f>
        <v>0</v>
      </c>
      <c r="J162" s="65">
        <f t="shared" si="28"/>
        <v>5060207.7350000003</v>
      </c>
      <c r="K162" s="65">
        <f t="shared" si="29"/>
        <v>175479.77500000037</v>
      </c>
    </row>
    <row r="163" spans="1:11" s="739" customFormat="1">
      <c r="A163" s="120">
        <f t="shared" si="26"/>
        <v>118</v>
      </c>
      <c r="B163" s="699" t="s">
        <v>209</v>
      </c>
      <c r="C163" s="700">
        <v>2018</v>
      </c>
      <c r="D163" s="1185">
        <v>18380</v>
      </c>
      <c r="E163" s="65">
        <f>D163*'16-PlantAdditions'!$E$103</f>
        <v>1378.5</v>
      </c>
      <c r="F163" s="65">
        <f t="shared" si="27"/>
        <v>19758.5</v>
      </c>
      <c r="G163" s="1185">
        <v>0</v>
      </c>
      <c r="H163" s="1185">
        <v>0</v>
      </c>
      <c r="I163" s="65">
        <f>(G163-H163)*'16-PlantAdditions'!$E$103</f>
        <v>0</v>
      </c>
      <c r="J163" s="65">
        <f t="shared" si="28"/>
        <v>5079966.2350000003</v>
      </c>
      <c r="K163" s="65">
        <f t="shared" si="29"/>
        <v>195238.27500000037</v>
      </c>
    </row>
    <row r="164" spans="1:11" s="739" customFormat="1">
      <c r="A164" s="120">
        <f t="shared" si="26"/>
        <v>119</v>
      </c>
      <c r="B164" s="699" t="s">
        <v>199</v>
      </c>
      <c r="C164" s="700">
        <v>2018</v>
      </c>
      <c r="D164" s="1185">
        <v>18383</v>
      </c>
      <c r="E164" s="65">
        <f>D164*'16-PlantAdditions'!$E$103</f>
        <v>1378.7249999999999</v>
      </c>
      <c r="F164" s="65">
        <f t="shared" si="27"/>
        <v>19761.724999999999</v>
      </c>
      <c r="G164" s="1185">
        <v>0</v>
      </c>
      <c r="H164" s="1185">
        <v>0</v>
      </c>
      <c r="I164" s="65">
        <f>(G164-H164)*'16-PlantAdditions'!$E$103</f>
        <v>0</v>
      </c>
      <c r="J164" s="65">
        <f t="shared" si="28"/>
        <v>5099727.96</v>
      </c>
      <c r="K164" s="65">
        <f t="shared" si="29"/>
        <v>215000</v>
      </c>
    </row>
    <row r="165" spans="1:11" s="739" customFormat="1">
      <c r="A165" s="120">
        <f t="shared" si="26"/>
        <v>120</v>
      </c>
      <c r="B165" s="699" t="s">
        <v>200</v>
      </c>
      <c r="C165" s="700">
        <v>2019</v>
      </c>
      <c r="D165" s="1185">
        <v>25000</v>
      </c>
      <c r="E165" s="65">
        <f>D165*'16-PlantAdditions'!$E$103</f>
        <v>1875</v>
      </c>
      <c r="F165" s="65">
        <f t="shared" si="27"/>
        <v>26875</v>
      </c>
      <c r="G165" s="1185">
        <v>0</v>
      </c>
      <c r="H165" s="1185">
        <v>0</v>
      </c>
      <c r="I165" s="65">
        <f>(G165-H165)*'16-PlantAdditions'!$E$103</f>
        <v>0</v>
      </c>
      <c r="J165" s="65">
        <f t="shared" si="28"/>
        <v>5126602.96</v>
      </c>
      <c r="K165" s="65">
        <f t="shared" si="29"/>
        <v>241875</v>
      </c>
    </row>
    <row r="166" spans="1:11" s="739" customFormat="1">
      <c r="A166" s="120">
        <f t="shared" si="26"/>
        <v>121</v>
      </c>
      <c r="B166" s="702" t="s">
        <v>201</v>
      </c>
      <c r="C166" s="700">
        <v>2019</v>
      </c>
      <c r="D166" s="1185">
        <v>25000</v>
      </c>
      <c r="E166" s="65">
        <f>D166*'16-PlantAdditions'!$E$103</f>
        <v>1875</v>
      </c>
      <c r="F166" s="65">
        <f t="shared" si="27"/>
        <v>26875</v>
      </c>
      <c r="G166" s="1185">
        <v>0</v>
      </c>
      <c r="H166" s="1185">
        <v>0</v>
      </c>
      <c r="I166" s="65">
        <f>(G166-H166)*'16-PlantAdditions'!$E$103</f>
        <v>0</v>
      </c>
      <c r="J166" s="65">
        <f t="shared" si="28"/>
        <v>5153477.96</v>
      </c>
      <c r="K166" s="65">
        <f t="shared" si="29"/>
        <v>268750</v>
      </c>
    </row>
    <row r="167" spans="1:11" s="739" customFormat="1">
      <c r="A167" s="120">
        <f t="shared" si="26"/>
        <v>122</v>
      </c>
      <c r="B167" s="702" t="s">
        <v>214</v>
      </c>
      <c r="C167" s="700">
        <v>2019</v>
      </c>
      <c r="D167" s="1185">
        <v>25000</v>
      </c>
      <c r="E167" s="65">
        <f>D167*'16-PlantAdditions'!$E$103</f>
        <v>1875</v>
      </c>
      <c r="F167" s="65">
        <f t="shared" si="27"/>
        <v>26875</v>
      </c>
      <c r="G167" s="1185">
        <v>0</v>
      </c>
      <c r="H167" s="1185">
        <v>0</v>
      </c>
      <c r="I167" s="65">
        <f>(G167-H167)*'16-PlantAdditions'!$E$103</f>
        <v>0</v>
      </c>
      <c r="J167" s="65">
        <f t="shared" si="28"/>
        <v>5180352.96</v>
      </c>
      <c r="K167" s="65">
        <f t="shared" si="29"/>
        <v>295625</v>
      </c>
    </row>
    <row r="168" spans="1:11" s="739" customFormat="1">
      <c r="A168" s="120">
        <f t="shared" si="26"/>
        <v>123</v>
      </c>
      <c r="B168" s="699" t="s">
        <v>202</v>
      </c>
      <c r="C168" s="700">
        <v>2019</v>
      </c>
      <c r="D168" s="1185">
        <v>25000</v>
      </c>
      <c r="E168" s="65">
        <f>D168*'16-PlantAdditions'!$E$103</f>
        <v>1875</v>
      </c>
      <c r="F168" s="65">
        <f t="shared" si="27"/>
        <v>26875</v>
      </c>
      <c r="G168" s="1185">
        <v>0</v>
      </c>
      <c r="H168" s="1185">
        <v>0</v>
      </c>
      <c r="I168" s="65">
        <f>(G168-H168)*'16-PlantAdditions'!$E$103</f>
        <v>0</v>
      </c>
      <c r="J168" s="65">
        <f t="shared" si="28"/>
        <v>5207227.96</v>
      </c>
      <c r="K168" s="65">
        <f t="shared" si="29"/>
        <v>322500</v>
      </c>
    </row>
    <row r="169" spans="1:11" s="739" customFormat="1">
      <c r="A169" s="120">
        <f t="shared" si="26"/>
        <v>124</v>
      </c>
      <c r="B169" s="702" t="s">
        <v>203</v>
      </c>
      <c r="C169" s="700">
        <v>2019</v>
      </c>
      <c r="D169" s="1185">
        <v>25000</v>
      </c>
      <c r="E169" s="65">
        <f>D169*'16-PlantAdditions'!$E$103</f>
        <v>1875</v>
      </c>
      <c r="F169" s="65">
        <f t="shared" si="27"/>
        <v>26875</v>
      </c>
      <c r="G169" s="1185">
        <v>0</v>
      </c>
      <c r="H169" s="1185">
        <v>0</v>
      </c>
      <c r="I169" s="65">
        <f>(G169-H169)*'16-PlantAdditions'!$E$103</f>
        <v>0</v>
      </c>
      <c r="J169" s="65">
        <f t="shared" si="28"/>
        <v>5234102.96</v>
      </c>
      <c r="K169" s="65">
        <f t="shared" si="29"/>
        <v>349375</v>
      </c>
    </row>
    <row r="170" spans="1:11" s="739" customFormat="1">
      <c r="A170" s="120">
        <f t="shared" si="26"/>
        <v>125</v>
      </c>
      <c r="B170" s="702" t="s">
        <v>1650</v>
      </c>
      <c r="C170" s="700">
        <v>2019</v>
      </c>
      <c r="D170" s="1185">
        <v>25000</v>
      </c>
      <c r="E170" s="65">
        <f>D170*'16-PlantAdditions'!$E$103</f>
        <v>1875</v>
      </c>
      <c r="F170" s="65">
        <f t="shared" si="27"/>
        <v>26875</v>
      </c>
      <c r="G170" s="1185">
        <v>0</v>
      </c>
      <c r="H170" s="1185">
        <v>0</v>
      </c>
      <c r="I170" s="65">
        <f>(G170-H170)*'16-PlantAdditions'!$E$103</f>
        <v>0</v>
      </c>
      <c r="J170" s="65">
        <f t="shared" si="28"/>
        <v>5260977.96</v>
      </c>
      <c r="K170" s="65">
        <f t="shared" si="29"/>
        <v>376250</v>
      </c>
    </row>
    <row r="171" spans="1:11" s="739" customFormat="1">
      <c r="A171" s="120">
        <f t="shared" si="26"/>
        <v>126</v>
      </c>
      <c r="B171" s="699" t="s">
        <v>205</v>
      </c>
      <c r="C171" s="700">
        <v>2019</v>
      </c>
      <c r="D171" s="1185">
        <v>25000</v>
      </c>
      <c r="E171" s="65">
        <f>D171*'16-PlantAdditions'!$E$103</f>
        <v>1875</v>
      </c>
      <c r="F171" s="65">
        <f t="shared" si="27"/>
        <v>26875</v>
      </c>
      <c r="G171" s="1185">
        <v>0</v>
      </c>
      <c r="H171" s="1185">
        <v>0</v>
      </c>
      <c r="I171" s="65">
        <f>(G171-H171)*'16-PlantAdditions'!$E$103</f>
        <v>0</v>
      </c>
      <c r="J171" s="65">
        <f t="shared" si="28"/>
        <v>5287852.96</v>
      </c>
      <c r="K171" s="65">
        <f t="shared" si="29"/>
        <v>403125</v>
      </c>
    </row>
    <row r="172" spans="1:11" s="739" customFormat="1">
      <c r="A172" s="120">
        <f t="shared" si="26"/>
        <v>127</v>
      </c>
      <c r="B172" s="702" t="s">
        <v>206</v>
      </c>
      <c r="C172" s="700">
        <v>2019</v>
      </c>
      <c r="D172" s="1185">
        <v>125000</v>
      </c>
      <c r="E172" s="65">
        <f>D172*'16-PlantAdditions'!$E$103</f>
        <v>9375</v>
      </c>
      <c r="F172" s="65">
        <f t="shared" si="27"/>
        <v>134375</v>
      </c>
      <c r="G172" s="1185">
        <v>0</v>
      </c>
      <c r="H172" s="1185">
        <v>0</v>
      </c>
      <c r="I172" s="65">
        <f>(G172-H172)*'16-PlantAdditions'!$E$103</f>
        <v>0</v>
      </c>
      <c r="J172" s="65">
        <f t="shared" si="28"/>
        <v>5422227.96</v>
      </c>
      <c r="K172" s="65">
        <f t="shared" si="29"/>
        <v>537500</v>
      </c>
    </row>
    <row r="173" spans="1:11" s="739" customFormat="1">
      <c r="A173" s="120">
        <f t="shared" si="26"/>
        <v>128</v>
      </c>
      <c r="B173" s="702" t="s">
        <v>207</v>
      </c>
      <c r="C173" s="700">
        <v>2019</v>
      </c>
      <c r="D173" s="1185">
        <v>250000</v>
      </c>
      <c r="E173" s="65">
        <f>D173*'16-PlantAdditions'!$E$103</f>
        <v>18750</v>
      </c>
      <c r="F173" s="65">
        <f t="shared" si="27"/>
        <v>268750</v>
      </c>
      <c r="G173" s="1185">
        <v>0</v>
      </c>
      <c r="H173" s="1185">
        <v>0</v>
      </c>
      <c r="I173" s="65">
        <f>(G173-H173)*'16-PlantAdditions'!$E$103</f>
        <v>0</v>
      </c>
      <c r="J173" s="65">
        <f t="shared" si="28"/>
        <v>5690977.96</v>
      </c>
      <c r="K173" s="65">
        <f t="shared" si="29"/>
        <v>806250</v>
      </c>
    </row>
    <row r="174" spans="1:11" s="739" customFormat="1">
      <c r="A174" s="120">
        <f t="shared" si="26"/>
        <v>129</v>
      </c>
      <c r="B174" s="702" t="s">
        <v>210</v>
      </c>
      <c r="C174" s="700">
        <v>2019</v>
      </c>
      <c r="D174" s="1185">
        <v>250000</v>
      </c>
      <c r="E174" s="65">
        <f>D174*'16-PlantAdditions'!$E$103</f>
        <v>18750</v>
      </c>
      <c r="F174" s="65">
        <f t="shared" si="27"/>
        <v>268750</v>
      </c>
      <c r="G174" s="1185">
        <v>0</v>
      </c>
      <c r="H174" s="1185">
        <v>0</v>
      </c>
      <c r="I174" s="65">
        <f>(G174-H174)*'16-PlantAdditions'!$E$103</f>
        <v>0</v>
      </c>
      <c r="J174" s="65">
        <f t="shared" ref="J174:J176" si="30">J173+F174-G174-I174</f>
        <v>5959727.96</v>
      </c>
      <c r="K174" s="65">
        <f t="shared" si="29"/>
        <v>1075000</v>
      </c>
    </row>
    <row r="175" spans="1:11" s="739" customFormat="1">
      <c r="A175" s="120">
        <f t="shared" si="26"/>
        <v>130</v>
      </c>
      <c r="B175" s="702" t="s">
        <v>209</v>
      </c>
      <c r="C175" s="700">
        <v>2019</v>
      </c>
      <c r="D175" s="1185">
        <v>250000</v>
      </c>
      <c r="E175" s="65">
        <f>D175*'16-PlantAdditions'!$E$103</f>
        <v>18750</v>
      </c>
      <c r="F175" s="65">
        <f t="shared" si="27"/>
        <v>268750</v>
      </c>
      <c r="G175" s="1185">
        <v>0</v>
      </c>
      <c r="H175" s="1185">
        <v>0</v>
      </c>
      <c r="I175" s="65">
        <f>(G175-H175)*'16-PlantAdditions'!$E$103</f>
        <v>0</v>
      </c>
      <c r="J175" s="65">
        <f t="shared" si="30"/>
        <v>6228477.96</v>
      </c>
      <c r="K175" s="65">
        <f t="shared" si="29"/>
        <v>1343750</v>
      </c>
    </row>
    <row r="176" spans="1:11" s="739" customFormat="1">
      <c r="A176" s="120">
        <f t="shared" si="26"/>
        <v>131</v>
      </c>
      <c r="B176" s="702" t="s">
        <v>199</v>
      </c>
      <c r="C176" s="700">
        <v>2019</v>
      </c>
      <c r="D176" s="1185">
        <v>545000</v>
      </c>
      <c r="E176" s="65">
        <f>D176*'16-PlantAdditions'!$E$103</f>
        <v>40875</v>
      </c>
      <c r="F176" s="65">
        <f t="shared" si="27"/>
        <v>585875</v>
      </c>
      <c r="G176" s="1185">
        <v>0</v>
      </c>
      <c r="H176" s="1185">
        <v>0</v>
      </c>
      <c r="I176" s="65">
        <f>(G176-H176)*'16-PlantAdditions'!$E$103</f>
        <v>0</v>
      </c>
      <c r="J176" s="65">
        <f t="shared" si="30"/>
        <v>6814352.96</v>
      </c>
      <c r="K176" s="121">
        <f t="shared" si="29"/>
        <v>1929625</v>
      </c>
    </row>
    <row r="177" spans="1:11" s="739" customFormat="1">
      <c r="A177" s="120">
        <f t="shared" si="26"/>
        <v>132</v>
      </c>
      <c r="B177"/>
      <c r="C177" s="738" t="s">
        <v>1821</v>
      </c>
      <c r="D177"/>
      <c r="E177"/>
      <c r="F177"/>
      <c r="G177"/>
      <c r="H177"/>
      <c r="I177"/>
      <c r="J177"/>
      <c r="K177" s="80">
        <f>AVERAGE(K164:K176)</f>
        <v>628048.07692307688</v>
      </c>
    </row>
    <row r="178" spans="1:11" s="739" customFormat="1">
      <c r="A178" s="120"/>
      <c r="B178"/>
      <c r="C178" s="738"/>
      <c r="D178"/>
      <c r="E178"/>
      <c r="F178"/>
      <c r="G178"/>
      <c r="H178"/>
      <c r="I178"/>
      <c r="J178"/>
      <c r="K178" s="80"/>
    </row>
    <row r="179" spans="1:11" s="739" customFormat="1">
      <c r="B179" s="740" t="s">
        <v>2324</v>
      </c>
      <c r="D179" s="1394" t="s">
        <v>2334</v>
      </c>
      <c r="E179" s="1394"/>
    </row>
    <row r="180" spans="1:11" s="739" customFormat="1">
      <c r="A180" s="734"/>
      <c r="B180" s="734"/>
      <c r="C180" s="734"/>
      <c r="D180" s="734" t="s">
        <v>391</v>
      </c>
      <c r="E180" s="734" t="s">
        <v>375</v>
      </c>
      <c r="F180" s="734" t="s">
        <v>376</v>
      </c>
      <c r="G180" s="734" t="s">
        <v>377</v>
      </c>
      <c r="H180" s="734" t="s">
        <v>378</v>
      </c>
      <c r="I180" s="734" t="s">
        <v>379</v>
      </c>
      <c r="J180" s="734" t="s">
        <v>380</v>
      </c>
      <c r="K180" s="734" t="s">
        <v>593</v>
      </c>
    </row>
    <row r="181" spans="1:11" s="739" customFormat="1" ht="38.25">
      <c r="D181" s="741"/>
      <c r="E181" s="742" t="s">
        <v>2561</v>
      </c>
      <c r="F181" s="743" t="s">
        <v>2318</v>
      </c>
      <c r="G181" s="524"/>
      <c r="H181" s="741"/>
      <c r="I181" s="742" t="s">
        <v>2562</v>
      </c>
      <c r="J181" s="742" t="s">
        <v>2319</v>
      </c>
      <c r="K181" s="742" t="s">
        <v>2320</v>
      </c>
    </row>
    <row r="182" spans="1:11" s="739" customFormat="1">
      <c r="D182" s="741"/>
      <c r="E182" s="742"/>
      <c r="F182" s="743"/>
      <c r="G182" s="4" t="str">
        <f>G51</f>
        <v>Unloaded</v>
      </c>
      <c r="H182" s="741"/>
      <c r="I182" s="742"/>
      <c r="J182" s="742"/>
      <c r="K182" s="742"/>
    </row>
    <row r="183" spans="1:11" s="739" customFormat="1">
      <c r="A183" s="736"/>
      <c r="B183" s="736"/>
      <c r="C183" s="736"/>
      <c r="D183" s="736" t="str">
        <f>D$52</f>
        <v>Forecast</v>
      </c>
      <c r="E183" s="736" t="str">
        <f t="shared" ref="E183:J183" si="31">E$52</f>
        <v>Corporate</v>
      </c>
      <c r="F183" s="736" t="str">
        <f t="shared" si="31"/>
        <v xml:space="preserve">Total </v>
      </c>
      <c r="G183" s="4" t="str">
        <f>G52</f>
        <v>Total</v>
      </c>
      <c r="H183" s="736" t="str">
        <f t="shared" si="31"/>
        <v>Prior Period</v>
      </c>
      <c r="I183" s="736" t="str">
        <f t="shared" si="31"/>
        <v>Over Heads</v>
      </c>
      <c r="J183" s="736" t="str">
        <f t="shared" si="31"/>
        <v>Forecast</v>
      </c>
      <c r="K183" s="635" t="str">
        <f>K$52</f>
        <v>Forecast Period</v>
      </c>
    </row>
    <row r="184" spans="1:11" s="739" customFormat="1">
      <c r="A184" s="998" t="s">
        <v>360</v>
      </c>
      <c r="B184" s="698" t="s">
        <v>211</v>
      </c>
      <c r="C184" s="698" t="s">
        <v>212</v>
      </c>
      <c r="D184" s="734" t="str">
        <f>D$53</f>
        <v>Expenditures</v>
      </c>
      <c r="E184" s="734" t="str">
        <f t="shared" ref="E184:J184" si="32">E$53</f>
        <v>Overheads</v>
      </c>
      <c r="F184" s="734" t="str">
        <f t="shared" si="32"/>
        <v>CWIP Exp</v>
      </c>
      <c r="G184" s="91" t="str">
        <f>G53</f>
        <v>Plant Adds</v>
      </c>
      <c r="H184" s="734" t="str">
        <f t="shared" si="32"/>
        <v>CWIP Closed</v>
      </c>
      <c r="I184" s="734" t="str">
        <f t="shared" si="32"/>
        <v>Closed to PIS</v>
      </c>
      <c r="J184" s="734" t="str">
        <f t="shared" si="32"/>
        <v>Period CWIP</v>
      </c>
      <c r="K184" s="734" t="str">
        <f>K$53</f>
        <v>Incremental CWIP</v>
      </c>
    </row>
    <row r="185" spans="1:11" s="739" customFormat="1">
      <c r="A185" s="120">
        <f>A177+1</f>
        <v>133</v>
      </c>
      <c r="B185" s="699" t="s">
        <v>199</v>
      </c>
      <c r="C185" s="700">
        <v>2017</v>
      </c>
      <c r="D185" s="743" t="s">
        <v>86</v>
      </c>
      <c r="E185" s="743" t="s">
        <v>86</v>
      </c>
      <c r="F185" s="743" t="s">
        <v>86</v>
      </c>
      <c r="G185" s="743" t="s">
        <v>86</v>
      </c>
      <c r="H185" s="743" t="s">
        <v>86</v>
      </c>
      <c r="I185" s="743" t="s">
        <v>86</v>
      </c>
      <c r="J185" s="65">
        <f>H25</f>
        <v>98805811.510000005</v>
      </c>
      <c r="K185" s="743" t="s">
        <v>86</v>
      </c>
    </row>
    <row r="186" spans="1:11" s="739" customFormat="1">
      <c r="A186" s="120">
        <f>A185+1</f>
        <v>134</v>
      </c>
      <c r="B186" s="699" t="s">
        <v>200</v>
      </c>
      <c r="C186" s="700">
        <v>2018</v>
      </c>
      <c r="D186" s="1185">
        <v>588166.99999999988</v>
      </c>
      <c r="E186" s="65">
        <f>D186*'16-PlantAdditions'!$E$103</f>
        <v>44112.524999999987</v>
      </c>
      <c r="F186" s="65">
        <f>E186+D186</f>
        <v>632279.52499999991</v>
      </c>
      <c r="G186" s="1185">
        <v>0</v>
      </c>
      <c r="H186" s="1185">
        <v>0</v>
      </c>
      <c r="I186" s="65">
        <f>(G186-H186)*'16-PlantAdditions'!$E$103</f>
        <v>0</v>
      </c>
      <c r="J186" s="65">
        <f>J185+F186-G186-I186</f>
        <v>99438091.035000011</v>
      </c>
      <c r="K186" s="65">
        <f>J186-$J$185</f>
        <v>632279.52500000596</v>
      </c>
    </row>
    <row r="187" spans="1:11" s="739" customFormat="1">
      <c r="A187" s="120">
        <f t="shared" ref="A187:A210" si="33">A186+1</f>
        <v>135</v>
      </c>
      <c r="B187" s="702" t="s">
        <v>201</v>
      </c>
      <c r="C187" s="700">
        <v>2018</v>
      </c>
      <c r="D187" s="1185">
        <v>2503299.9999999995</v>
      </c>
      <c r="E187" s="65">
        <f>D187*'16-PlantAdditions'!$E$103</f>
        <v>187747.49999999997</v>
      </c>
      <c r="F187" s="65">
        <f t="shared" ref="F187:F206" si="34">E187+D187</f>
        <v>2691047.4999999995</v>
      </c>
      <c r="G187" s="1185">
        <v>0</v>
      </c>
      <c r="H187" s="1185">
        <v>0</v>
      </c>
      <c r="I187" s="65">
        <f>(G187-H187)*'16-PlantAdditions'!$E$103</f>
        <v>0</v>
      </c>
      <c r="J187" s="65">
        <f t="shared" ref="J187:J206" si="35">J186+F187-G187-I187</f>
        <v>102129138.53500001</v>
      </c>
      <c r="K187" s="65">
        <f t="shared" ref="K187:K209" si="36">J187-$J$185</f>
        <v>3323327.025000006</v>
      </c>
    </row>
    <row r="188" spans="1:11" s="739" customFormat="1">
      <c r="A188" s="120">
        <f t="shared" si="33"/>
        <v>136</v>
      </c>
      <c r="B188" s="702" t="s">
        <v>214</v>
      </c>
      <c r="C188" s="700">
        <v>2018</v>
      </c>
      <c r="D188" s="1185">
        <v>4798387</v>
      </c>
      <c r="E188" s="65">
        <f>D188*'16-PlantAdditions'!$E$103</f>
        <v>359879.02499999997</v>
      </c>
      <c r="F188" s="65">
        <f t="shared" si="34"/>
        <v>5158266.0250000004</v>
      </c>
      <c r="G188" s="1185">
        <v>0</v>
      </c>
      <c r="H188" s="1185">
        <v>0</v>
      </c>
      <c r="I188" s="65">
        <f>(G188-H188)*'16-PlantAdditions'!$E$103</f>
        <v>0</v>
      </c>
      <c r="J188" s="65">
        <f t="shared" si="35"/>
        <v>107287404.56000002</v>
      </c>
      <c r="K188" s="65">
        <f t="shared" si="36"/>
        <v>8481593.0500000119</v>
      </c>
    </row>
    <row r="189" spans="1:11" s="739" customFormat="1">
      <c r="A189" s="120">
        <f t="shared" si="33"/>
        <v>137</v>
      </c>
      <c r="B189" s="699" t="s">
        <v>202</v>
      </c>
      <c r="C189" s="700">
        <v>2018</v>
      </c>
      <c r="D189" s="1185">
        <v>5648177</v>
      </c>
      <c r="E189" s="65">
        <f>D189*'16-PlantAdditions'!$E$103</f>
        <v>423613.27499999997</v>
      </c>
      <c r="F189" s="65">
        <f t="shared" si="34"/>
        <v>6071790.2750000004</v>
      </c>
      <c r="G189" s="1185">
        <v>0</v>
      </c>
      <c r="H189" s="1185">
        <v>0</v>
      </c>
      <c r="I189" s="65">
        <f>(G189-H189)*'16-PlantAdditions'!$E$103</f>
        <v>0</v>
      </c>
      <c r="J189" s="65">
        <f t="shared" si="35"/>
        <v>113359194.83500002</v>
      </c>
      <c r="K189" s="65">
        <f t="shared" si="36"/>
        <v>14553383.325000018</v>
      </c>
    </row>
    <row r="190" spans="1:11" s="739" customFormat="1">
      <c r="A190" s="120">
        <f t="shared" si="33"/>
        <v>138</v>
      </c>
      <c r="B190" s="702" t="s">
        <v>203</v>
      </c>
      <c r="C190" s="700">
        <v>2018</v>
      </c>
      <c r="D190" s="1185">
        <v>5573177</v>
      </c>
      <c r="E190" s="65">
        <f>D190*'16-PlantAdditions'!$E$103</f>
        <v>417988.27499999997</v>
      </c>
      <c r="F190" s="65">
        <f t="shared" si="34"/>
        <v>5991165.2750000004</v>
      </c>
      <c r="G190" s="1185">
        <v>0</v>
      </c>
      <c r="H190" s="1185">
        <v>0</v>
      </c>
      <c r="I190" s="65">
        <f>(G190-H190)*'16-PlantAdditions'!$E$103</f>
        <v>0</v>
      </c>
      <c r="J190" s="65">
        <f t="shared" si="35"/>
        <v>119350360.11000003</v>
      </c>
      <c r="K190" s="65">
        <f t="shared" si="36"/>
        <v>20544548.600000024</v>
      </c>
    </row>
    <row r="191" spans="1:11" s="739" customFormat="1">
      <c r="A191" s="120">
        <f t="shared" si="33"/>
        <v>139</v>
      </c>
      <c r="B191" s="702" t="s">
        <v>1650</v>
      </c>
      <c r="C191" s="700">
        <v>2018</v>
      </c>
      <c r="D191" s="1185">
        <v>6499929</v>
      </c>
      <c r="E191" s="65">
        <f>D191*'16-PlantAdditions'!$E$103</f>
        <v>487494.67499999999</v>
      </c>
      <c r="F191" s="65">
        <f t="shared" si="34"/>
        <v>6987423.6749999998</v>
      </c>
      <c r="G191" s="1185">
        <v>2458050.5399999996</v>
      </c>
      <c r="H191" s="1185">
        <v>2207008.54</v>
      </c>
      <c r="I191" s="65">
        <f>(G191-H191)*'16-PlantAdditions'!$E$103</f>
        <v>18828.149999999965</v>
      </c>
      <c r="J191" s="65">
        <f t="shared" si="35"/>
        <v>123860905.09500001</v>
      </c>
      <c r="K191" s="65">
        <f t="shared" si="36"/>
        <v>25055093.585000008</v>
      </c>
    </row>
    <row r="192" spans="1:11" s="739" customFormat="1">
      <c r="A192" s="120">
        <f t="shared" si="33"/>
        <v>140</v>
      </c>
      <c r="B192" s="699" t="s">
        <v>205</v>
      </c>
      <c r="C192" s="700">
        <v>2018</v>
      </c>
      <c r="D192" s="1185">
        <v>5781065</v>
      </c>
      <c r="E192" s="65">
        <f>D192*'16-PlantAdditions'!$E$103</f>
        <v>433579.875</v>
      </c>
      <c r="F192" s="65">
        <f t="shared" si="34"/>
        <v>6214644.875</v>
      </c>
      <c r="G192" s="1185">
        <v>45000</v>
      </c>
      <c r="H192" s="1185">
        <v>0</v>
      </c>
      <c r="I192" s="65">
        <f>(G192-H192)*'16-PlantAdditions'!$E$103</f>
        <v>3375</v>
      </c>
      <c r="J192" s="65">
        <f t="shared" si="35"/>
        <v>130027174.97000001</v>
      </c>
      <c r="K192" s="65">
        <f t="shared" si="36"/>
        <v>31221363.460000008</v>
      </c>
    </row>
    <row r="193" spans="1:11" s="739" customFormat="1">
      <c r="A193" s="120">
        <f t="shared" si="33"/>
        <v>141</v>
      </c>
      <c r="B193" s="702" t="s">
        <v>206</v>
      </c>
      <c r="C193" s="700">
        <v>2018</v>
      </c>
      <c r="D193" s="1185">
        <v>7660609</v>
      </c>
      <c r="E193" s="65">
        <f>D193*'16-PlantAdditions'!$E$103</f>
        <v>574545.67499999993</v>
      </c>
      <c r="F193" s="65">
        <f t="shared" si="34"/>
        <v>8235154.6749999998</v>
      </c>
      <c r="G193" s="1185">
        <v>45000</v>
      </c>
      <c r="H193" s="1185">
        <v>0</v>
      </c>
      <c r="I193" s="65">
        <f>(G193-H193)*'16-PlantAdditions'!$E$103</f>
        <v>3375</v>
      </c>
      <c r="J193" s="65">
        <f t="shared" si="35"/>
        <v>138213954.64500001</v>
      </c>
      <c r="K193" s="65">
        <f t="shared" si="36"/>
        <v>39408143.135000005</v>
      </c>
    </row>
    <row r="194" spans="1:11" s="739" customFormat="1">
      <c r="A194" s="120">
        <f t="shared" si="33"/>
        <v>142</v>
      </c>
      <c r="B194" s="702" t="s">
        <v>207</v>
      </c>
      <c r="C194" s="700">
        <v>2018</v>
      </c>
      <c r="D194" s="1185">
        <v>7537297</v>
      </c>
      <c r="E194" s="65">
        <f>D194*'16-PlantAdditions'!$E$103</f>
        <v>565297.27500000002</v>
      </c>
      <c r="F194" s="65">
        <f t="shared" si="34"/>
        <v>8102594.2750000004</v>
      </c>
      <c r="G194" s="1185">
        <v>45000</v>
      </c>
      <c r="H194" s="1185">
        <v>0</v>
      </c>
      <c r="I194" s="65">
        <f>(G194-H194)*'16-PlantAdditions'!$E$103</f>
        <v>3375</v>
      </c>
      <c r="J194" s="65">
        <f t="shared" si="35"/>
        <v>146268173.92000002</v>
      </c>
      <c r="K194" s="65">
        <f t="shared" si="36"/>
        <v>47462362.410000011</v>
      </c>
    </row>
    <row r="195" spans="1:11" s="739" customFormat="1">
      <c r="A195" s="120">
        <f t="shared" si="33"/>
        <v>143</v>
      </c>
      <c r="B195" s="699" t="s">
        <v>210</v>
      </c>
      <c r="C195" s="700">
        <v>2018</v>
      </c>
      <c r="D195" s="1185">
        <v>18313481</v>
      </c>
      <c r="E195" s="65">
        <f>D195*'16-PlantAdditions'!$E$103</f>
        <v>1373511.075</v>
      </c>
      <c r="F195" s="65">
        <f t="shared" si="34"/>
        <v>19686992.074999999</v>
      </c>
      <c r="G195" s="1185">
        <v>75673</v>
      </c>
      <c r="H195" s="1185">
        <v>0</v>
      </c>
      <c r="I195" s="65">
        <f>(G195-H195)*'16-PlantAdditions'!$E$103</f>
        <v>5675.4749999999995</v>
      </c>
      <c r="J195" s="65">
        <f t="shared" si="35"/>
        <v>165873817.52000001</v>
      </c>
      <c r="K195" s="65">
        <f t="shared" si="36"/>
        <v>67068006.010000005</v>
      </c>
    </row>
    <row r="196" spans="1:11" s="739" customFormat="1">
      <c r="A196" s="120">
        <f t="shared" si="33"/>
        <v>144</v>
      </c>
      <c r="B196" s="699" t="s">
        <v>209</v>
      </c>
      <c r="C196" s="700">
        <v>2018</v>
      </c>
      <c r="D196" s="1185">
        <v>19079066</v>
      </c>
      <c r="E196" s="65">
        <f>D196*'16-PlantAdditions'!$E$103</f>
        <v>1430929.95</v>
      </c>
      <c r="F196" s="65">
        <f t="shared" si="34"/>
        <v>20509995.949999999</v>
      </c>
      <c r="G196" s="1185">
        <v>45000</v>
      </c>
      <c r="H196" s="1185">
        <v>0</v>
      </c>
      <c r="I196" s="65">
        <f>(G196-H196)*'16-PlantAdditions'!$E$103</f>
        <v>3375</v>
      </c>
      <c r="J196" s="65">
        <f t="shared" si="35"/>
        <v>186335438.47</v>
      </c>
      <c r="K196" s="65">
        <f t="shared" si="36"/>
        <v>87529626.959999993</v>
      </c>
    </row>
    <row r="197" spans="1:11" s="739" customFormat="1">
      <c r="A197" s="120">
        <f t="shared" si="33"/>
        <v>145</v>
      </c>
      <c r="B197" s="699" t="s">
        <v>199</v>
      </c>
      <c r="C197" s="700">
        <v>2018</v>
      </c>
      <c r="D197" s="1185">
        <v>20045129.999999996</v>
      </c>
      <c r="E197" s="65">
        <f>D197*'16-PlantAdditions'!$E$103</f>
        <v>1503384.7499999998</v>
      </c>
      <c r="F197" s="65">
        <f t="shared" si="34"/>
        <v>21548514.749999996</v>
      </c>
      <c r="G197" s="1185">
        <v>18456121.27</v>
      </c>
      <c r="H197" s="1185">
        <v>8497680.2700000014</v>
      </c>
      <c r="I197" s="65">
        <f>(G197-H197)*'16-PlantAdditions'!$E$103</f>
        <v>746883.07499999984</v>
      </c>
      <c r="J197" s="65">
        <f t="shared" si="35"/>
        <v>188680948.875</v>
      </c>
      <c r="K197" s="65">
        <f t="shared" si="36"/>
        <v>89875137.364999995</v>
      </c>
    </row>
    <row r="198" spans="1:11" s="739" customFormat="1">
      <c r="A198" s="120">
        <f t="shared" si="33"/>
        <v>146</v>
      </c>
      <c r="B198" s="699" t="s">
        <v>200</v>
      </c>
      <c r="C198" s="700">
        <v>2019</v>
      </c>
      <c r="D198" s="1185">
        <v>4609602</v>
      </c>
      <c r="E198" s="65">
        <f>D198*'16-PlantAdditions'!$E$103</f>
        <v>345720.14999999997</v>
      </c>
      <c r="F198" s="65">
        <f t="shared" si="34"/>
        <v>4955322.1500000004</v>
      </c>
      <c r="G198" s="1185">
        <v>185000</v>
      </c>
      <c r="H198" s="1185">
        <v>0</v>
      </c>
      <c r="I198" s="65">
        <f>(G198-H198)*'16-PlantAdditions'!$E$103</f>
        <v>13875</v>
      </c>
      <c r="J198" s="65">
        <f t="shared" si="35"/>
        <v>193437396.02500001</v>
      </c>
      <c r="K198" s="65">
        <f t="shared" si="36"/>
        <v>94631584.515000001</v>
      </c>
    </row>
    <row r="199" spans="1:11" s="739" customFormat="1">
      <c r="A199" s="120">
        <f t="shared" si="33"/>
        <v>147</v>
      </c>
      <c r="B199" s="702" t="s">
        <v>201</v>
      </c>
      <c r="C199" s="700">
        <v>2019</v>
      </c>
      <c r="D199" s="1185">
        <v>5236167</v>
      </c>
      <c r="E199" s="65">
        <f>D199*'16-PlantAdditions'!$E$103</f>
        <v>392712.52499999997</v>
      </c>
      <c r="F199" s="65">
        <f t="shared" si="34"/>
        <v>5628879.5250000004</v>
      </c>
      <c r="G199" s="1185">
        <v>190000</v>
      </c>
      <c r="H199" s="1185">
        <v>0</v>
      </c>
      <c r="I199" s="65">
        <f>(G199-H199)*'16-PlantAdditions'!$E$103</f>
        <v>14250</v>
      </c>
      <c r="J199" s="65">
        <f t="shared" si="35"/>
        <v>198862025.55000001</v>
      </c>
      <c r="K199" s="65">
        <f t="shared" si="36"/>
        <v>100056214.04000001</v>
      </c>
    </row>
    <row r="200" spans="1:11" s="739" customFormat="1">
      <c r="A200" s="120">
        <f t="shared" si="33"/>
        <v>148</v>
      </c>
      <c r="B200" s="702" t="s">
        <v>214</v>
      </c>
      <c r="C200" s="700">
        <v>2019</v>
      </c>
      <c r="D200" s="1185">
        <v>11290424</v>
      </c>
      <c r="E200" s="65">
        <f>D200*'16-PlantAdditions'!$E$103</f>
        <v>846781.79999999993</v>
      </c>
      <c r="F200" s="65">
        <f t="shared" si="34"/>
        <v>12137205.800000001</v>
      </c>
      <c r="G200" s="1185">
        <v>340000</v>
      </c>
      <c r="H200" s="1185">
        <v>0</v>
      </c>
      <c r="I200" s="65">
        <f>(G200-H200)*'16-PlantAdditions'!$E$103</f>
        <v>25500</v>
      </c>
      <c r="J200" s="65">
        <f t="shared" si="35"/>
        <v>210633731.35000002</v>
      </c>
      <c r="K200" s="65">
        <f t="shared" si="36"/>
        <v>111827919.84000002</v>
      </c>
    </row>
    <row r="201" spans="1:11" s="739" customFormat="1">
      <c r="A201" s="120">
        <f t="shared" si="33"/>
        <v>149</v>
      </c>
      <c r="B201" s="699" t="s">
        <v>202</v>
      </c>
      <c r="C201" s="700">
        <v>2019</v>
      </c>
      <c r="D201" s="1185">
        <v>12835520</v>
      </c>
      <c r="E201" s="65">
        <f>D201*'16-PlantAdditions'!$E$103</f>
        <v>962664</v>
      </c>
      <c r="F201" s="65">
        <f t="shared" si="34"/>
        <v>13798184</v>
      </c>
      <c r="G201" s="1185">
        <v>340000</v>
      </c>
      <c r="H201" s="1185">
        <v>0</v>
      </c>
      <c r="I201" s="65">
        <f>(G201-H201)*'16-PlantAdditions'!$E$103</f>
        <v>25500</v>
      </c>
      <c r="J201" s="65">
        <f t="shared" si="35"/>
        <v>224066415.35000002</v>
      </c>
      <c r="K201" s="65">
        <f t="shared" si="36"/>
        <v>125260603.84000002</v>
      </c>
    </row>
    <row r="202" spans="1:11" s="739" customFormat="1">
      <c r="A202" s="120">
        <f t="shared" si="33"/>
        <v>150</v>
      </c>
      <c r="B202" s="702" t="s">
        <v>203</v>
      </c>
      <c r="C202" s="700">
        <v>2019</v>
      </c>
      <c r="D202" s="1185">
        <v>13428006</v>
      </c>
      <c r="E202" s="65">
        <f>D202*'16-PlantAdditions'!$E$103</f>
        <v>1007100.45</v>
      </c>
      <c r="F202" s="65">
        <f t="shared" si="34"/>
        <v>14435106.449999999</v>
      </c>
      <c r="G202" s="1185">
        <v>340000</v>
      </c>
      <c r="H202" s="1185">
        <v>0</v>
      </c>
      <c r="I202" s="65">
        <f>(G202-H202)*'16-PlantAdditions'!$E$103</f>
        <v>25500</v>
      </c>
      <c r="J202" s="65">
        <f t="shared" si="35"/>
        <v>238136021.80000001</v>
      </c>
      <c r="K202" s="65">
        <f t="shared" si="36"/>
        <v>139330210.29000002</v>
      </c>
    </row>
    <row r="203" spans="1:11" s="739" customFormat="1">
      <c r="A203" s="120">
        <f t="shared" si="33"/>
        <v>151</v>
      </c>
      <c r="B203" s="702" t="s">
        <v>1650</v>
      </c>
      <c r="C203" s="700">
        <v>2019</v>
      </c>
      <c r="D203" s="1185">
        <v>14204694</v>
      </c>
      <c r="E203" s="65">
        <f>D203*'16-PlantAdditions'!$E$103</f>
        <v>1065352.05</v>
      </c>
      <c r="F203" s="65">
        <f t="shared" si="34"/>
        <v>15270046.050000001</v>
      </c>
      <c r="G203" s="1185">
        <v>340000</v>
      </c>
      <c r="H203" s="1185">
        <v>0</v>
      </c>
      <c r="I203" s="65">
        <f>(G203-H203)*'16-PlantAdditions'!$E$103</f>
        <v>25500</v>
      </c>
      <c r="J203" s="65">
        <f t="shared" si="35"/>
        <v>253040567.85000002</v>
      </c>
      <c r="K203" s="65">
        <f t="shared" si="36"/>
        <v>154234756.34000003</v>
      </c>
    </row>
    <row r="204" spans="1:11" s="739" customFormat="1">
      <c r="A204" s="120">
        <f t="shared" si="33"/>
        <v>152</v>
      </c>
      <c r="B204" s="699" t="s">
        <v>205</v>
      </c>
      <c r="C204" s="700">
        <v>2019</v>
      </c>
      <c r="D204" s="1185">
        <v>14472486</v>
      </c>
      <c r="E204" s="65">
        <f>D204*'16-PlantAdditions'!$E$103</f>
        <v>1085436.45</v>
      </c>
      <c r="F204" s="65">
        <f t="shared" si="34"/>
        <v>15557922.449999999</v>
      </c>
      <c r="G204" s="1185">
        <v>340000</v>
      </c>
      <c r="H204" s="1185">
        <v>0</v>
      </c>
      <c r="I204" s="65">
        <f>(G204-H204)*'16-PlantAdditions'!$E$103</f>
        <v>25500</v>
      </c>
      <c r="J204" s="65">
        <f t="shared" si="35"/>
        <v>268232990.30000001</v>
      </c>
      <c r="K204" s="65">
        <f t="shared" si="36"/>
        <v>169427178.79000002</v>
      </c>
    </row>
    <row r="205" spans="1:11" s="739" customFormat="1">
      <c r="A205" s="120">
        <f t="shared" si="33"/>
        <v>153</v>
      </c>
      <c r="B205" s="702" t="s">
        <v>206</v>
      </c>
      <c r="C205" s="700">
        <v>2019</v>
      </c>
      <c r="D205" s="1185">
        <v>14642486</v>
      </c>
      <c r="E205" s="65">
        <f>D205*'16-PlantAdditions'!$E$103</f>
        <v>1098186.45</v>
      </c>
      <c r="F205" s="65">
        <f t="shared" si="34"/>
        <v>15740672.449999999</v>
      </c>
      <c r="G205" s="1185">
        <v>340000</v>
      </c>
      <c r="H205" s="1185">
        <v>0</v>
      </c>
      <c r="I205" s="65">
        <f>(G205-H205)*'16-PlantAdditions'!$E$103</f>
        <v>25500</v>
      </c>
      <c r="J205" s="65">
        <f t="shared" si="35"/>
        <v>283608162.75</v>
      </c>
      <c r="K205" s="65">
        <f t="shared" si="36"/>
        <v>184802351.24000001</v>
      </c>
    </row>
    <row r="206" spans="1:11" s="739" customFormat="1">
      <c r="A206" s="120">
        <f t="shared" si="33"/>
        <v>154</v>
      </c>
      <c r="B206" s="702" t="s">
        <v>207</v>
      </c>
      <c r="C206" s="700">
        <v>2019</v>
      </c>
      <c r="D206" s="1185">
        <v>15213790</v>
      </c>
      <c r="E206" s="65">
        <f>D206*'16-PlantAdditions'!$E$103</f>
        <v>1141034.25</v>
      </c>
      <c r="F206" s="65">
        <f t="shared" si="34"/>
        <v>16354824.25</v>
      </c>
      <c r="G206" s="1185">
        <v>340000</v>
      </c>
      <c r="H206" s="1185">
        <v>0</v>
      </c>
      <c r="I206" s="65">
        <f>(G206-H206)*'16-PlantAdditions'!$E$103</f>
        <v>25500</v>
      </c>
      <c r="J206" s="65">
        <f t="shared" si="35"/>
        <v>299597487</v>
      </c>
      <c r="K206" s="65">
        <f t="shared" si="36"/>
        <v>200791675.49000001</v>
      </c>
    </row>
    <row r="207" spans="1:11" s="739" customFormat="1">
      <c r="A207" s="120">
        <f t="shared" si="33"/>
        <v>155</v>
      </c>
      <c r="B207" s="702" t="s">
        <v>210</v>
      </c>
      <c r="C207" s="700">
        <v>2019</v>
      </c>
      <c r="D207" s="1185">
        <v>18580671</v>
      </c>
      <c r="E207" s="65">
        <f>D207*'16-PlantAdditions'!$E$103</f>
        <v>1393550.325</v>
      </c>
      <c r="F207" s="65">
        <f t="shared" ref="F207:F209" si="37">E207+D207</f>
        <v>19974221.324999999</v>
      </c>
      <c r="G207" s="1185">
        <v>5706366.5899999999</v>
      </c>
      <c r="H207" s="1185">
        <v>3174604.59</v>
      </c>
      <c r="I207" s="65">
        <f>(G207-H207)*'16-PlantAdditions'!$E$103</f>
        <v>189882.15</v>
      </c>
      <c r="J207" s="65">
        <f t="shared" ref="J207:J209" si="38">J206+F207-G207-I207</f>
        <v>313675459.58500004</v>
      </c>
      <c r="K207" s="65">
        <f t="shared" si="36"/>
        <v>214869648.07500005</v>
      </c>
    </row>
    <row r="208" spans="1:11" s="739" customFormat="1">
      <c r="A208" s="120">
        <f t="shared" si="33"/>
        <v>156</v>
      </c>
      <c r="B208" s="702" t="s">
        <v>209</v>
      </c>
      <c r="C208" s="700">
        <v>2019</v>
      </c>
      <c r="D208" s="1185">
        <v>13761026</v>
      </c>
      <c r="E208" s="65">
        <f>D208*'16-PlantAdditions'!$E$103</f>
        <v>1032076.95</v>
      </c>
      <c r="F208" s="65">
        <f t="shared" si="37"/>
        <v>14793102.949999999</v>
      </c>
      <c r="G208" s="1185">
        <v>290000</v>
      </c>
      <c r="H208" s="1185">
        <v>0</v>
      </c>
      <c r="I208" s="65">
        <f>(G208-H208)*'16-PlantAdditions'!$E$103</f>
        <v>21750</v>
      </c>
      <c r="J208" s="65">
        <f t="shared" si="38"/>
        <v>328156812.53500003</v>
      </c>
      <c r="K208" s="65">
        <f t="shared" si="36"/>
        <v>229351001.02500004</v>
      </c>
    </row>
    <row r="209" spans="1:11" s="739" customFormat="1">
      <c r="A209" s="120">
        <f t="shared" si="33"/>
        <v>157</v>
      </c>
      <c r="B209" s="702" t="s">
        <v>199</v>
      </c>
      <c r="C209" s="700">
        <v>2019</v>
      </c>
      <c r="D209" s="1185">
        <v>14863709</v>
      </c>
      <c r="E209" s="65">
        <f>D209*'16-PlantAdditions'!$E$103</f>
        <v>1114778.175</v>
      </c>
      <c r="F209" s="65">
        <f t="shared" si="37"/>
        <v>15978487.175000001</v>
      </c>
      <c r="G209" s="1185">
        <v>290000</v>
      </c>
      <c r="H209" s="1185">
        <v>0</v>
      </c>
      <c r="I209" s="65">
        <f>(G209-H209)*'16-PlantAdditions'!$E$103</f>
        <v>21750</v>
      </c>
      <c r="J209" s="65">
        <f t="shared" si="38"/>
        <v>343823549.71000004</v>
      </c>
      <c r="K209" s="121">
        <f t="shared" si="36"/>
        <v>245017738.20000005</v>
      </c>
    </row>
    <row r="210" spans="1:11" s="739" customFormat="1">
      <c r="A210" s="120">
        <f t="shared" si="33"/>
        <v>158</v>
      </c>
      <c r="B210"/>
      <c r="C210" s="738" t="s">
        <v>1821</v>
      </c>
      <c r="D210"/>
      <c r="E210"/>
      <c r="F210"/>
      <c r="G210"/>
      <c r="H210"/>
      <c r="I210"/>
      <c r="J210"/>
      <c r="K210" s="80">
        <f>AVERAGE(K197:K209)</f>
        <v>158421232.23461542</v>
      </c>
    </row>
    <row r="211" spans="1:11" s="739" customFormat="1">
      <c r="A211" s="120"/>
      <c r="B211"/>
      <c r="C211" s="738"/>
      <c r="D211"/>
      <c r="E211"/>
      <c r="F211"/>
      <c r="G211"/>
      <c r="H211"/>
      <c r="I211"/>
      <c r="J211"/>
      <c r="K211" s="80"/>
    </row>
    <row r="212" spans="1:11" s="739" customFormat="1">
      <c r="B212" s="740" t="s">
        <v>2325</v>
      </c>
      <c r="D212" s="1394" t="s">
        <v>597</v>
      </c>
      <c r="E212" s="1394"/>
    </row>
    <row r="213" spans="1:11" s="739" customFormat="1">
      <c r="D213" s="741"/>
      <c r="E213" s="741"/>
      <c r="F213" s="741"/>
      <c r="G213" s="635" t="str">
        <f>G51</f>
        <v>Unloaded</v>
      </c>
      <c r="H213" s="741"/>
      <c r="I213" s="741"/>
    </row>
    <row r="214" spans="1:11" s="739" customFormat="1">
      <c r="A214" s="736"/>
      <c r="B214" s="736"/>
      <c r="C214" s="736"/>
      <c r="D214" s="736" t="str">
        <f>D$52</f>
        <v>Forecast</v>
      </c>
      <c r="E214" s="736" t="str">
        <f t="shared" ref="E214:J214" si="39">E$52</f>
        <v>Corporate</v>
      </c>
      <c r="F214" s="736" t="str">
        <f t="shared" si="39"/>
        <v xml:space="preserve">Total </v>
      </c>
      <c r="G214" s="635" t="str">
        <f>G52</f>
        <v>Total</v>
      </c>
      <c r="H214" s="736" t="str">
        <f t="shared" si="39"/>
        <v>Prior Period</v>
      </c>
      <c r="I214" s="736" t="str">
        <f t="shared" si="39"/>
        <v>Over Heads</v>
      </c>
      <c r="J214" s="736" t="str">
        <f t="shared" si="39"/>
        <v>Forecast</v>
      </c>
      <c r="K214" s="635" t="str">
        <f>K$52</f>
        <v>Forecast Period</v>
      </c>
    </row>
    <row r="215" spans="1:11" s="739" customFormat="1">
      <c r="A215" s="998" t="s">
        <v>360</v>
      </c>
      <c r="B215" s="698" t="s">
        <v>211</v>
      </c>
      <c r="C215" s="698" t="s">
        <v>212</v>
      </c>
      <c r="D215" s="734" t="str">
        <f>D$53</f>
        <v>Expenditures</v>
      </c>
      <c r="E215" s="734" t="str">
        <f t="shared" ref="E215:J215" si="40">E$53</f>
        <v>Overheads</v>
      </c>
      <c r="F215" s="734" t="str">
        <f t="shared" si="40"/>
        <v>CWIP Exp</v>
      </c>
      <c r="G215" s="3" t="str">
        <f>G53</f>
        <v>Plant Adds</v>
      </c>
      <c r="H215" s="734" t="str">
        <f t="shared" si="40"/>
        <v>CWIP Closed</v>
      </c>
      <c r="I215" s="734" t="str">
        <f t="shared" si="40"/>
        <v>Closed to PIS</v>
      </c>
      <c r="J215" s="734" t="str">
        <f t="shared" si="40"/>
        <v>Period CWIP</v>
      </c>
      <c r="K215" s="734" t="str">
        <f>K$53</f>
        <v>Incremental CWIP</v>
      </c>
    </row>
    <row r="216" spans="1:11" s="739" customFormat="1">
      <c r="A216" s="120">
        <f>A210+1</f>
        <v>159</v>
      </c>
      <c r="B216" s="699" t="s">
        <v>199</v>
      </c>
      <c r="C216" s="700">
        <v>2017</v>
      </c>
      <c r="D216" s="743" t="s">
        <v>86</v>
      </c>
      <c r="E216" s="743" t="s">
        <v>86</v>
      </c>
      <c r="F216" s="743" t="s">
        <v>86</v>
      </c>
      <c r="G216" s="743" t="s">
        <v>86</v>
      </c>
      <c r="H216" s="743" t="s">
        <v>86</v>
      </c>
      <c r="I216" s="743" t="s">
        <v>86</v>
      </c>
      <c r="J216" s="65">
        <f>I25</f>
        <v>0</v>
      </c>
      <c r="K216" s="743" t="s">
        <v>86</v>
      </c>
    </row>
    <row r="217" spans="1:11" s="739" customFormat="1">
      <c r="A217" s="120">
        <f>A216+1</f>
        <v>160</v>
      </c>
      <c r="B217" s="699" t="s">
        <v>200</v>
      </c>
      <c r="C217" s="700">
        <v>2018</v>
      </c>
      <c r="D217" s="1185">
        <v>0</v>
      </c>
      <c r="E217" s="65">
        <f>D217*'16-PlantAdditions'!$E$103</f>
        <v>0</v>
      </c>
      <c r="F217" s="65">
        <f>E217+D217</f>
        <v>0</v>
      </c>
      <c r="G217" s="1185">
        <v>0</v>
      </c>
      <c r="H217" s="1185">
        <v>0</v>
      </c>
      <c r="I217" s="65">
        <f>(G217-H217)*'16-PlantAdditions'!$E$103</f>
        <v>0</v>
      </c>
      <c r="J217" s="65">
        <f>J216+F217-G217-I217</f>
        <v>0</v>
      </c>
      <c r="K217" s="65">
        <f>J217-$J$216</f>
        <v>0</v>
      </c>
    </row>
    <row r="218" spans="1:11" s="739" customFormat="1">
      <c r="A218" s="120">
        <f t="shared" ref="A218:A241" si="41">A217+1</f>
        <v>161</v>
      </c>
      <c r="B218" s="702" t="s">
        <v>201</v>
      </c>
      <c r="C218" s="700">
        <v>2018</v>
      </c>
      <c r="D218" s="1185">
        <v>0</v>
      </c>
      <c r="E218" s="65">
        <f>D218*'16-PlantAdditions'!$E$103</f>
        <v>0</v>
      </c>
      <c r="F218" s="65">
        <f t="shared" ref="F218:F237" si="42">E218+D218</f>
        <v>0</v>
      </c>
      <c r="G218" s="1185">
        <v>0</v>
      </c>
      <c r="H218" s="1185">
        <v>0</v>
      </c>
      <c r="I218" s="65">
        <f>(G218-H218)*'16-PlantAdditions'!$E$103</f>
        <v>0</v>
      </c>
      <c r="J218" s="65">
        <f t="shared" ref="J218:J237" si="43">J217+F218-G218-I218</f>
        <v>0</v>
      </c>
      <c r="K218" s="65">
        <f t="shared" ref="K218:K240" si="44">J218-$J$216</f>
        <v>0</v>
      </c>
    </row>
    <row r="219" spans="1:11" s="739" customFormat="1">
      <c r="A219" s="120">
        <f t="shared" si="41"/>
        <v>162</v>
      </c>
      <c r="B219" s="702" t="s">
        <v>214</v>
      </c>
      <c r="C219" s="700">
        <v>2018</v>
      </c>
      <c r="D219" s="1185">
        <v>0</v>
      </c>
      <c r="E219" s="65">
        <f>D219*'16-PlantAdditions'!$E$103</f>
        <v>0</v>
      </c>
      <c r="F219" s="65">
        <f t="shared" si="42"/>
        <v>0</v>
      </c>
      <c r="G219" s="1185">
        <v>0</v>
      </c>
      <c r="H219" s="1185">
        <v>0</v>
      </c>
      <c r="I219" s="65">
        <f>(G219-H219)*'16-PlantAdditions'!$E$103</f>
        <v>0</v>
      </c>
      <c r="J219" s="65">
        <f t="shared" si="43"/>
        <v>0</v>
      </c>
      <c r="K219" s="65">
        <f t="shared" si="44"/>
        <v>0</v>
      </c>
    </row>
    <row r="220" spans="1:11" s="739" customFormat="1">
      <c r="A220" s="120">
        <f t="shared" si="41"/>
        <v>163</v>
      </c>
      <c r="B220" s="699" t="s">
        <v>202</v>
      </c>
      <c r="C220" s="700">
        <v>2018</v>
      </c>
      <c r="D220" s="1185">
        <v>0</v>
      </c>
      <c r="E220" s="65">
        <f>D220*'16-PlantAdditions'!$E$103</f>
        <v>0</v>
      </c>
      <c r="F220" s="65">
        <f t="shared" si="42"/>
        <v>0</v>
      </c>
      <c r="G220" s="1185">
        <v>0</v>
      </c>
      <c r="H220" s="1185">
        <v>0</v>
      </c>
      <c r="I220" s="65">
        <f>(G220-H220)*'16-PlantAdditions'!$E$103</f>
        <v>0</v>
      </c>
      <c r="J220" s="65">
        <f t="shared" si="43"/>
        <v>0</v>
      </c>
      <c r="K220" s="65">
        <f t="shared" si="44"/>
        <v>0</v>
      </c>
    </row>
    <row r="221" spans="1:11" s="739" customFormat="1">
      <c r="A221" s="120">
        <f t="shared" si="41"/>
        <v>164</v>
      </c>
      <c r="B221" s="702" t="s">
        <v>203</v>
      </c>
      <c r="C221" s="700">
        <v>2018</v>
      </c>
      <c r="D221" s="1185">
        <v>0</v>
      </c>
      <c r="E221" s="65">
        <f>D221*'16-PlantAdditions'!$E$103</f>
        <v>0</v>
      </c>
      <c r="F221" s="65">
        <f t="shared" si="42"/>
        <v>0</v>
      </c>
      <c r="G221" s="1185">
        <v>0</v>
      </c>
      <c r="H221" s="1185">
        <v>0</v>
      </c>
      <c r="I221" s="65">
        <f>(G221-H221)*'16-PlantAdditions'!$E$103</f>
        <v>0</v>
      </c>
      <c r="J221" s="65">
        <f t="shared" si="43"/>
        <v>0</v>
      </c>
      <c r="K221" s="65">
        <f t="shared" si="44"/>
        <v>0</v>
      </c>
    </row>
    <row r="222" spans="1:11" s="739" customFormat="1">
      <c r="A222" s="120">
        <f t="shared" si="41"/>
        <v>165</v>
      </c>
      <c r="B222" s="702" t="s">
        <v>1650</v>
      </c>
      <c r="C222" s="700">
        <v>2018</v>
      </c>
      <c r="D222" s="1185">
        <v>0</v>
      </c>
      <c r="E222" s="65">
        <f>D222*'16-PlantAdditions'!$E$103</f>
        <v>0</v>
      </c>
      <c r="F222" s="65">
        <f t="shared" si="42"/>
        <v>0</v>
      </c>
      <c r="G222" s="1185">
        <v>0</v>
      </c>
      <c r="H222" s="1185">
        <v>0</v>
      </c>
      <c r="I222" s="65">
        <f>(G222-H222)*'16-PlantAdditions'!$E$103</f>
        <v>0</v>
      </c>
      <c r="J222" s="65">
        <f t="shared" si="43"/>
        <v>0</v>
      </c>
      <c r="K222" s="65">
        <f t="shared" si="44"/>
        <v>0</v>
      </c>
    </row>
    <row r="223" spans="1:11" s="739" customFormat="1">
      <c r="A223" s="120">
        <f t="shared" si="41"/>
        <v>166</v>
      </c>
      <c r="B223" s="699" t="s">
        <v>205</v>
      </c>
      <c r="C223" s="700">
        <v>2018</v>
      </c>
      <c r="D223" s="1185">
        <v>0</v>
      </c>
      <c r="E223" s="65">
        <f>D223*'16-PlantAdditions'!$E$103</f>
        <v>0</v>
      </c>
      <c r="F223" s="65">
        <f t="shared" si="42"/>
        <v>0</v>
      </c>
      <c r="G223" s="1185">
        <v>0</v>
      </c>
      <c r="H223" s="1185">
        <v>0</v>
      </c>
      <c r="I223" s="65">
        <f>(G223-H223)*'16-PlantAdditions'!$E$103</f>
        <v>0</v>
      </c>
      <c r="J223" s="65">
        <f t="shared" si="43"/>
        <v>0</v>
      </c>
      <c r="K223" s="65">
        <f t="shared" si="44"/>
        <v>0</v>
      </c>
    </row>
    <row r="224" spans="1:11" s="739" customFormat="1">
      <c r="A224" s="120">
        <f t="shared" si="41"/>
        <v>167</v>
      </c>
      <c r="B224" s="702" t="s">
        <v>206</v>
      </c>
      <c r="C224" s="700">
        <v>2018</v>
      </c>
      <c r="D224" s="1185">
        <v>0</v>
      </c>
      <c r="E224" s="65">
        <f>D224*'16-PlantAdditions'!$E$103</f>
        <v>0</v>
      </c>
      <c r="F224" s="65">
        <f t="shared" si="42"/>
        <v>0</v>
      </c>
      <c r="G224" s="1185">
        <v>0</v>
      </c>
      <c r="H224" s="1185">
        <v>0</v>
      </c>
      <c r="I224" s="65">
        <f>(G224-H224)*'16-PlantAdditions'!$E$103</f>
        <v>0</v>
      </c>
      <c r="J224" s="65">
        <f t="shared" si="43"/>
        <v>0</v>
      </c>
      <c r="K224" s="65">
        <f t="shared" si="44"/>
        <v>0</v>
      </c>
    </row>
    <row r="225" spans="1:11" s="739" customFormat="1">
      <c r="A225" s="120">
        <f t="shared" si="41"/>
        <v>168</v>
      </c>
      <c r="B225" s="702" t="s">
        <v>207</v>
      </c>
      <c r="C225" s="700">
        <v>2018</v>
      </c>
      <c r="D225" s="1185">
        <v>0</v>
      </c>
      <c r="E225" s="65">
        <f>D225*'16-PlantAdditions'!$E$103</f>
        <v>0</v>
      </c>
      <c r="F225" s="65">
        <f t="shared" si="42"/>
        <v>0</v>
      </c>
      <c r="G225" s="1185">
        <v>0</v>
      </c>
      <c r="H225" s="1185">
        <v>0</v>
      </c>
      <c r="I225" s="65">
        <f>(G225-H225)*'16-PlantAdditions'!$E$103</f>
        <v>0</v>
      </c>
      <c r="J225" s="65">
        <f t="shared" si="43"/>
        <v>0</v>
      </c>
      <c r="K225" s="65">
        <f t="shared" si="44"/>
        <v>0</v>
      </c>
    </row>
    <row r="226" spans="1:11" s="739" customFormat="1">
      <c r="A226" s="120">
        <f t="shared" si="41"/>
        <v>169</v>
      </c>
      <c r="B226" s="699" t="s">
        <v>210</v>
      </c>
      <c r="C226" s="700">
        <v>2018</v>
      </c>
      <c r="D226" s="1185">
        <v>0</v>
      </c>
      <c r="E226" s="65">
        <f>D226*'16-PlantAdditions'!$E$103</f>
        <v>0</v>
      </c>
      <c r="F226" s="65">
        <f t="shared" si="42"/>
        <v>0</v>
      </c>
      <c r="G226" s="1185">
        <v>0</v>
      </c>
      <c r="H226" s="1185">
        <v>0</v>
      </c>
      <c r="I226" s="65">
        <f>(G226-H226)*'16-PlantAdditions'!$E$103</f>
        <v>0</v>
      </c>
      <c r="J226" s="65">
        <f t="shared" si="43"/>
        <v>0</v>
      </c>
      <c r="K226" s="65">
        <f t="shared" si="44"/>
        <v>0</v>
      </c>
    </row>
    <row r="227" spans="1:11" s="739" customFormat="1">
      <c r="A227" s="120">
        <f t="shared" si="41"/>
        <v>170</v>
      </c>
      <c r="B227" s="699" t="s">
        <v>209</v>
      </c>
      <c r="C227" s="700">
        <v>2018</v>
      </c>
      <c r="D227" s="1185">
        <v>0</v>
      </c>
      <c r="E227" s="65">
        <f>D227*'16-PlantAdditions'!$E$103</f>
        <v>0</v>
      </c>
      <c r="F227" s="65">
        <f t="shared" si="42"/>
        <v>0</v>
      </c>
      <c r="G227" s="1185">
        <v>0</v>
      </c>
      <c r="H227" s="1185">
        <v>0</v>
      </c>
      <c r="I227" s="65">
        <f>(G227-H227)*'16-PlantAdditions'!$E$103</f>
        <v>0</v>
      </c>
      <c r="J227" s="65">
        <f t="shared" si="43"/>
        <v>0</v>
      </c>
      <c r="K227" s="65">
        <f t="shared" si="44"/>
        <v>0</v>
      </c>
    </row>
    <row r="228" spans="1:11" s="739" customFormat="1">
      <c r="A228" s="120">
        <f t="shared" si="41"/>
        <v>171</v>
      </c>
      <c r="B228" s="699" t="s">
        <v>199</v>
      </c>
      <c r="C228" s="700">
        <v>2018</v>
      </c>
      <c r="D228" s="1185">
        <v>0</v>
      </c>
      <c r="E228" s="65">
        <f>D228*'16-PlantAdditions'!$E$103</f>
        <v>0</v>
      </c>
      <c r="F228" s="65">
        <f t="shared" si="42"/>
        <v>0</v>
      </c>
      <c r="G228" s="1185">
        <v>0</v>
      </c>
      <c r="H228" s="1185">
        <v>0</v>
      </c>
      <c r="I228" s="65">
        <f>(G228-H228)*'16-PlantAdditions'!$E$103</f>
        <v>0</v>
      </c>
      <c r="J228" s="65">
        <f t="shared" si="43"/>
        <v>0</v>
      </c>
      <c r="K228" s="65">
        <f t="shared" si="44"/>
        <v>0</v>
      </c>
    </row>
    <row r="229" spans="1:11" s="739" customFormat="1">
      <c r="A229" s="120">
        <f t="shared" si="41"/>
        <v>172</v>
      </c>
      <c r="B229" s="699" t="s">
        <v>200</v>
      </c>
      <c r="C229" s="700">
        <v>2019</v>
      </c>
      <c r="D229" s="1185">
        <v>0</v>
      </c>
      <c r="E229" s="65">
        <f>D229*'16-PlantAdditions'!$E$103</f>
        <v>0</v>
      </c>
      <c r="F229" s="65">
        <f t="shared" si="42"/>
        <v>0</v>
      </c>
      <c r="G229" s="1185">
        <v>0</v>
      </c>
      <c r="H229" s="1185">
        <v>0</v>
      </c>
      <c r="I229" s="65">
        <f>(G229-H229)*'16-PlantAdditions'!$E$103</f>
        <v>0</v>
      </c>
      <c r="J229" s="65">
        <f t="shared" si="43"/>
        <v>0</v>
      </c>
      <c r="K229" s="65">
        <f t="shared" si="44"/>
        <v>0</v>
      </c>
    </row>
    <row r="230" spans="1:11" s="739" customFormat="1">
      <c r="A230" s="120">
        <f t="shared" si="41"/>
        <v>173</v>
      </c>
      <c r="B230" s="702" t="s">
        <v>201</v>
      </c>
      <c r="C230" s="700">
        <v>2019</v>
      </c>
      <c r="D230" s="1185">
        <v>0</v>
      </c>
      <c r="E230" s="65">
        <f>D230*'16-PlantAdditions'!$E$103</f>
        <v>0</v>
      </c>
      <c r="F230" s="65">
        <f t="shared" si="42"/>
        <v>0</v>
      </c>
      <c r="G230" s="1185">
        <v>0</v>
      </c>
      <c r="H230" s="1185">
        <v>0</v>
      </c>
      <c r="I230" s="65">
        <f>(G230-H230)*'16-PlantAdditions'!$E$103</f>
        <v>0</v>
      </c>
      <c r="J230" s="65">
        <f t="shared" si="43"/>
        <v>0</v>
      </c>
      <c r="K230" s="65">
        <f t="shared" si="44"/>
        <v>0</v>
      </c>
    </row>
    <row r="231" spans="1:11" s="739" customFormat="1">
      <c r="A231" s="120">
        <f t="shared" si="41"/>
        <v>174</v>
      </c>
      <c r="B231" s="702" t="s">
        <v>214</v>
      </c>
      <c r="C231" s="700">
        <v>2019</v>
      </c>
      <c r="D231" s="1185">
        <v>0</v>
      </c>
      <c r="E231" s="65">
        <f>D231*'16-PlantAdditions'!$E$103</f>
        <v>0</v>
      </c>
      <c r="F231" s="65">
        <f t="shared" si="42"/>
        <v>0</v>
      </c>
      <c r="G231" s="1185">
        <v>0</v>
      </c>
      <c r="H231" s="1185">
        <v>0</v>
      </c>
      <c r="I231" s="65">
        <f>(G231-H231)*'16-PlantAdditions'!$E$103</f>
        <v>0</v>
      </c>
      <c r="J231" s="65">
        <f t="shared" si="43"/>
        <v>0</v>
      </c>
      <c r="K231" s="65">
        <f t="shared" si="44"/>
        <v>0</v>
      </c>
    </row>
    <row r="232" spans="1:11" s="739" customFormat="1">
      <c r="A232" s="120">
        <f t="shared" si="41"/>
        <v>175</v>
      </c>
      <c r="B232" s="699" t="s">
        <v>202</v>
      </c>
      <c r="C232" s="700">
        <v>2019</v>
      </c>
      <c r="D232" s="1185">
        <v>0</v>
      </c>
      <c r="E232" s="65">
        <f>D232*'16-PlantAdditions'!$E$103</f>
        <v>0</v>
      </c>
      <c r="F232" s="65">
        <f t="shared" si="42"/>
        <v>0</v>
      </c>
      <c r="G232" s="1185">
        <v>0</v>
      </c>
      <c r="H232" s="1185">
        <v>0</v>
      </c>
      <c r="I232" s="65">
        <f>(G232-H232)*'16-PlantAdditions'!$E$103</f>
        <v>0</v>
      </c>
      <c r="J232" s="65">
        <f t="shared" si="43"/>
        <v>0</v>
      </c>
      <c r="K232" s="65">
        <f t="shared" si="44"/>
        <v>0</v>
      </c>
    </row>
    <row r="233" spans="1:11" s="739" customFormat="1">
      <c r="A233" s="120">
        <f t="shared" si="41"/>
        <v>176</v>
      </c>
      <c r="B233" s="702" t="s">
        <v>203</v>
      </c>
      <c r="C233" s="700">
        <v>2019</v>
      </c>
      <c r="D233" s="1185">
        <v>0</v>
      </c>
      <c r="E233" s="65">
        <f>D233*'16-PlantAdditions'!$E$103</f>
        <v>0</v>
      </c>
      <c r="F233" s="65">
        <f t="shared" si="42"/>
        <v>0</v>
      </c>
      <c r="G233" s="1185">
        <v>0</v>
      </c>
      <c r="H233" s="1185">
        <v>0</v>
      </c>
      <c r="I233" s="65">
        <f>(G233-H233)*'16-PlantAdditions'!$E$103</f>
        <v>0</v>
      </c>
      <c r="J233" s="65">
        <f t="shared" si="43"/>
        <v>0</v>
      </c>
      <c r="K233" s="65">
        <f t="shared" si="44"/>
        <v>0</v>
      </c>
    </row>
    <row r="234" spans="1:11" s="739" customFormat="1">
      <c r="A234" s="120">
        <f t="shared" si="41"/>
        <v>177</v>
      </c>
      <c r="B234" s="702" t="s">
        <v>1650</v>
      </c>
      <c r="C234" s="700">
        <v>2019</v>
      </c>
      <c r="D234" s="1185">
        <v>0</v>
      </c>
      <c r="E234" s="65">
        <f>D234*'16-PlantAdditions'!$E$103</f>
        <v>0</v>
      </c>
      <c r="F234" s="65">
        <f t="shared" si="42"/>
        <v>0</v>
      </c>
      <c r="G234" s="1185">
        <v>0</v>
      </c>
      <c r="H234" s="1185">
        <v>0</v>
      </c>
      <c r="I234" s="65">
        <f>(G234-H234)*'16-PlantAdditions'!$E$103</f>
        <v>0</v>
      </c>
      <c r="J234" s="65">
        <f t="shared" si="43"/>
        <v>0</v>
      </c>
      <c r="K234" s="65">
        <f t="shared" si="44"/>
        <v>0</v>
      </c>
    </row>
    <row r="235" spans="1:11" s="739" customFormat="1">
      <c r="A235" s="120">
        <f t="shared" si="41"/>
        <v>178</v>
      </c>
      <c r="B235" s="699" t="s">
        <v>205</v>
      </c>
      <c r="C235" s="700">
        <v>2019</v>
      </c>
      <c r="D235" s="1185">
        <v>0</v>
      </c>
      <c r="E235" s="65">
        <f>D235*'16-PlantAdditions'!$E$103</f>
        <v>0</v>
      </c>
      <c r="F235" s="65">
        <f t="shared" si="42"/>
        <v>0</v>
      </c>
      <c r="G235" s="1185">
        <v>0</v>
      </c>
      <c r="H235" s="1185">
        <v>0</v>
      </c>
      <c r="I235" s="65">
        <f>(G235-H235)*'16-PlantAdditions'!$E$103</f>
        <v>0</v>
      </c>
      <c r="J235" s="65">
        <f t="shared" si="43"/>
        <v>0</v>
      </c>
      <c r="K235" s="65">
        <f t="shared" si="44"/>
        <v>0</v>
      </c>
    </row>
    <row r="236" spans="1:11" s="739" customFormat="1">
      <c r="A236" s="120">
        <f t="shared" si="41"/>
        <v>179</v>
      </c>
      <c r="B236" s="702" t="s">
        <v>206</v>
      </c>
      <c r="C236" s="700">
        <v>2019</v>
      </c>
      <c r="D236" s="1185">
        <v>0</v>
      </c>
      <c r="E236" s="65">
        <f>D236*'16-PlantAdditions'!$E$103</f>
        <v>0</v>
      </c>
      <c r="F236" s="65">
        <f t="shared" si="42"/>
        <v>0</v>
      </c>
      <c r="G236" s="1185">
        <v>0</v>
      </c>
      <c r="H236" s="1185">
        <v>0</v>
      </c>
      <c r="I236" s="65">
        <f>(G236-H236)*'16-PlantAdditions'!$E$103</f>
        <v>0</v>
      </c>
      <c r="J236" s="65">
        <f t="shared" si="43"/>
        <v>0</v>
      </c>
      <c r="K236" s="65">
        <f t="shared" si="44"/>
        <v>0</v>
      </c>
    </row>
    <row r="237" spans="1:11" s="739" customFormat="1">
      <c r="A237" s="120">
        <f t="shared" si="41"/>
        <v>180</v>
      </c>
      <c r="B237" s="702" t="s">
        <v>207</v>
      </c>
      <c r="C237" s="700">
        <v>2019</v>
      </c>
      <c r="D237" s="1185">
        <v>0</v>
      </c>
      <c r="E237" s="65">
        <f>D237*'16-PlantAdditions'!$E$103</f>
        <v>0</v>
      </c>
      <c r="F237" s="65">
        <f t="shared" si="42"/>
        <v>0</v>
      </c>
      <c r="G237" s="1185">
        <v>0</v>
      </c>
      <c r="H237" s="1185">
        <v>0</v>
      </c>
      <c r="I237" s="65">
        <f>(G237-H237)*'16-PlantAdditions'!$E$103</f>
        <v>0</v>
      </c>
      <c r="J237" s="65">
        <f t="shared" si="43"/>
        <v>0</v>
      </c>
      <c r="K237" s="65">
        <f t="shared" si="44"/>
        <v>0</v>
      </c>
    </row>
    <row r="238" spans="1:11" s="739" customFormat="1">
      <c r="A238" s="120">
        <f t="shared" si="41"/>
        <v>181</v>
      </c>
      <c r="B238" s="702" t="s">
        <v>210</v>
      </c>
      <c r="C238" s="700">
        <v>2019</v>
      </c>
      <c r="D238" s="1185">
        <v>0</v>
      </c>
      <c r="E238" s="65">
        <f>D238*'16-PlantAdditions'!$E$103</f>
        <v>0</v>
      </c>
      <c r="F238" s="65">
        <f t="shared" ref="F238:F240" si="45">E238+D238</f>
        <v>0</v>
      </c>
      <c r="G238" s="1185">
        <v>0</v>
      </c>
      <c r="H238" s="1185">
        <v>0</v>
      </c>
      <c r="I238" s="65">
        <f>(G238-H238)*'16-PlantAdditions'!$E$103</f>
        <v>0</v>
      </c>
      <c r="J238" s="65">
        <f t="shared" ref="J238:J240" si="46">J237+F238-G238-I238</f>
        <v>0</v>
      </c>
      <c r="K238" s="65">
        <f t="shared" si="44"/>
        <v>0</v>
      </c>
    </row>
    <row r="239" spans="1:11" s="739" customFormat="1">
      <c r="A239" s="120">
        <f t="shared" si="41"/>
        <v>182</v>
      </c>
      <c r="B239" s="702" t="s">
        <v>209</v>
      </c>
      <c r="C239" s="700">
        <v>2019</v>
      </c>
      <c r="D239" s="1185">
        <v>0</v>
      </c>
      <c r="E239" s="65">
        <f>D239*'16-PlantAdditions'!$E$103</f>
        <v>0</v>
      </c>
      <c r="F239" s="65">
        <f t="shared" si="45"/>
        <v>0</v>
      </c>
      <c r="G239" s="1185">
        <v>0</v>
      </c>
      <c r="H239" s="1185">
        <v>0</v>
      </c>
      <c r="I239" s="65">
        <f>(G239-H239)*'16-PlantAdditions'!$E$103</f>
        <v>0</v>
      </c>
      <c r="J239" s="65">
        <f t="shared" si="46"/>
        <v>0</v>
      </c>
      <c r="K239" s="65">
        <f t="shared" si="44"/>
        <v>0</v>
      </c>
    </row>
    <row r="240" spans="1:11" s="739" customFormat="1">
      <c r="A240" s="120">
        <f t="shared" si="41"/>
        <v>183</v>
      </c>
      <c r="B240" s="702" t="s">
        <v>199</v>
      </c>
      <c r="C240" s="700">
        <v>2019</v>
      </c>
      <c r="D240" s="1185">
        <v>0</v>
      </c>
      <c r="E240" s="65">
        <f>D240*'16-PlantAdditions'!$E$103</f>
        <v>0</v>
      </c>
      <c r="F240" s="65">
        <f t="shared" si="45"/>
        <v>0</v>
      </c>
      <c r="G240" s="1185">
        <v>0</v>
      </c>
      <c r="H240" s="1185">
        <v>0</v>
      </c>
      <c r="I240" s="65">
        <f>(G240-H240)*'16-PlantAdditions'!$E$103</f>
        <v>0</v>
      </c>
      <c r="J240" s="65">
        <f t="shared" si="46"/>
        <v>0</v>
      </c>
      <c r="K240" s="121">
        <f t="shared" si="44"/>
        <v>0</v>
      </c>
    </row>
    <row r="241" spans="1:11" s="739" customFormat="1">
      <c r="A241" s="120">
        <f t="shared" si="41"/>
        <v>184</v>
      </c>
      <c r="B241"/>
      <c r="C241" s="738" t="s">
        <v>1821</v>
      </c>
      <c r="D241"/>
      <c r="E241"/>
      <c r="F241"/>
      <c r="G241"/>
      <c r="H241"/>
      <c r="I241"/>
      <c r="J241"/>
      <c r="K241" s="80">
        <f>AVERAGE(K228:K240)</f>
        <v>0</v>
      </c>
    </row>
    <row r="242" spans="1:11" s="739" customFormat="1">
      <c r="A242" s="120"/>
      <c r="B242"/>
      <c r="C242" s="738"/>
      <c r="D242"/>
      <c r="E242"/>
      <c r="F242"/>
      <c r="G242"/>
      <c r="H242"/>
      <c r="I242"/>
      <c r="J242"/>
      <c r="K242" s="80"/>
    </row>
    <row r="243" spans="1:11" s="739" customFormat="1">
      <c r="B243" s="740" t="s">
        <v>2326</v>
      </c>
      <c r="D243" s="1394" t="s">
        <v>2327</v>
      </c>
      <c r="E243" s="1394"/>
    </row>
    <row r="244" spans="1:11" s="739" customFormat="1">
      <c r="A244" s="734"/>
      <c r="B244" s="734"/>
      <c r="C244" s="734"/>
      <c r="D244" s="734" t="s">
        <v>391</v>
      </c>
      <c r="E244" s="734" t="s">
        <v>375</v>
      </c>
      <c r="F244" s="734" t="s">
        <v>376</v>
      </c>
      <c r="G244" s="734" t="s">
        <v>377</v>
      </c>
      <c r="H244" s="734" t="s">
        <v>378</v>
      </c>
      <c r="I244" s="734" t="s">
        <v>379</v>
      </c>
      <c r="J244" s="734" t="s">
        <v>380</v>
      </c>
      <c r="K244" s="734" t="s">
        <v>593</v>
      </c>
    </row>
    <row r="245" spans="1:11" s="739" customFormat="1" ht="38.25">
      <c r="D245" s="741"/>
      <c r="E245" s="742" t="s">
        <v>2561</v>
      </c>
      <c r="F245" s="743" t="s">
        <v>2318</v>
      </c>
      <c r="G245" s="524"/>
      <c r="H245" s="741"/>
      <c r="I245" s="742" t="s">
        <v>2562</v>
      </c>
      <c r="J245" s="742" t="s">
        <v>2319</v>
      </c>
      <c r="K245" s="742" t="s">
        <v>2320</v>
      </c>
    </row>
    <row r="246" spans="1:11" s="739" customFormat="1">
      <c r="D246" s="741"/>
      <c r="E246" s="741"/>
      <c r="F246" s="741"/>
      <c r="G246" s="635" t="s">
        <v>2328</v>
      </c>
      <c r="H246" s="741"/>
      <c r="I246" s="741"/>
    </row>
    <row r="247" spans="1:11" s="739" customFormat="1">
      <c r="A247" s="736"/>
      <c r="B247" s="736"/>
      <c r="C247" s="736"/>
      <c r="D247" s="736" t="str">
        <f>D$52</f>
        <v>Forecast</v>
      </c>
      <c r="E247" s="736" t="str">
        <f t="shared" ref="E247:J247" si="47">E$52</f>
        <v>Corporate</v>
      </c>
      <c r="F247" s="736" t="str">
        <f t="shared" si="47"/>
        <v xml:space="preserve">Total </v>
      </c>
      <c r="G247" s="736" t="s">
        <v>215</v>
      </c>
      <c r="H247" s="736" t="str">
        <f t="shared" si="47"/>
        <v>Prior Period</v>
      </c>
      <c r="I247" s="736" t="str">
        <f t="shared" si="47"/>
        <v>Over Heads</v>
      </c>
      <c r="J247" s="736" t="str">
        <f t="shared" si="47"/>
        <v>Forecast</v>
      </c>
      <c r="K247" s="635" t="str">
        <f>K$52</f>
        <v>Forecast Period</v>
      </c>
    </row>
    <row r="248" spans="1:11" s="739" customFormat="1">
      <c r="A248" s="998" t="s">
        <v>360</v>
      </c>
      <c r="B248" s="698" t="s">
        <v>211</v>
      </c>
      <c r="C248" s="698" t="s">
        <v>212</v>
      </c>
      <c r="D248" s="734" t="str">
        <f>D$53</f>
        <v>Expenditures</v>
      </c>
      <c r="E248" s="734" t="str">
        <f t="shared" ref="E248:J248" si="48">E$53</f>
        <v>Overheads</v>
      </c>
      <c r="F248" s="734" t="str">
        <f t="shared" si="48"/>
        <v>CWIP Exp</v>
      </c>
      <c r="G248" s="734" t="s">
        <v>2311</v>
      </c>
      <c r="H248" s="734" t="str">
        <f t="shared" si="48"/>
        <v>CWIP Closed</v>
      </c>
      <c r="I248" s="734" t="str">
        <f t="shared" si="48"/>
        <v>Closed to PIS</v>
      </c>
      <c r="J248" s="734" t="str">
        <f t="shared" si="48"/>
        <v>Period CWIP</v>
      </c>
      <c r="K248" s="734" t="str">
        <f>K$53</f>
        <v>Incremental CWIP</v>
      </c>
    </row>
    <row r="249" spans="1:11" s="739" customFormat="1">
      <c r="A249" s="120">
        <f>A241+1</f>
        <v>185</v>
      </c>
      <c r="B249" s="699" t="s">
        <v>199</v>
      </c>
      <c r="C249" s="700">
        <v>2017</v>
      </c>
      <c r="D249" s="743" t="s">
        <v>86</v>
      </c>
      <c r="E249" s="743" t="s">
        <v>86</v>
      </c>
      <c r="F249" s="743" t="s">
        <v>86</v>
      </c>
      <c r="G249" s="743" t="s">
        <v>86</v>
      </c>
      <c r="H249" s="743" t="s">
        <v>86</v>
      </c>
      <c r="I249" s="743" t="s">
        <v>86</v>
      </c>
      <c r="J249" s="65">
        <f>D45</f>
        <v>0</v>
      </c>
      <c r="K249" s="743" t="s">
        <v>86</v>
      </c>
    </row>
    <row r="250" spans="1:11" s="739" customFormat="1">
      <c r="A250" s="120">
        <f>A249+1</f>
        <v>186</v>
      </c>
      <c r="B250" s="699" t="s">
        <v>200</v>
      </c>
      <c r="C250" s="700">
        <v>2018</v>
      </c>
      <c r="D250" s="1185">
        <v>10309</v>
      </c>
      <c r="E250" s="65">
        <f>D250*'16-PlantAdditions'!$E$103</f>
        <v>773.17499999999995</v>
      </c>
      <c r="F250" s="65">
        <f>E250+D250</f>
        <v>11082.174999999999</v>
      </c>
      <c r="G250" s="1185">
        <v>10309</v>
      </c>
      <c r="H250" s="1185">
        <v>0</v>
      </c>
      <c r="I250" s="65">
        <f>(G250-H250)*'16-PlantAdditions'!$E$103</f>
        <v>773.17499999999995</v>
      </c>
      <c r="J250" s="65">
        <f>J249+F250-G250-I250</f>
        <v>0</v>
      </c>
      <c r="K250" s="65">
        <f>J250-$J$249</f>
        <v>0</v>
      </c>
    </row>
    <row r="251" spans="1:11" s="739" customFormat="1">
      <c r="A251" s="120">
        <f t="shared" ref="A251:A274" si="49">A250+1</f>
        <v>187</v>
      </c>
      <c r="B251" s="702" t="s">
        <v>201</v>
      </c>
      <c r="C251" s="700">
        <v>2018</v>
      </c>
      <c r="D251" s="1185">
        <v>6204</v>
      </c>
      <c r="E251" s="65">
        <f>D251*'16-PlantAdditions'!$E$103</f>
        <v>465.29999999999995</v>
      </c>
      <c r="F251" s="65">
        <f t="shared" ref="F251:F270" si="50">E251+D251</f>
        <v>6669.3</v>
      </c>
      <c r="G251" s="1185">
        <v>6204</v>
      </c>
      <c r="H251" s="1185">
        <v>0</v>
      </c>
      <c r="I251" s="65">
        <f>(G251-H251)*'16-PlantAdditions'!$E$103</f>
        <v>465.29999999999995</v>
      </c>
      <c r="J251" s="65">
        <f t="shared" ref="J251:J270" si="51">J250+F251-G251-I251</f>
        <v>0</v>
      </c>
      <c r="K251" s="65">
        <f t="shared" ref="K251:K273" si="52">J251-$J$249</f>
        <v>0</v>
      </c>
    </row>
    <row r="252" spans="1:11" s="739" customFormat="1">
      <c r="A252" s="120">
        <f t="shared" si="49"/>
        <v>188</v>
      </c>
      <c r="B252" s="702" t="s">
        <v>214</v>
      </c>
      <c r="C252" s="700">
        <v>2018</v>
      </c>
      <c r="D252" s="1185">
        <v>6687</v>
      </c>
      <c r="E252" s="65">
        <f>D252*'16-PlantAdditions'!$E$103</f>
        <v>501.52499999999998</v>
      </c>
      <c r="F252" s="65">
        <f t="shared" si="50"/>
        <v>7188.5249999999996</v>
      </c>
      <c r="G252" s="1185">
        <v>6687</v>
      </c>
      <c r="H252" s="1185">
        <v>0</v>
      </c>
      <c r="I252" s="65">
        <f>(G252-H252)*'16-PlantAdditions'!$E$103</f>
        <v>501.52499999999998</v>
      </c>
      <c r="J252" s="65">
        <f t="shared" si="51"/>
        <v>0</v>
      </c>
      <c r="K252" s="65">
        <f t="shared" si="52"/>
        <v>0</v>
      </c>
    </row>
    <row r="253" spans="1:11" s="739" customFormat="1">
      <c r="A253" s="120">
        <f t="shared" si="49"/>
        <v>189</v>
      </c>
      <c r="B253" s="699" t="s">
        <v>202</v>
      </c>
      <c r="C253" s="700">
        <v>2018</v>
      </c>
      <c r="D253" s="1185">
        <v>0</v>
      </c>
      <c r="E253" s="65">
        <f>D253*'16-PlantAdditions'!$E$103</f>
        <v>0</v>
      </c>
      <c r="F253" s="65">
        <f t="shared" si="50"/>
        <v>0</v>
      </c>
      <c r="G253" s="1185">
        <v>0</v>
      </c>
      <c r="H253" s="1185">
        <v>0</v>
      </c>
      <c r="I253" s="65">
        <f>(G253-H253)*'16-PlantAdditions'!$E$103</f>
        <v>0</v>
      </c>
      <c r="J253" s="65">
        <f t="shared" si="51"/>
        <v>0</v>
      </c>
      <c r="K253" s="65">
        <f t="shared" si="52"/>
        <v>0</v>
      </c>
    </row>
    <row r="254" spans="1:11" s="739" customFormat="1">
      <c r="A254" s="120">
        <f t="shared" si="49"/>
        <v>190</v>
      </c>
      <c r="B254" s="702" t="s">
        <v>203</v>
      </c>
      <c r="C254" s="700">
        <v>2018</v>
      </c>
      <c r="D254" s="1185">
        <v>0</v>
      </c>
      <c r="E254" s="65">
        <f>D254*'16-PlantAdditions'!$E$103</f>
        <v>0</v>
      </c>
      <c r="F254" s="65">
        <f t="shared" si="50"/>
        <v>0</v>
      </c>
      <c r="G254" s="1185">
        <v>0</v>
      </c>
      <c r="H254" s="1185">
        <v>0</v>
      </c>
      <c r="I254" s="65">
        <f>(G254-H254)*'16-PlantAdditions'!$E$103</f>
        <v>0</v>
      </c>
      <c r="J254" s="65">
        <f t="shared" si="51"/>
        <v>0</v>
      </c>
      <c r="K254" s="65">
        <f t="shared" si="52"/>
        <v>0</v>
      </c>
    </row>
    <row r="255" spans="1:11" s="739" customFormat="1">
      <c r="A255" s="120">
        <f t="shared" si="49"/>
        <v>191</v>
      </c>
      <c r="B255" s="702" t="s">
        <v>1650</v>
      </c>
      <c r="C255" s="700">
        <v>2018</v>
      </c>
      <c r="D255" s="1185">
        <v>0</v>
      </c>
      <c r="E255" s="65">
        <f>D255*'16-PlantAdditions'!$E$103</f>
        <v>0</v>
      </c>
      <c r="F255" s="65">
        <f t="shared" si="50"/>
        <v>0</v>
      </c>
      <c r="G255" s="1185">
        <v>0</v>
      </c>
      <c r="H255" s="1185">
        <v>0</v>
      </c>
      <c r="I255" s="65">
        <f>(G255-H255)*'16-PlantAdditions'!$E$103</f>
        <v>0</v>
      </c>
      <c r="J255" s="65">
        <f t="shared" si="51"/>
        <v>0</v>
      </c>
      <c r="K255" s="65">
        <f t="shared" si="52"/>
        <v>0</v>
      </c>
    </row>
    <row r="256" spans="1:11" s="739" customFormat="1">
      <c r="A256" s="120">
        <f t="shared" si="49"/>
        <v>192</v>
      </c>
      <c r="B256" s="699" t="s">
        <v>205</v>
      </c>
      <c r="C256" s="700">
        <v>2018</v>
      </c>
      <c r="D256" s="1185">
        <v>0</v>
      </c>
      <c r="E256" s="65">
        <f>D256*'16-PlantAdditions'!$E$103</f>
        <v>0</v>
      </c>
      <c r="F256" s="65">
        <f t="shared" si="50"/>
        <v>0</v>
      </c>
      <c r="G256" s="1185">
        <v>0</v>
      </c>
      <c r="H256" s="1185">
        <v>0</v>
      </c>
      <c r="I256" s="65">
        <f>(G256-H256)*'16-PlantAdditions'!$E$103</f>
        <v>0</v>
      </c>
      <c r="J256" s="65">
        <f t="shared" si="51"/>
        <v>0</v>
      </c>
      <c r="K256" s="65">
        <f t="shared" si="52"/>
        <v>0</v>
      </c>
    </row>
    <row r="257" spans="1:11" s="739" customFormat="1">
      <c r="A257" s="120">
        <f t="shared" si="49"/>
        <v>193</v>
      </c>
      <c r="B257" s="702" t="s">
        <v>206</v>
      </c>
      <c r="C257" s="700">
        <v>2018</v>
      </c>
      <c r="D257" s="1185">
        <v>0</v>
      </c>
      <c r="E257" s="65">
        <f>D257*'16-PlantAdditions'!$E$103</f>
        <v>0</v>
      </c>
      <c r="F257" s="65">
        <f t="shared" si="50"/>
        <v>0</v>
      </c>
      <c r="G257" s="1185">
        <v>0</v>
      </c>
      <c r="H257" s="1185">
        <v>0</v>
      </c>
      <c r="I257" s="65">
        <f>(G257-H257)*'16-PlantAdditions'!$E$103</f>
        <v>0</v>
      </c>
      <c r="J257" s="65">
        <f t="shared" si="51"/>
        <v>0</v>
      </c>
      <c r="K257" s="65">
        <f t="shared" si="52"/>
        <v>0</v>
      </c>
    </row>
    <row r="258" spans="1:11" s="739" customFormat="1">
      <c r="A258" s="120">
        <f t="shared" si="49"/>
        <v>194</v>
      </c>
      <c r="B258" s="702" t="s">
        <v>207</v>
      </c>
      <c r="C258" s="700">
        <v>2018</v>
      </c>
      <c r="D258" s="1185">
        <v>0</v>
      </c>
      <c r="E258" s="65">
        <f>D258*'16-PlantAdditions'!$E$103</f>
        <v>0</v>
      </c>
      <c r="F258" s="65">
        <f t="shared" si="50"/>
        <v>0</v>
      </c>
      <c r="G258" s="1185">
        <v>0</v>
      </c>
      <c r="H258" s="1185">
        <v>0</v>
      </c>
      <c r="I258" s="65">
        <f>(G258-H258)*'16-PlantAdditions'!$E$103</f>
        <v>0</v>
      </c>
      <c r="J258" s="65">
        <f t="shared" si="51"/>
        <v>0</v>
      </c>
      <c r="K258" s="65">
        <f t="shared" si="52"/>
        <v>0</v>
      </c>
    </row>
    <row r="259" spans="1:11" s="739" customFormat="1">
      <c r="A259" s="120">
        <f t="shared" si="49"/>
        <v>195</v>
      </c>
      <c r="B259" s="699" t="s">
        <v>210</v>
      </c>
      <c r="C259" s="700">
        <v>2018</v>
      </c>
      <c r="D259" s="1185">
        <v>0</v>
      </c>
      <c r="E259" s="65">
        <f>D259*'16-PlantAdditions'!$E$103</f>
        <v>0</v>
      </c>
      <c r="F259" s="65">
        <f t="shared" si="50"/>
        <v>0</v>
      </c>
      <c r="G259" s="1185">
        <v>0</v>
      </c>
      <c r="H259" s="1185">
        <v>0</v>
      </c>
      <c r="I259" s="65">
        <f>(G259-H259)*'16-PlantAdditions'!$E$103</f>
        <v>0</v>
      </c>
      <c r="J259" s="65">
        <f t="shared" si="51"/>
        <v>0</v>
      </c>
      <c r="K259" s="65">
        <f t="shared" si="52"/>
        <v>0</v>
      </c>
    </row>
    <row r="260" spans="1:11" s="739" customFormat="1">
      <c r="A260" s="120">
        <f t="shared" si="49"/>
        <v>196</v>
      </c>
      <c r="B260" s="699" t="s">
        <v>209</v>
      </c>
      <c r="C260" s="700">
        <v>2018</v>
      </c>
      <c r="D260" s="1185">
        <v>0</v>
      </c>
      <c r="E260" s="65">
        <f>D260*'16-PlantAdditions'!$E$103</f>
        <v>0</v>
      </c>
      <c r="F260" s="65">
        <f t="shared" si="50"/>
        <v>0</v>
      </c>
      <c r="G260" s="1185">
        <v>0</v>
      </c>
      <c r="H260" s="1185">
        <v>0</v>
      </c>
      <c r="I260" s="65">
        <f>(G260-H260)*'16-PlantAdditions'!$E$103</f>
        <v>0</v>
      </c>
      <c r="J260" s="65">
        <f t="shared" si="51"/>
        <v>0</v>
      </c>
      <c r="K260" s="65">
        <f t="shared" si="52"/>
        <v>0</v>
      </c>
    </row>
    <row r="261" spans="1:11" s="739" customFormat="1">
      <c r="A261" s="120">
        <f t="shared" si="49"/>
        <v>197</v>
      </c>
      <c r="B261" s="699" t="s">
        <v>199</v>
      </c>
      <c r="C261" s="700">
        <v>2018</v>
      </c>
      <c r="D261" s="1185">
        <v>0</v>
      </c>
      <c r="E261" s="65">
        <f>D261*'16-PlantAdditions'!$E$103</f>
        <v>0</v>
      </c>
      <c r="F261" s="65">
        <f t="shared" si="50"/>
        <v>0</v>
      </c>
      <c r="G261" s="1185">
        <v>0</v>
      </c>
      <c r="H261" s="1185">
        <v>0</v>
      </c>
      <c r="I261" s="65">
        <f>(G261-H261)*'16-PlantAdditions'!$E$103</f>
        <v>0</v>
      </c>
      <c r="J261" s="65">
        <f t="shared" si="51"/>
        <v>0</v>
      </c>
      <c r="K261" s="65">
        <f t="shared" si="52"/>
        <v>0</v>
      </c>
    </row>
    <row r="262" spans="1:11" s="739" customFormat="1">
      <c r="A262" s="120">
        <f t="shared" si="49"/>
        <v>198</v>
      </c>
      <c r="B262" s="699" t="s">
        <v>200</v>
      </c>
      <c r="C262" s="700">
        <v>2019</v>
      </c>
      <c r="D262" s="1185">
        <v>0</v>
      </c>
      <c r="E262" s="65">
        <f>D262*'16-PlantAdditions'!$E$103</f>
        <v>0</v>
      </c>
      <c r="F262" s="65">
        <f t="shared" si="50"/>
        <v>0</v>
      </c>
      <c r="G262" s="1185">
        <v>0</v>
      </c>
      <c r="H262" s="1185">
        <v>0</v>
      </c>
      <c r="I262" s="65">
        <f>(G262-H262)*'16-PlantAdditions'!$E$103</f>
        <v>0</v>
      </c>
      <c r="J262" s="65">
        <f t="shared" si="51"/>
        <v>0</v>
      </c>
      <c r="K262" s="65">
        <f t="shared" si="52"/>
        <v>0</v>
      </c>
    </row>
    <row r="263" spans="1:11" s="739" customFormat="1">
      <c r="A263" s="120">
        <f t="shared" si="49"/>
        <v>199</v>
      </c>
      <c r="B263" s="702" t="s">
        <v>201</v>
      </c>
      <c r="C263" s="700">
        <v>2019</v>
      </c>
      <c r="D263" s="1185">
        <v>0</v>
      </c>
      <c r="E263" s="65">
        <f>D263*'16-PlantAdditions'!$E$103</f>
        <v>0</v>
      </c>
      <c r="F263" s="65">
        <f t="shared" si="50"/>
        <v>0</v>
      </c>
      <c r="G263" s="1185">
        <v>0</v>
      </c>
      <c r="H263" s="1185">
        <v>0</v>
      </c>
      <c r="I263" s="65">
        <f>(G263-H263)*'16-PlantAdditions'!$E$103</f>
        <v>0</v>
      </c>
      <c r="J263" s="65">
        <f t="shared" si="51"/>
        <v>0</v>
      </c>
      <c r="K263" s="65">
        <f t="shared" si="52"/>
        <v>0</v>
      </c>
    </row>
    <row r="264" spans="1:11" s="739" customFormat="1">
      <c r="A264" s="120">
        <f t="shared" si="49"/>
        <v>200</v>
      </c>
      <c r="B264" s="702" t="s">
        <v>214</v>
      </c>
      <c r="C264" s="700">
        <v>2019</v>
      </c>
      <c r="D264" s="1185">
        <v>0</v>
      </c>
      <c r="E264" s="65">
        <f>D264*'16-PlantAdditions'!$E$103</f>
        <v>0</v>
      </c>
      <c r="F264" s="65">
        <f t="shared" si="50"/>
        <v>0</v>
      </c>
      <c r="G264" s="1185">
        <v>0</v>
      </c>
      <c r="H264" s="1185">
        <v>0</v>
      </c>
      <c r="I264" s="65">
        <f>(G264-H264)*'16-PlantAdditions'!$E$103</f>
        <v>0</v>
      </c>
      <c r="J264" s="65">
        <f t="shared" si="51"/>
        <v>0</v>
      </c>
      <c r="K264" s="65">
        <f t="shared" si="52"/>
        <v>0</v>
      </c>
    </row>
    <row r="265" spans="1:11" s="739" customFormat="1">
      <c r="A265" s="120">
        <f t="shared" si="49"/>
        <v>201</v>
      </c>
      <c r="B265" s="699" t="s">
        <v>202</v>
      </c>
      <c r="C265" s="700">
        <v>2019</v>
      </c>
      <c r="D265" s="1185">
        <v>0</v>
      </c>
      <c r="E265" s="65">
        <f>D265*'16-PlantAdditions'!$E$103</f>
        <v>0</v>
      </c>
      <c r="F265" s="65">
        <f t="shared" si="50"/>
        <v>0</v>
      </c>
      <c r="G265" s="1185">
        <v>0</v>
      </c>
      <c r="H265" s="1185">
        <v>0</v>
      </c>
      <c r="I265" s="65">
        <f>(G265-H265)*'16-PlantAdditions'!$E$103</f>
        <v>0</v>
      </c>
      <c r="J265" s="65">
        <f t="shared" si="51"/>
        <v>0</v>
      </c>
      <c r="K265" s="65">
        <f t="shared" si="52"/>
        <v>0</v>
      </c>
    </row>
    <row r="266" spans="1:11" s="739" customFormat="1">
      <c r="A266" s="120">
        <f t="shared" si="49"/>
        <v>202</v>
      </c>
      <c r="B266" s="702" t="s">
        <v>203</v>
      </c>
      <c r="C266" s="700">
        <v>2019</v>
      </c>
      <c r="D266" s="1185">
        <v>0</v>
      </c>
      <c r="E266" s="65">
        <f>D266*'16-PlantAdditions'!$E$103</f>
        <v>0</v>
      </c>
      <c r="F266" s="65">
        <f t="shared" si="50"/>
        <v>0</v>
      </c>
      <c r="G266" s="1185">
        <v>0</v>
      </c>
      <c r="H266" s="1185">
        <v>0</v>
      </c>
      <c r="I266" s="65">
        <f>(G266-H266)*'16-PlantAdditions'!$E$103</f>
        <v>0</v>
      </c>
      <c r="J266" s="65">
        <f t="shared" si="51"/>
        <v>0</v>
      </c>
      <c r="K266" s="65">
        <f t="shared" si="52"/>
        <v>0</v>
      </c>
    </row>
    <row r="267" spans="1:11" s="739" customFormat="1">
      <c r="A267" s="120">
        <f t="shared" si="49"/>
        <v>203</v>
      </c>
      <c r="B267" s="702" t="s">
        <v>1650</v>
      </c>
      <c r="C267" s="700">
        <v>2019</v>
      </c>
      <c r="D267" s="1185">
        <v>0</v>
      </c>
      <c r="E267" s="65">
        <f>D267*'16-PlantAdditions'!$E$103</f>
        <v>0</v>
      </c>
      <c r="F267" s="65">
        <f t="shared" si="50"/>
        <v>0</v>
      </c>
      <c r="G267" s="1185">
        <v>0</v>
      </c>
      <c r="H267" s="1185">
        <v>0</v>
      </c>
      <c r="I267" s="65">
        <f>(G267-H267)*'16-PlantAdditions'!$E$103</f>
        <v>0</v>
      </c>
      <c r="J267" s="65">
        <f t="shared" si="51"/>
        <v>0</v>
      </c>
      <c r="K267" s="65">
        <f t="shared" si="52"/>
        <v>0</v>
      </c>
    </row>
    <row r="268" spans="1:11" s="739" customFormat="1">
      <c r="A268" s="120">
        <f t="shared" si="49"/>
        <v>204</v>
      </c>
      <c r="B268" s="699" t="s">
        <v>205</v>
      </c>
      <c r="C268" s="700">
        <v>2019</v>
      </c>
      <c r="D268" s="1185">
        <v>0</v>
      </c>
      <c r="E268" s="65">
        <f>D268*'16-PlantAdditions'!$E$103</f>
        <v>0</v>
      </c>
      <c r="F268" s="65">
        <f t="shared" si="50"/>
        <v>0</v>
      </c>
      <c r="G268" s="1185">
        <v>0</v>
      </c>
      <c r="H268" s="1185">
        <v>0</v>
      </c>
      <c r="I268" s="65">
        <f>(G268-H268)*'16-PlantAdditions'!$E$103</f>
        <v>0</v>
      </c>
      <c r="J268" s="65">
        <f t="shared" si="51"/>
        <v>0</v>
      </c>
      <c r="K268" s="65">
        <f t="shared" si="52"/>
        <v>0</v>
      </c>
    </row>
    <row r="269" spans="1:11" s="739" customFormat="1">
      <c r="A269" s="120">
        <f t="shared" si="49"/>
        <v>205</v>
      </c>
      <c r="B269" s="702" t="s">
        <v>206</v>
      </c>
      <c r="C269" s="700">
        <v>2019</v>
      </c>
      <c r="D269" s="1185">
        <v>0</v>
      </c>
      <c r="E269" s="65">
        <f>D269*'16-PlantAdditions'!$E$103</f>
        <v>0</v>
      </c>
      <c r="F269" s="65">
        <f t="shared" si="50"/>
        <v>0</v>
      </c>
      <c r="G269" s="1185">
        <v>0</v>
      </c>
      <c r="H269" s="1185">
        <v>0</v>
      </c>
      <c r="I269" s="65">
        <f>(G269-H269)*'16-PlantAdditions'!$E$103</f>
        <v>0</v>
      </c>
      <c r="J269" s="65">
        <f t="shared" si="51"/>
        <v>0</v>
      </c>
      <c r="K269" s="65">
        <f t="shared" si="52"/>
        <v>0</v>
      </c>
    </row>
    <row r="270" spans="1:11" s="739" customFormat="1">
      <c r="A270" s="120">
        <f t="shared" si="49"/>
        <v>206</v>
      </c>
      <c r="B270" s="702" t="s">
        <v>207</v>
      </c>
      <c r="C270" s="700">
        <v>2019</v>
      </c>
      <c r="D270" s="1185">
        <v>0</v>
      </c>
      <c r="E270" s="65">
        <f>D270*'16-PlantAdditions'!$E$103</f>
        <v>0</v>
      </c>
      <c r="F270" s="65">
        <f t="shared" si="50"/>
        <v>0</v>
      </c>
      <c r="G270" s="1185">
        <v>0</v>
      </c>
      <c r="H270" s="1185">
        <v>0</v>
      </c>
      <c r="I270" s="65">
        <f>(G270-H270)*'16-PlantAdditions'!$E$103</f>
        <v>0</v>
      </c>
      <c r="J270" s="65">
        <f t="shared" si="51"/>
        <v>0</v>
      </c>
      <c r="K270" s="65">
        <f t="shared" si="52"/>
        <v>0</v>
      </c>
    </row>
    <row r="271" spans="1:11" s="739" customFormat="1">
      <c r="A271" s="120">
        <f t="shared" si="49"/>
        <v>207</v>
      </c>
      <c r="B271" s="702" t="s">
        <v>210</v>
      </c>
      <c r="C271" s="700">
        <v>2019</v>
      </c>
      <c r="D271" s="1185">
        <v>0</v>
      </c>
      <c r="E271" s="65">
        <f>D271*'16-PlantAdditions'!$E$103</f>
        <v>0</v>
      </c>
      <c r="F271" s="65">
        <f t="shared" ref="F271:F273" si="53">E271+D271</f>
        <v>0</v>
      </c>
      <c r="G271" s="1185">
        <v>0</v>
      </c>
      <c r="H271" s="1185">
        <v>0</v>
      </c>
      <c r="I271" s="65">
        <f>(G271-H271)*'16-PlantAdditions'!$E$103</f>
        <v>0</v>
      </c>
      <c r="J271" s="65">
        <f t="shared" ref="J271:J273" si="54">J270+F271-G271-I271</f>
        <v>0</v>
      </c>
      <c r="K271" s="65">
        <f t="shared" si="52"/>
        <v>0</v>
      </c>
    </row>
    <row r="272" spans="1:11" s="739" customFormat="1">
      <c r="A272" s="120">
        <f t="shared" si="49"/>
        <v>208</v>
      </c>
      <c r="B272" s="702" t="s">
        <v>209</v>
      </c>
      <c r="C272" s="700">
        <v>2019</v>
      </c>
      <c r="D272" s="1185">
        <v>0</v>
      </c>
      <c r="E272" s="65">
        <f>D272*'16-PlantAdditions'!$E$103</f>
        <v>0</v>
      </c>
      <c r="F272" s="65">
        <f t="shared" si="53"/>
        <v>0</v>
      </c>
      <c r="G272" s="1185">
        <v>0</v>
      </c>
      <c r="H272" s="1185">
        <v>0</v>
      </c>
      <c r="I272" s="65">
        <f>(G272-H272)*'16-PlantAdditions'!$E$103</f>
        <v>0</v>
      </c>
      <c r="J272" s="65">
        <f t="shared" si="54"/>
        <v>0</v>
      </c>
      <c r="K272" s="65">
        <f t="shared" si="52"/>
        <v>0</v>
      </c>
    </row>
    <row r="273" spans="1:13" s="739" customFormat="1">
      <c r="A273" s="120">
        <f t="shared" si="49"/>
        <v>209</v>
      </c>
      <c r="B273" s="702" t="s">
        <v>199</v>
      </c>
      <c r="C273" s="700">
        <v>2019</v>
      </c>
      <c r="D273" s="1185">
        <v>0</v>
      </c>
      <c r="E273" s="65">
        <f>D273*'16-PlantAdditions'!$E$103</f>
        <v>0</v>
      </c>
      <c r="F273" s="65">
        <f t="shared" si="53"/>
        <v>0</v>
      </c>
      <c r="G273" s="1185">
        <v>0</v>
      </c>
      <c r="H273" s="1185">
        <v>0</v>
      </c>
      <c r="I273" s="65">
        <f>(G273-H273)*'16-PlantAdditions'!$E$103</f>
        <v>0</v>
      </c>
      <c r="J273" s="65">
        <f t="shared" si="54"/>
        <v>0</v>
      </c>
      <c r="K273" s="121">
        <f t="shared" si="52"/>
        <v>0</v>
      </c>
    </row>
    <row r="274" spans="1:13" s="739" customFormat="1">
      <c r="A274" s="120">
        <f t="shared" si="49"/>
        <v>210</v>
      </c>
      <c r="B274"/>
      <c r="C274" s="738" t="s">
        <v>1821</v>
      </c>
      <c r="D274"/>
      <c r="E274"/>
      <c r="F274"/>
      <c r="G274"/>
      <c r="H274"/>
      <c r="I274"/>
      <c r="J274"/>
      <c r="K274" s="80">
        <f>AVERAGE(K261:K273)</f>
        <v>0</v>
      </c>
    </row>
    <row r="275" spans="1:13" s="739" customFormat="1" ht="12.75" customHeight="1">
      <c r="A275" s="120"/>
      <c r="B275"/>
      <c r="C275" s="738"/>
      <c r="D275"/>
      <c r="E275"/>
      <c r="F275"/>
      <c r="G275"/>
      <c r="H275"/>
      <c r="I275"/>
      <c r="J275"/>
      <c r="K275" s="80"/>
    </row>
    <row r="276" spans="1:13" s="739" customFormat="1">
      <c r="B276" s="740" t="s">
        <v>2329</v>
      </c>
      <c r="D276" s="1394" t="s">
        <v>2330</v>
      </c>
      <c r="E276" s="1394"/>
    </row>
    <row r="277" spans="1:13" s="739" customFormat="1">
      <c r="D277" s="741"/>
      <c r="E277" s="742"/>
      <c r="F277" s="743"/>
      <c r="G277" s="736" t="str">
        <f>G51</f>
        <v>Unloaded</v>
      </c>
      <c r="H277" s="741"/>
      <c r="I277" s="742"/>
      <c r="J277" s="742"/>
      <c r="K277" s="742"/>
    </row>
    <row r="278" spans="1:13" s="739" customFormat="1">
      <c r="A278" s="736"/>
      <c r="B278" s="736"/>
      <c r="C278" s="736"/>
      <c r="D278" s="736" t="str">
        <f>D$52</f>
        <v>Forecast</v>
      </c>
      <c r="E278" s="736" t="str">
        <f t="shared" ref="E278:J278" si="55">E$52</f>
        <v>Corporate</v>
      </c>
      <c r="F278" s="736" t="str">
        <f t="shared" si="55"/>
        <v xml:space="preserve">Total </v>
      </c>
      <c r="G278" s="736" t="str">
        <f>G52</f>
        <v>Total</v>
      </c>
      <c r="H278" s="736" t="str">
        <f t="shared" si="55"/>
        <v>Prior Period</v>
      </c>
      <c r="I278" s="736" t="str">
        <f t="shared" si="55"/>
        <v>Over Heads</v>
      </c>
      <c r="J278" s="736" t="str">
        <f t="shared" si="55"/>
        <v>Forecast</v>
      </c>
      <c r="K278" s="635" t="str">
        <f>K$52</f>
        <v>Forecast Period</v>
      </c>
    </row>
    <row r="279" spans="1:13" s="739" customFormat="1">
      <c r="A279" s="998" t="s">
        <v>360</v>
      </c>
      <c r="B279" s="698" t="s">
        <v>211</v>
      </c>
      <c r="C279" s="698" t="s">
        <v>212</v>
      </c>
      <c r="D279" s="734" t="str">
        <f>D$53</f>
        <v>Expenditures</v>
      </c>
      <c r="E279" s="734" t="str">
        <f t="shared" ref="E279:J279" si="56">E$53</f>
        <v>Overheads</v>
      </c>
      <c r="F279" s="734" t="str">
        <f t="shared" si="56"/>
        <v>CWIP Exp</v>
      </c>
      <c r="G279" s="734" t="str">
        <f>G53</f>
        <v>Plant Adds</v>
      </c>
      <c r="H279" s="734" t="str">
        <f t="shared" si="56"/>
        <v>CWIP Closed</v>
      </c>
      <c r="I279" s="734" t="str">
        <f t="shared" si="56"/>
        <v>Closed to PIS</v>
      </c>
      <c r="J279" s="734" t="str">
        <f t="shared" si="56"/>
        <v>Period CWIP</v>
      </c>
      <c r="K279" s="734" t="str">
        <f>K$53</f>
        <v>Incremental CWIP</v>
      </c>
    </row>
    <row r="280" spans="1:13" s="739" customFormat="1">
      <c r="A280" s="120">
        <f>A274+1</f>
        <v>211</v>
      </c>
      <c r="B280" s="699" t="s">
        <v>199</v>
      </c>
      <c r="C280" s="700">
        <v>2017</v>
      </c>
      <c r="D280" s="743" t="s">
        <v>86</v>
      </c>
      <c r="E280" s="743" t="s">
        <v>86</v>
      </c>
      <c r="F280" s="743" t="s">
        <v>86</v>
      </c>
      <c r="G280" s="743" t="s">
        <v>86</v>
      </c>
      <c r="H280" s="743" t="s">
        <v>86</v>
      </c>
      <c r="I280" s="743" t="s">
        <v>86</v>
      </c>
      <c r="J280" s="65">
        <f>E45</f>
        <v>0</v>
      </c>
      <c r="K280" s="743" t="s">
        <v>86</v>
      </c>
    </row>
    <row r="281" spans="1:13" s="739" customFormat="1">
      <c r="A281" s="120">
        <f>A280+1</f>
        <v>212</v>
      </c>
      <c r="B281" s="699" t="s">
        <v>200</v>
      </c>
      <c r="C281" s="700">
        <v>2018</v>
      </c>
      <c r="D281" s="1185">
        <v>728</v>
      </c>
      <c r="E281" s="65">
        <f>D281*'16-PlantAdditions'!$E$103</f>
        <v>54.6</v>
      </c>
      <c r="F281" s="65">
        <f>E281+D281</f>
        <v>782.6</v>
      </c>
      <c r="G281" s="1185">
        <v>728</v>
      </c>
      <c r="H281" s="1185">
        <v>0</v>
      </c>
      <c r="I281" s="65">
        <f>(G281-H281)*'16-PlantAdditions'!$E$103</f>
        <v>54.6</v>
      </c>
      <c r="J281" s="65">
        <f>J280+F281-G281-I281</f>
        <v>0</v>
      </c>
      <c r="K281" s="65">
        <f>J281-$J$280</f>
        <v>0</v>
      </c>
    </row>
    <row r="282" spans="1:13" s="739" customFormat="1">
      <c r="A282" s="120">
        <f t="shared" ref="A282:A305" si="57">A281+1</f>
        <v>213</v>
      </c>
      <c r="B282" s="702" t="s">
        <v>201</v>
      </c>
      <c r="C282" s="700">
        <v>2018</v>
      </c>
      <c r="D282" s="1185">
        <v>1158</v>
      </c>
      <c r="E282" s="65">
        <f>D282*'16-PlantAdditions'!$E$103</f>
        <v>86.85</v>
      </c>
      <c r="F282" s="65">
        <f t="shared" ref="F282:F301" si="58">E282+D282</f>
        <v>1244.8499999999999</v>
      </c>
      <c r="G282" s="1185">
        <v>1158</v>
      </c>
      <c r="H282" s="1185">
        <v>0</v>
      </c>
      <c r="I282" s="65">
        <f>(G282-H282)*'16-PlantAdditions'!$E$103</f>
        <v>86.85</v>
      </c>
      <c r="J282" s="65">
        <f t="shared" ref="J282:J301" si="59">J281+F282-G282-I282</f>
        <v>0</v>
      </c>
      <c r="K282" s="65">
        <f t="shared" ref="K282:K304" si="60">J282-$J$280</f>
        <v>0</v>
      </c>
    </row>
    <row r="283" spans="1:13" s="739" customFormat="1">
      <c r="A283" s="120">
        <f t="shared" si="57"/>
        <v>214</v>
      </c>
      <c r="B283" s="702" t="s">
        <v>214</v>
      </c>
      <c r="C283" s="700">
        <v>2018</v>
      </c>
      <c r="D283" s="1185">
        <v>780</v>
      </c>
      <c r="E283" s="65">
        <f>D283*'16-PlantAdditions'!$E$103</f>
        <v>58.5</v>
      </c>
      <c r="F283" s="65">
        <f t="shared" si="58"/>
        <v>838.5</v>
      </c>
      <c r="G283" s="1185">
        <v>780</v>
      </c>
      <c r="H283" s="1185">
        <v>0</v>
      </c>
      <c r="I283" s="65">
        <f>(G283-H283)*'16-PlantAdditions'!$E$103</f>
        <v>58.5</v>
      </c>
      <c r="J283" s="65">
        <f t="shared" si="59"/>
        <v>0</v>
      </c>
      <c r="K283" s="65">
        <f t="shared" si="60"/>
        <v>0</v>
      </c>
    </row>
    <row r="284" spans="1:13" s="739" customFormat="1">
      <c r="A284" s="120">
        <f t="shared" si="57"/>
        <v>215</v>
      </c>
      <c r="B284" s="699" t="s">
        <v>202</v>
      </c>
      <c r="C284" s="700">
        <v>2018</v>
      </c>
      <c r="D284" s="1185">
        <v>0</v>
      </c>
      <c r="E284" s="65">
        <f>D284*'16-PlantAdditions'!$E$103</f>
        <v>0</v>
      </c>
      <c r="F284" s="65">
        <f t="shared" si="58"/>
        <v>0</v>
      </c>
      <c r="G284" s="1185">
        <v>0</v>
      </c>
      <c r="H284" s="1185">
        <v>0</v>
      </c>
      <c r="I284" s="65">
        <f>(G284-H284)*'16-PlantAdditions'!$E$103</f>
        <v>0</v>
      </c>
      <c r="J284" s="65">
        <f t="shared" si="59"/>
        <v>0</v>
      </c>
      <c r="K284" s="65">
        <f t="shared" si="60"/>
        <v>0</v>
      </c>
    </row>
    <row r="285" spans="1:13" s="739" customFormat="1">
      <c r="A285" s="120">
        <f t="shared" si="57"/>
        <v>216</v>
      </c>
      <c r="B285" s="702" t="s">
        <v>203</v>
      </c>
      <c r="C285" s="700">
        <v>2018</v>
      </c>
      <c r="D285" s="1185">
        <v>0</v>
      </c>
      <c r="E285" s="65">
        <f>D285*'16-PlantAdditions'!$E$103</f>
        <v>0</v>
      </c>
      <c r="F285" s="65">
        <f t="shared" si="58"/>
        <v>0</v>
      </c>
      <c r="G285" s="1185">
        <v>0</v>
      </c>
      <c r="H285" s="1185">
        <v>0</v>
      </c>
      <c r="I285" s="65">
        <f>(G285-H285)*'16-PlantAdditions'!$E$103</f>
        <v>0</v>
      </c>
      <c r="J285" s="65">
        <f t="shared" si="59"/>
        <v>0</v>
      </c>
      <c r="K285" s="65">
        <f t="shared" si="60"/>
        <v>0</v>
      </c>
      <c r="L285" s="736"/>
      <c r="M285" s="736"/>
    </row>
    <row r="286" spans="1:13" s="739" customFormat="1">
      <c r="A286" s="120">
        <f t="shared" si="57"/>
        <v>217</v>
      </c>
      <c r="B286" s="702" t="s">
        <v>1650</v>
      </c>
      <c r="C286" s="700">
        <v>2018</v>
      </c>
      <c r="D286" s="1185">
        <v>334</v>
      </c>
      <c r="E286" s="65">
        <f>D286*'16-PlantAdditions'!$E$103</f>
        <v>25.05</v>
      </c>
      <c r="F286" s="65">
        <f t="shared" si="58"/>
        <v>359.05</v>
      </c>
      <c r="G286" s="1185">
        <v>334</v>
      </c>
      <c r="H286" s="1185">
        <v>0</v>
      </c>
      <c r="I286" s="65">
        <f>(G286-H286)*'16-PlantAdditions'!$E$103</f>
        <v>25.05</v>
      </c>
      <c r="J286" s="65">
        <f t="shared" si="59"/>
        <v>0</v>
      </c>
      <c r="K286" s="65">
        <f t="shared" si="60"/>
        <v>0</v>
      </c>
      <c r="L286" s="734"/>
      <c r="M286" s="734"/>
    </row>
    <row r="287" spans="1:13" s="739" customFormat="1">
      <c r="A287" s="120">
        <f t="shared" si="57"/>
        <v>218</v>
      </c>
      <c r="B287" s="699" t="s">
        <v>205</v>
      </c>
      <c r="C287" s="700">
        <v>2018</v>
      </c>
      <c r="D287" s="1185">
        <v>0</v>
      </c>
      <c r="E287" s="65">
        <f>D287*'16-PlantAdditions'!$E$103</f>
        <v>0</v>
      </c>
      <c r="F287" s="65">
        <f t="shared" si="58"/>
        <v>0</v>
      </c>
      <c r="G287" s="1185">
        <v>0</v>
      </c>
      <c r="H287" s="1185">
        <v>0</v>
      </c>
      <c r="I287" s="65">
        <f>(G287-H287)*'16-PlantAdditions'!$E$103</f>
        <v>0</v>
      </c>
      <c r="J287" s="65">
        <f t="shared" si="59"/>
        <v>0</v>
      </c>
      <c r="K287" s="65">
        <f t="shared" si="60"/>
        <v>0</v>
      </c>
    </row>
    <row r="288" spans="1:13" s="739" customFormat="1">
      <c r="A288" s="120">
        <f t="shared" si="57"/>
        <v>219</v>
      </c>
      <c r="B288" s="702" t="s">
        <v>206</v>
      </c>
      <c r="C288" s="700">
        <v>2018</v>
      </c>
      <c r="D288" s="1185">
        <v>0</v>
      </c>
      <c r="E288" s="65">
        <f>D288*'16-PlantAdditions'!$E$103</f>
        <v>0</v>
      </c>
      <c r="F288" s="65">
        <f t="shared" si="58"/>
        <v>0</v>
      </c>
      <c r="G288" s="1185">
        <v>0</v>
      </c>
      <c r="H288" s="1185">
        <v>0</v>
      </c>
      <c r="I288" s="65">
        <f>(G288-H288)*'16-PlantAdditions'!$E$103</f>
        <v>0</v>
      </c>
      <c r="J288" s="65">
        <f t="shared" si="59"/>
        <v>0</v>
      </c>
      <c r="K288" s="65">
        <f t="shared" si="60"/>
        <v>0</v>
      </c>
    </row>
    <row r="289" spans="1:11" s="739" customFormat="1">
      <c r="A289" s="120">
        <f t="shared" si="57"/>
        <v>220</v>
      </c>
      <c r="B289" s="702" t="s">
        <v>207</v>
      </c>
      <c r="C289" s="700">
        <v>2018</v>
      </c>
      <c r="D289" s="1185">
        <v>0</v>
      </c>
      <c r="E289" s="65">
        <f>D289*'16-PlantAdditions'!$E$103</f>
        <v>0</v>
      </c>
      <c r="F289" s="65">
        <f t="shared" si="58"/>
        <v>0</v>
      </c>
      <c r="G289" s="1185">
        <v>0</v>
      </c>
      <c r="H289" s="1185">
        <v>0</v>
      </c>
      <c r="I289" s="65">
        <f>(G289-H289)*'16-PlantAdditions'!$E$103</f>
        <v>0</v>
      </c>
      <c r="J289" s="65">
        <f t="shared" si="59"/>
        <v>0</v>
      </c>
      <c r="K289" s="65">
        <f t="shared" si="60"/>
        <v>0</v>
      </c>
    </row>
    <row r="290" spans="1:11" s="739" customFormat="1">
      <c r="A290" s="120">
        <f t="shared" si="57"/>
        <v>221</v>
      </c>
      <c r="B290" s="699" t="s">
        <v>210</v>
      </c>
      <c r="C290" s="700">
        <v>2018</v>
      </c>
      <c r="D290" s="1185">
        <v>0</v>
      </c>
      <c r="E290" s="65">
        <f>D290*'16-PlantAdditions'!$E$103</f>
        <v>0</v>
      </c>
      <c r="F290" s="65">
        <f t="shared" si="58"/>
        <v>0</v>
      </c>
      <c r="G290" s="1185">
        <v>0</v>
      </c>
      <c r="H290" s="1185">
        <v>0</v>
      </c>
      <c r="I290" s="65">
        <f>(G290-H290)*'16-PlantAdditions'!$E$103</f>
        <v>0</v>
      </c>
      <c r="J290" s="65">
        <f t="shared" si="59"/>
        <v>0</v>
      </c>
      <c r="K290" s="65">
        <f t="shared" si="60"/>
        <v>0</v>
      </c>
    </row>
    <row r="291" spans="1:11" s="739" customFormat="1">
      <c r="A291" s="120">
        <f t="shared" si="57"/>
        <v>222</v>
      </c>
      <c r="B291" s="699" t="s">
        <v>209</v>
      </c>
      <c r="C291" s="700">
        <v>2018</v>
      </c>
      <c r="D291" s="1185">
        <v>0</v>
      </c>
      <c r="E291" s="65">
        <f>D291*'16-PlantAdditions'!$E$103</f>
        <v>0</v>
      </c>
      <c r="F291" s="65">
        <f t="shared" si="58"/>
        <v>0</v>
      </c>
      <c r="G291" s="1185">
        <v>0</v>
      </c>
      <c r="H291" s="1185">
        <v>0</v>
      </c>
      <c r="I291" s="65">
        <f>(G291-H291)*'16-PlantAdditions'!$E$103</f>
        <v>0</v>
      </c>
      <c r="J291" s="65">
        <f t="shared" si="59"/>
        <v>0</v>
      </c>
      <c r="K291" s="65">
        <f t="shared" si="60"/>
        <v>0</v>
      </c>
    </row>
    <row r="292" spans="1:11" s="739" customFormat="1">
      <c r="A292" s="120">
        <f t="shared" si="57"/>
        <v>223</v>
      </c>
      <c r="B292" s="699" t="s">
        <v>199</v>
      </c>
      <c r="C292" s="700">
        <v>2018</v>
      </c>
      <c r="D292" s="1185">
        <v>0</v>
      </c>
      <c r="E292" s="65">
        <f>D292*'16-PlantAdditions'!$E$103</f>
        <v>0</v>
      </c>
      <c r="F292" s="65">
        <f t="shared" si="58"/>
        <v>0</v>
      </c>
      <c r="G292" s="1185">
        <v>0</v>
      </c>
      <c r="H292" s="1185">
        <v>0</v>
      </c>
      <c r="I292" s="65">
        <f>(G292-H292)*'16-PlantAdditions'!$E$103</f>
        <v>0</v>
      </c>
      <c r="J292" s="65">
        <f t="shared" si="59"/>
        <v>0</v>
      </c>
      <c r="K292" s="65">
        <f t="shared" si="60"/>
        <v>0</v>
      </c>
    </row>
    <row r="293" spans="1:11" s="739" customFormat="1">
      <c r="A293" s="120">
        <f t="shared" si="57"/>
        <v>224</v>
      </c>
      <c r="B293" s="699" t="s">
        <v>200</v>
      </c>
      <c r="C293" s="700">
        <v>2019</v>
      </c>
      <c r="D293" s="1185">
        <v>0</v>
      </c>
      <c r="E293" s="65">
        <f>D293*'16-PlantAdditions'!$E$103</f>
        <v>0</v>
      </c>
      <c r="F293" s="65">
        <f t="shared" si="58"/>
        <v>0</v>
      </c>
      <c r="G293" s="1185">
        <v>0</v>
      </c>
      <c r="H293" s="1185">
        <v>0</v>
      </c>
      <c r="I293" s="65">
        <f>(G293-H293)*'16-PlantAdditions'!$E$103</f>
        <v>0</v>
      </c>
      <c r="J293" s="65">
        <f t="shared" si="59"/>
        <v>0</v>
      </c>
      <c r="K293" s="65">
        <f t="shared" si="60"/>
        <v>0</v>
      </c>
    </row>
    <row r="294" spans="1:11" s="739" customFormat="1">
      <c r="A294" s="120">
        <f t="shared" si="57"/>
        <v>225</v>
      </c>
      <c r="B294" s="702" t="s">
        <v>201</v>
      </c>
      <c r="C294" s="700">
        <v>2019</v>
      </c>
      <c r="D294" s="1185">
        <v>0</v>
      </c>
      <c r="E294" s="65">
        <f>D294*'16-PlantAdditions'!$E$103</f>
        <v>0</v>
      </c>
      <c r="F294" s="65">
        <f t="shared" si="58"/>
        <v>0</v>
      </c>
      <c r="G294" s="1185">
        <v>0</v>
      </c>
      <c r="H294" s="1185">
        <v>0</v>
      </c>
      <c r="I294" s="65">
        <f>(G294-H294)*'16-PlantAdditions'!$E$103</f>
        <v>0</v>
      </c>
      <c r="J294" s="65">
        <f t="shared" si="59"/>
        <v>0</v>
      </c>
      <c r="K294" s="65">
        <f t="shared" si="60"/>
        <v>0</v>
      </c>
    </row>
    <row r="295" spans="1:11" s="739" customFormat="1">
      <c r="A295" s="120">
        <f t="shared" si="57"/>
        <v>226</v>
      </c>
      <c r="B295" s="702" t="s">
        <v>214</v>
      </c>
      <c r="C295" s="700">
        <v>2019</v>
      </c>
      <c r="D295" s="1185">
        <v>0</v>
      </c>
      <c r="E295" s="65">
        <f>D295*'16-PlantAdditions'!$E$103</f>
        <v>0</v>
      </c>
      <c r="F295" s="65">
        <f t="shared" si="58"/>
        <v>0</v>
      </c>
      <c r="G295" s="1185">
        <v>0</v>
      </c>
      <c r="H295" s="1185">
        <v>0</v>
      </c>
      <c r="I295" s="65">
        <f>(G295-H295)*'16-PlantAdditions'!$E$103</f>
        <v>0</v>
      </c>
      <c r="J295" s="65">
        <f t="shared" si="59"/>
        <v>0</v>
      </c>
      <c r="K295" s="65">
        <f t="shared" si="60"/>
        <v>0</v>
      </c>
    </row>
    <row r="296" spans="1:11" s="739" customFormat="1">
      <c r="A296" s="120">
        <f t="shared" si="57"/>
        <v>227</v>
      </c>
      <c r="B296" s="699" t="s">
        <v>202</v>
      </c>
      <c r="C296" s="700">
        <v>2019</v>
      </c>
      <c r="D296" s="1185">
        <v>0</v>
      </c>
      <c r="E296" s="65">
        <f>D296*'16-PlantAdditions'!$E$103</f>
        <v>0</v>
      </c>
      <c r="F296" s="65">
        <f t="shared" si="58"/>
        <v>0</v>
      </c>
      <c r="G296" s="1185">
        <v>0</v>
      </c>
      <c r="H296" s="1185">
        <v>0</v>
      </c>
      <c r="I296" s="65">
        <f>(G296-H296)*'16-PlantAdditions'!$E$103</f>
        <v>0</v>
      </c>
      <c r="J296" s="65">
        <f t="shared" si="59"/>
        <v>0</v>
      </c>
      <c r="K296" s="65">
        <f t="shared" si="60"/>
        <v>0</v>
      </c>
    </row>
    <row r="297" spans="1:11" s="739" customFormat="1">
      <c r="A297" s="120">
        <f t="shared" si="57"/>
        <v>228</v>
      </c>
      <c r="B297" s="702" t="s">
        <v>203</v>
      </c>
      <c r="C297" s="700">
        <v>2019</v>
      </c>
      <c r="D297" s="1185">
        <v>0</v>
      </c>
      <c r="E297" s="65">
        <f>D297*'16-PlantAdditions'!$E$103</f>
        <v>0</v>
      </c>
      <c r="F297" s="65">
        <f t="shared" si="58"/>
        <v>0</v>
      </c>
      <c r="G297" s="1185">
        <v>0</v>
      </c>
      <c r="H297" s="1185">
        <v>0</v>
      </c>
      <c r="I297" s="65">
        <f>(G297-H297)*'16-PlantAdditions'!$E$103</f>
        <v>0</v>
      </c>
      <c r="J297" s="65">
        <f t="shared" si="59"/>
        <v>0</v>
      </c>
      <c r="K297" s="65">
        <f t="shared" si="60"/>
        <v>0</v>
      </c>
    </row>
    <row r="298" spans="1:11" s="739" customFormat="1">
      <c r="A298" s="120">
        <f t="shared" si="57"/>
        <v>229</v>
      </c>
      <c r="B298" s="702" t="s">
        <v>1650</v>
      </c>
      <c r="C298" s="700">
        <v>2019</v>
      </c>
      <c r="D298" s="1185">
        <v>0</v>
      </c>
      <c r="E298" s="65">
        <f>D298*'16-PlantAdditions'!$E$103</f>
        <v>0</v>
      </c>
      <c r="F298" s="65">
        <f t="shared" si="58"/>
        <v>0</v>
      </c>
      <c r="G298" s="1185">
        <v>0</v>
      </c>
      <c r="H298" s="1185">
        <v>0</v>
      </c>
      <c r="I298" s="65">
        <f>(G298-H298)*'16-PlantAdditions'!$E$103</f>
        <v>0</v>
      </c>
      <c r="J298" s="65">
        <f t="shared" si="59"/>
        <v>0</v>
      </c>
      <c r="K298" s="65">
        <f t="shared" si="60"/>
        <v>0</v>
      </c>
    </row>
    <row r="299" spans="1:11" s="739" customFormat="1">
      <c r="A299" s="120">
        <f t="shared" si="57"/>
        <v>230</v>
      </c>
      <c r="B299" s="699" t="s">
        <v>205</v>
      </c>
      <c r="C299" s="700">
        <v>2019</v>
      </c>
      <c r="D299" s="1185">
        <v>0</v>
      </c>
      <c r="E299" s="65">
        <f>D299*'16-PlantAdditions'!$E$103</f>
        <v>0</v>
      </c>
      <c r="F299" s="65">
        <f t="shared" si="58"/>
        <v>0</v>
      </c>
      <c r="G299" s="1185">
        <v>0</v>
      </c>
      <c r="H299" s="1185">
        <v>0</v>
      </c>
      <c r="I299" s="65">
        <f>(G299-H299)*'16-PlantAdditions'!$E$103</f>
        <v>0</v>
      </c>
      <c r="J299" s="65">
        <f t="shared" si="59"/>
        <v>0</v>
      </c>
      <c r="K299" s="65">
        <f t="shared" si="60"/>
        <v>0</v>
      </c>
    </row>
    <row r="300" spans="1:11" s="739" customFormat="1">
      <c r="A300" s="120">
        <f t="shared" si="57"/>
        <v>231</v>
      </c>
      <c r="B300" s="702" t="s">
        <v>206</v>
      </c>
      <c r="C300" s="700">
        <v>2019</v>
      </c>
      <c r="D300" s="1185">
        <v>0</v>
      </c>
      <c r="E300" s="65">
        <f>D300*'16-PlantAdditions'!$E$103</f>
        <v>0</v>
      </c>
      <c r="F300" s="65">
        <f t="shared" si="58"/>
        <v>0</v>
      </c>
      <c r="G300" s="1185">
        <v>0</v>
      </c>
      <c r="H300" s="1185">
        <v>0</v>
      </c>
      <c r="I300" s="65">
        <f>(G300-H300)*'16-PlantAdditions'!$E$103</f>
        <v>0</v>
      </c>
      <c r="J300" s="65">
        <f t="shared" si="59"/>
        <v>0</v>
      </c>
      <c r="K300" s="65">
        <f t="shared" si="60"/>
        <v>0</v>
      </c>
    </row>
    <row r="301" spans="1:11" s="739" customFormat="1">
      <c r="A301" s="120">
        <f t="shared" si="57"/>
        <v>232</v>
      </c>
      <c r="B301" s="702" t="s">
        <v>207</v>
      </c>
      <c r="C301" s="700">
        <v>2019</v>
      </c>
      <c r="D301" s="1185">
        <v>0</v>
      </c>
      <c r="E301" s="65">
        <f>D301*'16-PlantAdditions'!$E$103</f>
        <v>0</v>
      </c>
      <c r="F301" s="65">
        <f t="shared" si="58"/>
        <v>0</v>
      </c>
      <c r="G301" s="1185">
        <v>0</v>
      </c>
      <c r="H301" s="1185">
        <v>0</v>
      </c>
      <c r="I301" s="65">
        <f>(G301-H301)*'16-PlantAdditions'!$E$103</f>
        <v>0</v>
      </c>
      <c r="J301" s="65">
        <f t="shared" si="59"/>
        <v>0</v>
      </c>
      <c r="K301" s="65">
        <f t="shared" si="60"/>
        <v>0</v>
      </c>
    </row>
    <row r="302" spans="1:11" s="739" customFormat="1">
      <c r="A302" s="120">
        <f t="shared" si="57"/>
        <v>233</v>
      </c>
      <c r="B302" s="702" t="s">
        <v>210</v>
      </c>
      <c r="C302" s="700">
        <v>2019</v>
      </c>
      <c r="D302" s="1185">
        <v>0</v>
      </c>
      <c r="E302" s="65">
        <f>D302*'16-PlantAdditions'!$E$103</f>
        <v>0</v>
      </c>
      <c r="F302" s="65">
        <f t="shared" ref="F302:F304" si="61">E302+D302</f>
        <v>0</v>
      </c>
      <c r="G302" s="1185">
        <v>0</v>
      </c>
      <c r="H302" s="1185">
        <v>0</v>
      </c>
      <c r="I302" s="65">
        <f>(G302-H302)*'16-PlantAdditions'!$E$103</f>
        <v>0</v>
      </c>
      <c r="J302" s="65">
        <f t="shared" ref="J302:J304" si="62">J301+F302-G302-I302</f>
        <v>0</v>
      </c>
      <c r="K302" s="65">
        <f t="shared" si="60"/>
        <v>0</v>
      </c>
    </row>
    <row r="303" spans="1:11" s="739" customFormat="1">
      <c r="A303" s="120">
        <f t="shared" si="57"/>
        <v>234</v>
      </c>
      <c r="B303" s="702" t="s">
        <v>209</v>
      </c>
      <c r="C303" s="700">
        <v>2019</v>
      </c>
      <c r="D303" s="1185">
        <v>0</v>
      </c>
      <c r="E303" s="65">
        <f>D303*'16-PlantAdditions'!$E$103</f>
        <v>0</v>
      </c>
      <c r="F303" s="65">
        <f t="shared" si="61"/>
        <v>0</v>
      </c>
      <c r="G303" s="1185">
        <v>0</v>
      </c>
      <c r="H303" s="1185">
        <v>0</v>
      </c>
      <c r="I303" s="65">
        <f>(G303-H303)*'16-PlantAdditions'!$E$103</f>
        <v>0</v>
      </c>
      <c r="J303" s="65">
        <f t="shared" si="62"/>
        <v>0</v>
      </c>
      <c r="K303" s="65">
        <f t="shared" si="60"/>
        <v>0</v>
      </c>
    </row>
    <row r="304" spans="1:11" s="739" customFormat="1">
      <c r="A304" s="120">
        <f t="shared" si="57"/>
        <v>235</v>
      </c>
      <c r="B304" s="702" t="s">
        <v>199</v>
      </c>
      <c r="C304" s="700">
        <v>2019</v>
      </c>
      <c r="D304" s="1185">
        <v>0</v>
      </c>
      <c r="E304" s="65">
        <f>D304*'16-PlantAdditions'!$E$103</f>
        <v>0</v>
      </c>
      <c r="F304" s="65">
        <f t="shared" si="61"/>
        <v>0</v>
      </c>
      <c r="G304" s="1185">
        <v>0</v>
      </c>
      <c r="H304" s="1185">
        <v>0</v>
      </c>
      <c r="I304" s="65">
        <f>(G304-H304)*'16-PlantAdditions'!$E$103</f>
        <v>0</v>
      </c>
      <c r="J304" s="65">
        <f t="shared" si="62"/>
        <v>0</v>
      </c>
      <c r="K304" s="121">
        <f t="shared" si="60"/>
        <v>0</v>
      </c>
    </row>
    <row r="305" spans="1:12" s="739" customFormat="1">
      <c r="A305" s="120">
        <f t="shared" si="57"/>
        <v>236</v>
      </c>
      <c r="B305"/>
      <c r="C305" s="738" t="s">
        <v>1821</v>
      </c>
      <c r="D305"/>
      <c r="E305"/>
      <c r="F305"/>
      <c r="G305"/>
      <c r="H305"/>
      <c r="I305"/>
      <c r="J305"/>
      <c r="K305" s="80">
        <f>AVERAGE(K292:K304)</f>
        <v>0</v>
      </c>
    </row>
    <row r="306" spans="1:12" s="739" customFormat="1">
      <c r="A306" s="120"/>
      <c r="B306"/>
      <c r="C306" s="738"/>
      <c r="D306"/>
      <c r="E306"/>
      <c r="F306"/>
      <c r="G306"/>
      <c r="H306"/>
      <c r="I306"/>
      <c r="J306"/>
      <c r="K306" s="80"/>
    </row>
    <row r="307" spans="1:12" s="739" customFormat="1">
      <c r="B307" s="740" t="s">
        <v>2331</v>
      </c>
      <c r="D307" s="1394" t="s">
        <v>2944</v>
      </c>
      <c r="E307" s="1394"/>
    </row>
    <row r="308" spans="1:12" s="739" customFormat="1">
      <c r="A308" s="734"/>
      <c r="B308" s="734"/>
      <c r="C308" s="734"/>
      <c r="D308" s="734" t="s">
        <v>391</v>
      </c>
      <c r="E308" s="734" t="s">
        <v>375</v>
      </c>
      <c r="F308" s="734" t="s">
        <v>376</v>
      </c>
      <c r="G308" s="734" t="s">
        <v>377</v>
      </c>
      <c r="H308" s="734" t="s">
        <v>378</v>
      </c>
      <c r="I308" s="734" t="s">
        <v>379</v>
      </c>
      <c r="J308" s="734" t="s">
        <v>380</v>
      </c>
      <c r="K308" s="734" t="s">
        <v>593</v>
      </c>
    </row>
    <row r="309" spans="1:12" s="739" customFormat="1" ht="38.25">
      <c r="D309" s="741"/>
      <c r="E309" s="742" t="s">
        <v>2561</v>
      </c>
      <c r="F309" s="743" t="s">
        <v>2318</v>
      </c>
      <c r="G309" s="524"/>
      <c r="H309" s="741"/>
      <c r="I309" s="742" t="s">
        <v>2562</v>
      </c>
      <c r="J309" s="742" t="s">
        <v>2319</v>
      </c>
      <c r="K309" s="742" t="s">
        <v>2320</v>
      </c>
    </row>
    <row r="310" spans="1:12" s="739" customFormat="1">
      <c r="D310" s="741"/>
      <c r="E310" s="741"/>
      <c r="F310" s="741"/>
      <c r="G310" s="635" t="str">
        <f>G51</f>
        <v>Unloaded</v>
      </c>
      <c r="H310" s="741"/>
      <c r="I310" s="741"/>
    </row>
    <row r="311" spans="1:12" s="739" customFormat="1">
      <c r="A311" s="736"/>
      <c r="B311" s="736"/>
      <c r="C311" s="736"/>
      <c r="D311" s="736" t="str">
        <f>D$52</f>
        <v>Forecast</v>
      </c>
      <c r="E311" s="736" t="str">
        <f t="shared" ref="E311:J311" si="63">E$52</f>
        <v>Corporate</v>
      </c>
      <c r="F311" s="736" t="str">
        <f t="shared" si="63"/>
        <v xml:space="preserve">Total </v>
      </c>
      <c r="G311" s="635" t="str">
        <f>G52</f>
        <v>Total</v>
      </c>
      <c r="H311" s="736" t="str">
        <f t="shared" si="63"/>
        <v>Prior Period</v>
      </c>
      <c r="I311" s="736" t="str">
        <f t="shared" si="63"/>
        <v>Over Heads</v>
      </c>
      <c r="J311" s="736" t="str">
        <f t="shared" si="63"/>
        <v>Forecast</v>
      </c>
      <c r="K311" s="635" t="str">
        <f>K$52</f>
        <v>Forecast Period</v>
      </c>
    </row>
    <row r="312" spans="1:12" s="739" customFormat="1">
      <c r="A312" s="998" t="s">
        <v>360</v>
      </c>
      <c r="B312" s="698" t="s">
        <v>211</v>
      </c>
      <c r="C312" s="698" t="s">
        <v>212</v>
      </c>
      <c r="D312" s="734" t="str">
        <f>D$53</f>
        <v>Expenditures</v>
      </c>
      <c r="E312" s="734" t="str">
        <f t="shared" ref="E312:J312" si="64">E$53</f>
        <v>Overheads</v>
      </c>
      <c r="F312" s="734" t="str">
        <f t="shared" si="64"/>
        <v>CWIP Exp</v>
      </c>
      <c r="G312" s="3" t="str">
        <f>G53</f>
        <v>Plant Adds</v>
      </c>
      <c r="H312" s="734" t="str">
        <f t="shared" si="64"/>
        <v>CWIP Closed</v>
      </c>
      <c r="I312" s="734" t="str">
        <f t="shared" si="64"/>
        <v>Closed to PIS</v>
      </c>
      <c r="J312" s="734" t="str">
        <f t="shared" si="64"/>
        <v>Period CWIP</v>
      </c>
      <c r="K312" s="734" t="str">
        <f>K$53</f>
        <v>Incremental CWIP</v>
      </c>
    </row>
    <row r="313" spans="1:12" s="739" customFormat="1">
      <c r="A313" s="120">
        <f>A305+1</f>
        <v>237</v>
      </c>
      <c r="B313" s="699" t="s">
        <v>199</v>
      </c>
      <c r="C313" s="700">
        <v>2017</v>
      </c>
      <c r="D313" s="743" t="s">
        <v>86</v>
      </c>
      <c r="E313" s="743" t="s">
        <v>86</v>
      </c>
      <c r="F313" s="743" t="s">
        <v>86</v>
      </c>
      <c r="G313" s="743" t="s">
        <v>86</v>
      </c>
      <c r="H313" s="743" t="s">
        <v>86</v>
      </c>
      <c r="I313" s="743" t="s">
        <v>86</v>
      </c>
      <c r="J313" s="65">
        <f>F45</f>
        <v>46788115.939999998</v>
      </c>
      <c r="K313" s="743" t="s">
        <v>86</v>
      </c>
    </row>
    <row r="314" spans="1:12" s="739" customFormat="1">
      <c r="A314" s="120">
        <f>A313+1</f>
        <v>238</v>
      </c>
      <c r="B314" s="699" t="s">
        <v>200</v>
      </c>
      <c r="C314" s="700">
        <v>2018</v>
      </c>
      <c r="D314" s="1334">
        <v>6150624.7251600064</v>
      </c>
      <c r="E314" s="65">
        <f>D314*'16-PlantAdditions'!$E$103</f>
        <v>461296.85438700049</v>
      </c>
      <c r="F314" s="65">
        <f>E314+D314</f>
        <v>6611921.5795470066</v>
      </c>
      <c r="G314" s="1185">
        <v>4835162.0016000001</v>
      </c>
      <c r="H314" s="1185">
        <v>4098416.9471999994</v>
      </c>
      <c r="I314" s="65">
        <f>(G314-H314)*'16-PlantAdditions'!$E$103</f>
        <v>55255.87908000005</v>
      </c>
      <c r="J314" s="65">
        <f>J313+F314-G314-I314</f>
        <v>48509619.638867006</v>
      </c>
      <c r="K314" s="65">
        <f>J314-$J$313</f>
        <v>1721503.6988670081</v>
      </c>
      <c r="L314" s="736"/>
    </row>
    <row r="315" spans="1:12" s="739" customFormat="1">
      <c r="A315" s="120">
        <f t="shared" ref="A315:A338" si="65">A314+1</f>
        <v>239</v>
      </c>
      <c r="B315" s="702" t="s">
        <v>201</v>
      </c>
      <c r="C315" s="700">
        <v>2018</v>
      </c>
      <c r="D315" s="1334">
        <v>6764841.5648300042</v>
      </c>
      <c r="E315" s="65">
        <f>D315*'16-PlantAdditions'!$E$103</f>
        <v>507363.11736225028</v>
      </c>
      <c r="F315" s="65">
        <f t="shared" ref="F315:F334" si="66">E315+D315</f>
        <v>7272204.6821922548</v>
      </c>
      <c r="G315" s="1185">
        <v>716614.37999999966</v>
      </c>
      <c r="H315" s="1185">
        <v>0</v>
      </c>
      <c r="I315" s="65">
        <f>(G315-H315)*'16-PlantAdditions'!$E$103</f>
        <v>53746.078499999974</v>
      </c>
      <c r="J315" s="65">
        <f t="shared" ref="J315:J334" si="67">J314+F315-G315-I315</f>
        <v>55011463.862559251</v>
      </c>
      <c r="K315" s="65">
        <f t="shared" ref="K315:K337" si="68">J315-$J$313</f>
        <v>8223347.9225592539</v>
      </c>
      <c r="L315" s="736"/>
    </row>
    <row r="316" spans="1:12" s="739" customFormat="1">
      <c r="A316" s="120">
        <f t="shared" si="65"/>
        <v>240</v>
      </c>
      <c r="B316" s="702" t="s">
        <v>214</v>
      </c>
      <c r="C316" s="700">
        <v>2018</v>
      </c>
      <c r="D316" s="1334">
        <v>6728747.118437971</v>
      </c>
      <c r="E316" s="65">
        <f>D316*'16-PlantAdditions'!$E$103</f>
        <v>504656.03388284781</v>
      </c>
      <c r="F316" s="65">
        <f t="shared" si="66"/>
        <v>7233403.152320819</v>
      </c>
      <c r="G316" s="1185">
        <v>428364.69119999994</v>
      </c>
      <c r="H316" s="1185">
        <v>0</v>
      </c>
      <c r="I316" s="65">
        <f>(G316-H316)*'16-PlantAdditions'!$E$103</f>
        <v>32127.351839999996</v>
      </c>
      <c r="J316" s="65">
        <f t="shared" si="67"/>
        <v>61784374.971840069</v>
      </c>
      <c r="K316" s="65">
        <f t="shared" si="68"/>
        <v>14996259.031840071</v>
      </c>
      <c r="L316" s="736"/>
    </row>
    <row r="317" spans="1:12" s="739" customFormat="1">
      <c r="A317" s="120">
        <f t="shared" si="65"/>
        <v>241</v>
      </c>
      <c r="B317" s="699" t="s">
        <v>202</v>
      </c>
      <c r="C317" s="700">
        <v>2018</v>
      </c>
      <c r="D317" s="1334">
        <v>2637958.1582040256</v>
      </c>
      <c r="E317" s="65">
        <f>D317*'16-PlantAdditions'!$E$103</f>
        <v>197846.86186530191</v>
      </c>
      <c r="F317" s="65">
        <f t="shared" si="66"/>
        <v>2835805.0200693277</v>
      </c>
      <c r="G317" s="1185">
        <v>36000</v>
      </c>
      <c r="H317" s="1185">
        <v>0</v>
      </c>
      <c r="I317" s="65">
        <f>(G317-H317)*'16-PlantAdditions'!$E$103</f>
        <v>2700</v>
      </c>
      <c r="J317" s="65">
        <f t="shared" si="67"/>
        <v>64581479.9919094</v>
      </c>
      <c r="K317" s="65">
        <f t="shared" si="68"/>
        <v>17793364.051909402</v>
      </c>
      <c r="L317" s="734"/>
    </row>
    <row r="318" spans="1:12" s="739" customFormat="1">
      <c r="A318" s="120">
        <f t="shared" si="65"/>
        <v>242</v>
      </c>
      <c r="B318" s="702" t="s">
        <v>203</v>
      </c>
      <c r="C318" s="700">
        <v>2018</v>
      </c>
      <c r="D318" s="1334">
        <v>7602991.4540854283</v>
      </c>
      <c r="E318" s="65">
        <f>D318*'16-PlantAdditions'!$E$103</f>
        <v>570224.35905640712</v>
      </c>
      <c r="F318" s="65">
        <f t="shared" si="66"/>
        <v>8173215.8131418359</v>
      </c>
      <c r="G318" s="1185">
        <v>0</v>
      </c>
      <c r="H318" s="1185">
        <v>0</v>
      </c>
      <c r="I318" s="65">
        <f>(G318-H318)*'16-PlantAdditions'!$E$103</f>
        <v>0</v>
      </c>
      <c r="J318" s="65">
        <f t="shared" si="67"/>
        <v>72754695.805051237</v>
      </c>
      <c r="K318" s="65">
        <f t="shared" si="68"/>
        <v>25966579.86505124</v>
      </c>
    </row>
    <row r="319" spans="1:12" s="739" customFormat="1">
      <c r="A319" s="120">
        <f t="shared" si="65"/>
        <v>243</v>
      </c>
      <c r="B319" s="702" t="s">
        <v>1650</v>
      </c>
      <c r="C319" s="700">
        <v>2018</v>
      </c>
      <c r="D319" s="1334">
        <v>9514013.2149350662</v>
      </c>
      <c r="E319" s="65">
        <f>D319*'16-PlantAdditions'!$E$103</f>
        <v>713550.99112012994</v>
      </c>
      <c r="F319" s="65">
        <f t="shared" si="66"/>
        <v>10227564.206055196</v>
      </c>
      <c r="G319" s="1185">
        <v>0</v>
      </c>
      <c r="H319" s="1185">
        <v>0</v>
      </c>
      <c r="I319" s="65">
        <f>(G319-H319)*'16-PlantAdditions'!$E$103</f>
        <v>0</v>
      </c>
      <c r="J319" s="65">
        <f t="shared" si="67"/>
        <v>82982260.011106431</v>
      </c>
      <c r="K319" s="65">
        <f t="shared" si="68"/>
        <v>36194144.071106434</v>
      </c>
    </row>
    <row r="320" spans="1:12" s="739" customFormat="1">
      <c r="A320" s="120">
        <f t="shared" si="65"/>
        <v>244</v>
      </c>
      <c r="B320" s="699" t="s">
        <v>205</v>
      </c>
      <c r="C320" s="700">
        <v>2018</v>
      </c>
      <c r="D320" s="1334">
        <v>4760538.4822819205</v>
      </c>
      <c r="E320" s="65">
        <f>D320*'16-PlantAdditions'!$E$103</f>
        <v>357040.38617114403</v>
      </c>
      <c r="F320" s="65">
        <f t="shared" si="66"/>
        <v>5117578.8684530649</v>
      </c>
      <c r="G320" s="1185">
        <v>0</v>
      </c>
      <c r="H320" s="1185">
        <v>0</v>
      </c>
      <c r="I320" s="65">
        <f>(G320-H320)*'16-PlantAdditions'!$E$103</f>
        <v>0</v>
      </c>
      <c r="J320" s="65">
        <f t="shared" si="67"/>
        <v>88099838.879559502</v>
      </c>
      <c r="K320" s="65">
        <f t="shared" si="68"/>
        <v>41311722.939559504</v>
      </c>
    </row>
    <row r="321" spans="1:11" s="739" customFormat="1">
      <c r="A321" s="120">
        <f t="shared" si="65"/>
        <v>245</v>
      </c>
      <c r="B321" s="702" t="s">
        <v>206</v>
      </c>
      <c r="C321" s="700">
        <v>2018</v>
      </c>
      <c r="D321" s="1334">
        <v>7813914.9122097539</v>
      </c>
      <c r="E321" s="65">
        <f>D321*'16-PlantAdditions'!$E$103</f>
        <v>586043.61841573147</v>
      </c>
      <c r="F321" s="65">
        <f t="shared" si="66"/>
        <v>8399958.5306254849</v>
      </c>
      <c r="G321" s="1185">
        <v>0</v>
      </c>
      <c r="H321" s="1185">
        <v>0</v>
      </c>
      <c r="I321" s="65">
        <f>(G321-H321)*'16-PlantAdditions'!$E$103</f>
        <v>0</v>
      </c>
      <c r="J321" s="65">
        <f t="shared" si="67"/>
        <v>96499797.410184979</v>
      </c>
      <c r="K321" s="65">
        <f t="shared" si="68"/>
        <v>49711681.470184982</v>
      </c>
    </row>
    <row r="322" spans="1:11" s="739" customFormat="1">
      <c r="A322" s="120">
        <f t="shared" si="65"/>
        <v>246</v>
      </c>
      <c r="B322" s="702" t="s">
        <v>207</v>
      </c>
      <c r="C322" s="700">
        <v>2018</v>
      </c>
      <c r="D322" s="1334">
        <v>4860922.1068712259</v>
      </c>
      <c r="E322" s="65">
        <f>D322*'16-PlantAdditions'!$E$103</f>
        <v>364569.15801534191</v>
      </c>
      <c r="F322" s="65">
        <f t="shared" si="66"/>
        <v>5225491.2648865674</v>
      </c>
      <c r="G322" s="1185">
        <v>0</v>
      </c>
      <c r="H322" s="1185">
        <v>0</v>
      </c>
      <c r="I322" s="65">
        <f>(G322-H322)*'16-PlantAdditions'!$E$103</f>
        <v>0</v>
      </c>
      <c r="J322" s="65">
        <f t="shared" si="67"/>
        <v>101725288.67507155</v>
      </c>
      <c r="K322" s="65">
        <f t="shared" si="68"/>
        <v>54937172.735071555</v>
      </c>
    </row>
    <row r="323" spans="1:11" s="739" customFormat="1">
      <c r="A323" s="120">
        <f t="shared" si="65"/>
        <v>247</v>
      </c>
      <c r="B323" s="699" t="s">
        <v>210</v>
      </c>
      <c r="C323" s="700">
        <v>2018</v>
      </c>
      <c r="D323" s="1334">
        <v>5232286.1741804592</v>
      </c>
      <c r="E323" s="65">
        <f>D323*'16-PlantAdditions'!$E$103</f>
        <v>392421.46306353441</v>
      </c>
      <c r="F323" s="65">
        <f t="shared" si="66"/>
        <v>5624707.6372439936</v>
      </c>
      <c r="G323" s="1185">
        <v>0</v>
      </c>
      <c r="H323" s="1185">
        <v>0</v>
      </c>
      <c r="I323" s="65">
        <f>(G323-H323)*'16-PlantAdditions'!$E$103</f>
        <v>0</v>
      </c>
      <c r="J323" s="65">
        <f t="shared" si="67"/>
        <v>107349996.31231555</v>
      </c>
      <c r="K323" s="65">
        <f t="shared" si="68"/>
        <v>60561880.372315556</v>
      </c>
    </row>
    <row r="324" spans="1:11" s="739" customFormat="1">
      <c r="A324" s="120">
        <f t="shared" si="65"/>
        <v>248</v>
      </c>
      <c r="B324" s="699" t="s">
        <v>209</v>
      </c>
      <c r="C324" s="700">
        <v>2018</v>
      </c>
      <c r="D324" s="1334">
        <v>3062452.8605415537</v>
      </c>
      <c r="E324" s="65">
        <f>D324*'16-PlantAdditions'!$E$103</f>
        <v>229683.96454061652</v>
      </c>
      <c r="F324" s="65">
        <f t="shared" si="66"/>
        <v>3292136.8250821703</v>
      </c>
      <c r="G324" s="1185">
        <v>0</v>
      </c>
      <c r="H324" s="1185">
        <v>0</v>
      </c>
      <c r="I324" s="65">
        <f>(G324-H324)*'16-PlantAdditions'!$E$103</f>
        <v>0</v>
      </c>
      <c r="J324" s="65">
        <f t="shared" si="67"/>
        <v>110642133.13739772</v>
      </c>
      <c r="K324" s="65">
        <f t="shared" si="68"/>
        <v>63854017.197397724</v>
      </c>
    </row>
    <row r="325" spans="1:11" s="739" customFormat="1">
      <c r="A325" s="120">
        <f t="shared" si="65"/>
        <v>249</v>
      </c>
      <c r="B325" s="699" t="s">
        <v>199</v>
      </c>
      <c r="C325" s="700">
        <v>2018</v>
      </c>
      <c r="D325" s="1334">
        <v>4668878.1724084513</v>
      </c>
      <c r="E325" s="65">
        <f>D325*'16-PlantAdditions'!$E$103</f>
        <v>350165.86293063383</v>
      </c>
      <c r="F325" s="65">
        <f t="shared" si="66"/>
        <v>5019044.0353390854</v>
      </c>
      <c r="G325" s="1185">
        <v>23755.014288000231</v>
      </c>
      <c r="H325" s="1185">
        <v>0</v>
      </c>
      <c r="I325" s="65">
        <f>(G325-H325)*'16-PlantAdditions'!$E$103</f>
        <v>1781.6260716000172</v>
      </c>
      <c r="J325" s="65">
        <f t="shared" si="67"/>
        <v>115635640.53237721</v>
      </c>
      <c r="K325" s="65">
        <f t="shared" si="68"/>
        <v>68847524.592377216</v>
      </c>
    </row>
    <row r="326" spans="1:11" s="739" customFormat="1">
      <c r="A326" s="120">
        <f t="shared" si="65"/>
        <v>250</v>
      </c>
      <c r="B326" s="699" t="s">
        <v>200</v>
      </c>
      <c r="C326" s="700">
        <v>2019</v>
      </c>
      <c r="D326" s="1334">
        <v>5133735.8804469276</v>
      </c>
      <c r="E326" s="65">
        <f>D326*'16-PlantAdditions'!$E$103</f>
        <v>385030.19103351957</v>
      </c>
      <c r="F326" s="65">
        <f t="shared" si="66"/>
        <v>5518766.0714804474</v>
      </c>
      <c r="G326" s="1185">
        <v>0</v>
      </c>
      <c r="H326" s="1185">
        <v>0</v>
      </c>
      <c r="I326" s="65">
        <f>(G326-H326)*'16-PlantAdditions'!$E$103</f>
        <v>0</v>
      </c>
      <c r="J326" s="65">
        <f t="shared" si="67"/>
        <v>121154406.60385767</v>
      </c>
      <c r="K326" s="65">
        <f t="shared" si="68"/>
        <v>74366290.663857669</v>
      </c>
    </row>
    <row r="327" spans="1:11" s="739" customFormat="1">
      <c r="A327" s="120">
        <f t="shared" si="65"/>
        <v>251</v>
      </c>
      <c r="B327" s="702" t="s">
        <v>201</v>
      </c>
      <c r="C327" s="700">
        <v>2019</v>
      </c>
      <c r="D327" s="1334">
        <v>11785379.758468928</v>
      </c>
      <c r="E327" s="65">
        <f>D327*'16-PlantAdditions'!$E$103</f>
        <v>883903.48188516952</v>
      </c>
      <c r="F327" s="65">
        <f t="shared" si="66"/>
        <v>12669283.240354097</v>
      </c>
      <c r="G327" s="1185">
        <v>0</v>
      </c>
      <c r="H327" s="1185">
        <v>0</v>
      </c>
      <c r="I327" s="65">
        <f>(G327-H327)*'16-PlantAdditions'!$E$103</f>
        <v>0</v>
      </c>
      <c r="J327" s="65">
        <f t="shared" si="67"/>
        <v>133823689.84421176</v>
      </c>
      <c r="K327" s="65">
        <f t="shared" si="68"/>
        <v>87035573.90421176</v>
      </c>
    </row>
    <row r="328" spans="1:11" s="739" customFormat="1">
      <c r="A328" s="120">
        <f t="shared" si="65"/>
        <v>252</v>
      </c>
      <c r="B328" s="702" t="s">
        <v>214</v>
      </c>
      <c r="C328" s="700">
        <v>2019</v>
      </c>
      <c r="D328" s="1334">
        <v>7424714.7980069276</v>
      </c>
      <c r="E328" s="65">
        <f>D328*'16-PlantAdditions'!$E$103</f>
        <v>556853.60985051957</v>
      </c>
      <c r="F328" s="65">
        <f t="shared" si="66"/>
        <v>7981568.4078574469</v>
      </c>
      <c r="G328" s="1185">
        <v>0</v>
      </c>
      <c r="H328" s="1185">
        <v>0</v>
      </c>
      <c r="I328" s="65">
        <f>(G328-H328)*'16-PlantAdditions'!$E$103</f>
        <v>0</v>
      </c>
      <c r="J328" s="65">
        <f t="shared" si="67"/>
        <v>141805258.25206921</v>
      </c>
      <c r="K328" s="65">
        <f t="shared" si="68"/>
        <v>95017142.312069207</v>
      </c>
    </row>
    <row r="329" spans="1:11" s="739" customFormat="1">
      <c r="A329" s="120">
        <f t="shared" si="65"/>
        <v>253</v>
      </c>
      <c r="B329" s="699" t="s">
        <v>202</v>
      </c>
      <c r="C329" s="700">
        <v>2019</v>
      </c>
      <c r="D329" s="1334">
        <v>4022696.5530957235</v>
      </c>
      <c r="E329" s="65">
        <f>D329*'16-PlantAdditions'!$E$103</f>
        <v>301702.24148217926</v>
      </c>
      <c r="F329" s="65">
        <f t="shared" si="66"/>
        <v>4324398.7945779031</v>
      </c>
      <c r="G329" s="1185">
        <v>0</v>
      </c>
      <c r="H329" s="1185">
        <v>0</v>
      </c>
      <c r="I329" s="65">
        <f>(G329-H329)*'16-PlantAdditions'!$E$103</f>
        <v>0</v>
      </c>
      <c r="J329" s="65">
        <f t="shared" si="67"/>
        <v>146129657.0466471</v>
      </c>
      <c r="K329" s="65">
        <f t="shared" si="68"/>
        <v>99341541.106647104</v>
      </c>
    </row>
    <row r="330" spans="1:11" s="739" customFormat="1">
      <c r="A330" s="120">
        <f t="shared" si="65"/>
        <v>254</v>
      </c>
      <c r="B330" s="702" t="s">
        <v>203</v>
      </c>
      <c r="C330" s="700">
        <v>2019</v>
      </c>
      <c r="D330" s="1334">
        <v>3957356.2278797245</v>
      </c>
      <c r="E330" s="65">
        <f>D330*'16-PlantAdditions'!$E$103</f>
        <v>296801.71709097933</v>
      </c>
      <c r="F330" s="65">
        <f t="shared" si="66"/>
        <v>4254157.9449707037</v>
      </c>
      <c r="G330" s="1185">
        <v>0</v>
      </c>
      <c r="H330" s="1185">
        <v>0</v>
      </c>
      <c r="I330" s="65">
        <f>(G330-H330)*'16-PlantAdditions'!$E$103</f>
        <v>0</v>
      </c>
      <c r="J330" s="65">
        <f t="shared" si="67"/>
        <v>150383814.9916178</v>
      </c>
      <c r="K330" s="65">
        <f t="shared" si="68"/>
        <v>103595699.0516178</v>
      </c>
    </row>
    <row r="331" spans="1:11" s="739" customFormat="1">
      <c r="A331" s="120">
        <f t="shared" si="65"/>
        <v>255</v>
      </c>
      <c r="B331" s="702" t="s">
        <v>1650</v>
      </c>
      <c r="C331" s="700">
        <v>2019</v>
      </c>
      <c r="D331" s="1334">
        <v>4386910.7519597234</v>
      </c>
      <c r="E331" s="65">
        <f>D331*'16-PlantAdditions'!$E$103</f>
        <v>329018.30639697926</v>
      </c>
      <c r="F331" s="65">
        <f t="shared" si="66"/>
        <v>4715929.0583567023</v>
      </c>
      <c r="G331" s="1185">
        <v>0</v>
      </c>
      <c r="H331" s="1185">
        <v>0</v>
      </c>
      <c r="I331" s="65">
        <f>(G331-H331)*'16-PlantAdditions'!$E$103</f>
        <v>0</v>
      </c>
      <c r="J331" s="65">
        <f t="shared" si="67"/>
        <v>155099744.0499745</v>
      </c>
      <c r="K331" s="65">
        <f t="shared" si="68"/>
        <v>108311628.1099745</v>
      </c>
    </row>
    <row r="332" spans="1:11" s="739" customFormat="1">
      <c r="A332" s="120">
        <f t="shared" si="65"/>
        <v>256</v>
      </c>
      <c r="B332" s="699" t="s">
        <v>205</v>
      </c>
      <c r="C332" s="700">
        <v>2019</v>
      </c>
      <c r="D332" s="1334">
        <v>5763632.1158857271</v>
      </c>
      <c r="E332" s="65">
        <f>D332*'16-PlantAdditions'!$E$103</f>
        <v>432272.40869142953</v>
      </c>
      <c r="F332" s="65">
        <f t="shared" si="66"/>
        <v>6195904.5245771566</v>
      </c>
      <c r="G332" s="1185">
        <v>0</v>
      </c>
      <c r="H332" s="1185">
        <v>0</v>
      </c>
      <c r="I332" s="65">
        <f>(G332-H332)*'16-PlantAdditions'!$E$103</f>
        <v>0</v>
      </c>
      <c r="J332" s="65">
        <f t="shared" si="67"/>
        <v>161295648.57455167</v>
      </c>
      <c r="K332" s="65">
        <f t="shared" si="68"/>
        <v>114507532.63455167</v>
      </c>
    </row>
    <row r="333" spans="1:11" s="739" customFormat="1">
      <c r="A333" s="120">
        <f t="shared" si="65"/>
        <v>257</v>
      </c>
      <c r="B333" s="702" t="s">
        <v>206</v>
      </c>
      <c r="C333" s="700">
        <v>2019</v>
      </c>
      <c r="D333" s="1334">
        <v>6352933.1061144127</v>
      </c>
      <c r="E333" s="65">
        <f>D333*'16-PlantAdditions'!$E$103</f>
        <v>476469.98295858095</v>
      </c>
      <c r="F333" s="65">
        <f t="shared" si="66"/>
        <v>6829403.089072994</v>
      </c>
      <c r="G333" s="1185">
        <v>0</v>
      </c>
      <c r="H333" s="1185">
        <v>0</v>
      </c>
      <c r="I333" s="65">
        <f>(G333-H333)*'16-PlantAdditions'!$E$103</f>
        <v>0</v>
      </c>
      <c r="J333" s="65">
        <f t="shared" si="67"/>
        <v>168125051.66362467</v>
      </c>
      <c r="K333" s="65">
        <f t="shared" si="68"/>
        <v>121336935.72362468</v>
      </c>
    </row>
    <row r="334" spans="1:11" s="739" customFormat="1">
      <c r="A334" s="120">
        <f t="shared" si="65"/>
        <v>258</v>
      </c>
      <c r="B334" s="702" t="s">
        <v>207</v>
      </c>
      <c r="C334" s="700">
        <v>2019</v>
      </c>
      <c r="D334" s="1334">
        <v>8352168.5186073864</v>
      </c>
      <c r="E334" s="65">
        <f>D334*'16-PlantAdditions'!$E$103</f>
        <v>626412.638895554</v>
      </c>
      <c r="F334" s="65">
        <f t="shared" si="66"/>
        <v>8978581.1575029399</v>
      </c>
      <c r="G334" s="1185">
        <v>0</v>
      </c>
      <c r="H334" s="1185">
        <v>0</v>
      </c>
      <c r="I334" s="65">
        <f>(G334-H334)*'16-PlantAdditions'!$E$103</f>
        <v>0</v>
      </c>
      <c r="J334" s="65">
        <f t="shared" si="67"/>
        <v>177103632.82112762</v>
      </c>
      <c r="K334" s="65">
        <f t="shared" si="68"/>
        <v>130315516.88112763</v>
      </c>
    </row>
    <row r="335" spans="1:11" s="739" customFormat="1">
      <c r="A335" s="120">
        <f t="shared" si="65"/>
        <v>259</v>
      </c>
      <c r="B335" s="702" t="s">
        <v>210</v>
      </c>
      <c r="C335" s="700">
        <v>2019</v>
      </c>
      <c r="D335" s="1334">
        <v>3995869.764987723</v>
      </c>
      <c r="E335" s="65">
        <f>D335*'16-PlantAdditions'!$E$103</f>
        <v>299690.23237407923</v>
      </c>
      <c r="F335" s="65">
        <f t="shared" ref="F335:F336" si="69">E335+D335</f>
        <v>4295559.9973618025</v>
      </c>
      <c r="G335" s="1185">
        <v>0</v>
      </c>
      <c r="H335" s="1185">
        <v>0</v>
      </c>
      <c r="I335" s="65">
        <f>(G335-H335)*'16-PlantAdditions'!$E$103</f>
        <v>0</v>
      </c>
      <c r="J335" s="65">
        <f t="shared" ref="J335:J337" si="70">J334+F335-G335-I335</f>
        <v>181399192.81848943</v>
      </c>
      <c r="K335" s="65">
        <f t="shared" si="68"/>
        <v>134611076.87848943</v>
      </c>
    </row>
    <row r="336" spans="1:11" s="739" customFormat="1">
      <c r="A336" s="120">
        <f t="shared" si="65"/>
        <v>260</v>
      </c>
      <c r="B336" s="702" t="s">
        <v>209</v>
      </c>
      <c r="C336" s="700">
        <v>2019</v>
      </c>
      <c r="D336" s="1334">
        <v>14262524.372708354</v>
      </c>
      <c r="E336" s="65">
        <f>D336*'16-PlantAdditions'!$E$103</f>
        <v>1069689.3279531265</v>
      </c>
      <c r="F336" s="65">
        <f t="shared" si="69"/>
        <v>15332213.70066148</v>
      </c>
      <c r="G336" s="1185">
        <v>0</v>
      </c>
      <c r="H336" s="1185">
        <v>0</v>
      </c>
      <c r="I336" s="65">
        <f>(G336-H336)*'16-PlantAdditions'!$E$103</f>
        <v>0</v>
      </c>
      <c r="J336" s="65">
        <f t="shared" si="70"/>
        <v>196731406.51915091</v>
      </c>
      <c r="K336" s="65">
        <f t="shared" si="68"/>
        <v>149943290.57915092</v>
      </c>
    </row>
    <row r="337" spans="1:11" s="739" customFormat="1">
      <c r="A337" s="120">
        <f t="shared" si="65"/>
        <v>261</v>
      </c>
      <c r="B337" s="702" t="s">
        <v>199</v>
      </c>
      <c r="C337" s="700">
        <v>2019</v>
      </c>
      <c r="D337" s="1334">
        <v>9312567.7527164258</v>
      </c>
      <c r="E337" s="65">
        <f>D337*'16-PlantAdditions'!$E$103</f>
        <v>698442.58145373187</v>
      </c>
      <c r="F337" s="65">
        <f>E337+D337</f>
        <v>10011010.334170157</v>
      </c>
      <c r="G337" s="1185">
        <v>4179168.2611999996</v>
      </c>
      <c r="H337" s="1185">
        <v>2531642.4799999995</v>
      </c>
      <c r="I337" s="65">
        <f>(G337-H337)*'16-PlantAdditions'!$E$103</f>
        <v>123564.43359</v>
      </c>
      <c r="J337" s="65">
        <f t="shared" si="70"/>
        <v>202439684.15853107</v>
      </c>
      <c r="K337" s="121">
        <f t="shared" si="68"/>
        <v>155651568.21853107</v>
      </c>
    </row>
    <row r="338" spans="1:11" s="739" customFormat="1">
      <c r="A338" s="120">
        <f t="shared" si="65"/>
        <v>262</v>
      </c>
      <c r="B338"/>
      <c r="C338" s="738" t="s">
        <v>1821</v>
      </c>
      <c r="D338"/>
      <c r="E338"/>
      <c r="F338"/>
      <c r="G338"/>
      <c r="H338"/>
      <c r="I338"/>
      <c r="J338"/>
      <c r="K338" s="80">
        <f>AVERAGE(K325:K337)</f>
        <v>110990870.81971005</v>
      </c>
    </row>
    <row r="339" spans="1:11" s="739" customFormat="1">
      <c r="A339" s="120"/>
      <c r="B339"/>
      <c r="C339" s="738"/>
      <c r="D339"/>
      <c r="E339"/>
      <c r="F339"/>
      <c r="G339"/>
      <c r="H339"/>
      <c r="I339"/>
      <c r="J339"/>
      <c r="K339" s="80"/>
    </row>
    <row r="340" spans="1:11" s="739" customFormat="1">
      <c r="B340" s="740" t="s">
        <v>2333</v>
      </c>
      <c r="D340" s="1394" t="s">
        <v>2945</v>
      </c>
      <c r="E340" s="1394"/>
    </row>
    <row r="341" spans="1:11" s="739" customFormat="1">
      <c r="D341" s="741"/>
      <c r="E341" s="741"/>
      <c r="F341" s="741"/>
      <c r="G341" s="635" t="str">
        <f>G51</f>
        <v>Unloaded</v>
      </c>
      <c r="H341" s="741"/>
      <c r="I341" s="741"/>
    </row>
    <row r="342" spans="1:11" s="739" customFormat="1">
      <c r="A342" s="736"/>
      <c r="B342" s="736"/>
      <c r="C342" s="736"/>
      <c r="D342" s="736" t="str">
        <f>D$52</f>
        <v>Forecast</v>
      </c>
      <c r="E342" s="736" t="str">
        <f t="shared" ref="E342:J342" si="71">E$52</f>
        <v>Corporate</v>
      </c>
      <c r="F342" s="736" t="str">
        <f t="shared" si="71"/>
        <v xml:space="preserve">Total </v>
      </c>
      <c r="G342" s="635" t="str">
        <f>G52</f>
        <v>Total</v>
      </c>
      <c r="H342" s="736" t="str">
        <f t="shared" si="71"/>
        <v>Prior Period</v>
      </c>
      <c r="I342" s="736" t="str">
        <f t="shared" si="71"/>
        <v>Over Heads</v>
      </c>
      <c r="J342" s="736" t="str">
        <f t="shared" si="71"/>
        <v>Forecast</v>
      </c>
      <c r="K342" s="635" t="str">
        <f>K$52</f>
        <v>Forecast Period</v>
      </c>
    </row>
    <row r="343" spans="1:11" s="739" customFormat="1">
      <c r="A343" s="998" t="s">
        <v>360</v>
      </c>
      <c r="B343" s="698" t="s">
        <v>211</v>
      </c>
      <c r="C343" s="698" t="s">
        <v>212</v>
      </c>
      <c r="D343" s="734" t="str">
        <f>D$53</f>
        <v>Expenditures</v>
      </c>
      <c r="E343" s="734" t="str">
        <f t="shared" ref="E343:J343" si="72">E$53</f>
        <v>Overheads</v>
      </c>
      <c r="F343" s="734" t="str">
        <f t="shared" si="72"/>
        <v>CWIP Exp</v>
      </c>
      <c r="G343" s="3" t="str">
        <f>G53</f>
        <v>Plant Adds</v>
      </c>
      <c r="H343" s="734" t="str">
        <f t="shared" si="72"/>
        <v>CWIP Closed</v>
      </c>
      <c r="I343" s="734" t="str">
        <f t="shared" si="72"/>
        <v>Closed to PIS</v>
      </c>
      <c r="J343" s="734" t="str">
        <f t="shared" si="72"/>
        <v>Period CWIP</v>
      </c>
      <c r="K343" s="734" t="str">
        <f>K$53</f>
        <v>Incremental CWIP</v>
      </c>
    </row>
    <row r="344" spans="1:11" s="739" customFormat="1">
      <c r="A344" s="120">
        <f>A338+1</f>
        <v>263</v>
      </c>
      <c r="B344" s="699" t="s">
        <v>199</v>
      </c>
      <c r="C344" s="700">
        <v>2017</v>
      </c>
      <c r="D344" s="743" t="s">
        <v>86</v>
      </c>
      <c r="E344" s="743" t="s">
        <v>86</v>
      </c>
      <c r="F344" s="743" t="s">
        <v>86</v>
      </c>
      <c r="G344" s="743" t="s">
        <v>86</v>
      </c>
      <c r="H344" s="743" t="s">
        <v>86</v>
      </c>
      <c r="I344" s="743" t="s">
        <v>86</v>
      </c>
      <c r="J344" s="65">
        <f>G45</f>
        <v>0</v>
      </c>
      <c r="K344" s="743" t="s">
        <v>86</v>
      </c>
    </row>
    <row r="345" spans="1:11" s="739" customFormat="1">
      <c r="A345" s="120">
        <f>A344+1</f>
        <v>264</v>
      </c>
      <c r="B345" s="699" t="s">
        <v>200</v>
      </c>
      <c r="C345" s="700">
        <v>2018</v>
      </c>
      <c r="D345" s="1185">
        <v>15724.8</v>
      </c>
      <c r="E345" s="65">
        <f>D345*'16-PlantAdditions'!$E$103</f>
        <v>1179.3599999999999</v>
      </c>
      <c r="F345" s="65">
        <f>E345+D345</f>
        <v>16904.16</v>
      </c>
      <c r="G345" s="1185">
        <v>0</v>
      </c>
      <c r="H345" s="1185">
        <v>0</v>
      </c>
      <c r="I345" s="65">
        <f>(G345-H345)*'16-PlantAdditions'!$E$103</f>
        <v>0</v>
      </c>
      <c r="J345" s="65">
        <f>J344+F345-G345-I345</f>
        <v>16904.16</v>
      </c>
      <c r="K345" s="65">
        <f>J345-$J$344</f>
        <v>16904.16</v>
      </c>
    </row>
    <row r="346" spans="1:11" s="739" customFormat="1">
      <c r="A346" s="120">
        <f t="shared" ref="A346:A369" si="73">A345+1</f>
        <v>265</v>
      </c>
      <c r="B346" s="702" t="s">
        <v>201</v>
      </c>
      <c r="C346" s="700">
        <v>2018</v>
      </c>
      <c r="D346" s="1185">
        <v>39608.180000000008</v>
      </c>
      <c r="E346" s="65">
        <f>D346*'16-PlantAdditions'!$E$103</f>
        <v>2970.6135000000004</v>
      </c>
      <c r="F346" s="65">
        <f t="shared" ref="F346:F365" si="74">E346+D346</f>
        <v>42578.793500000007</v>
      </c>
      <c r="G346" s="1185">
        <v>0</v>
      </c>
      <c r="H346" s="1185">
        <v>0</v>
      </c>
      <c r="I346" s="65">
        <f>(G346-H346)*'16-PlantAdditions'!$E$103</f>
        <v>0</v>
      </c>
      <c r="J346" s="65">
        <f t="shared" ref="J346:J365" si="75">J345+F346-G346-I346</f>
        <v>59482.953500000003</v>
      </c>
      <c r="K346" s="65">
        <f t="shared" ref="K346:K368" si="76">J346-$J$344</f>
        <v>59482.953500000003</v>
      </c>
    </row>
    <row r="347" spans="1:11" s="739" customFormat="1">
      <c r="A347" s="120">
        <f t="shared" si="73"/>
        <v>266</v>
      </c>
      <c r="B347" s="702" t="s">
        <v>214</v>
      </c>
      <c r="C347" s="700">
        <v>2018</v>
      </c>
      <c r="D347" s="1185">
        <v>43159.880000000005</v>
      </c>
      <c r="E347" s="65">
        <f>D347*'16-PlantAdditions'!$E$103</f>
        <v>3236.9910000000004</v>
      </c>
      <c r="F347" s="65">
        <f t="shared" si="74"/>
        <v>46396.871000000006</v>
      </c>
      <c r="G347" s="1185">
        <v>0</v>
      </c>
      <c r="H347" s="1185">
        <v>0</v>
      </c>
      <c r="I347" s="65">
        <f>(G347-H347)*'16-PlantAdditions'!$E$103</f>
        <v>0</v>
      </c>
      <c r="J347" s="65">
        <f t="shared" si="75"/>
        <v>105879.82450000002</v>
      </c>
      <c r="K347" s="65">
        <f t="shared" si="76"/>
        <v>105879.82450000002</v>
      </c>
    </row>
    <row r="348" spans="1:11" s="739" customFormat="1">
      <c r="A348" s="120">
        <f t="shared" si="73"/>
        <v>267</v>
      </c>
      <c r="B348" s="699" t="s">
        <v>202</v>
      </c>
      <c r="C348" s="700">
        <v>2018</v>
      </c>
      <c r="D348" s="1185">
        <v>116634.96</v>
      </c>
      <c r="E348" s="65">
        <f>D348*'16-PlantAdditions'!$E$103</f>
        <v>8747.6219999999994</v>
      </c>
      <c r="F348" s="65">
        <f t="shared" si="74"/>
        <v>125382.58200000001</v>
      </c>
      <c r="G348" s="1185">
        <v>0</v>
      </c>
      <c r="H348" s="1185">
        <v>0</v>
      </c>
      <c r="I348" s="65">
        <f>(G348-H348)*'16-PlantAdditions'!$E$103</f>
        <v>0</v>
      </c>
      <c r="J348" s="65">
        <f t="shared" si="75"/>
        <v>231262.40650000004</v>
      </c>
      <c r="K348" s="65">
        <f t="shared" si="76"/>
        <v>231262.40650000004</v>
      </c>
    </row>
    <row r="349" spans="1:11" s="739" customFormat="1">
      <c r="A349" s="120">
        <f t="shared" si="73"/>
        <v>268</v>
      </c>
      <c r="B349" s="702" t="s">
        <v>203</v>
      </c>
      <c r="C349" s="700">
        <v>2018</v>
      </c>
      <c r="D349" s="1185">
        <v>89339.64</v>
      </c>
      <c r="E349" s="65">
        <f>D349*'16-PlantAdditions'!$E$103</f>
        <v>6700.473</v>
      </c>
      <c r="F349" s="65">
        <f t="shared" si="74"/>
        <v>96040.112999999998</v>
      </c>
      <c r="G349" s="1185">
        <v>0</v>
      </c>
      <c r="H349" s="1185">
        <v>0</v>
      </c>
      <c r="I349" s="65">
        <f>(G349-H349)*'16-PlantAdditions'!$E$103</f>
        <v>0</v>
      </c>
      <c r="J349" s="65">
        <f t="shared" si="75"/>
        <v>327302.51950000005</v>
      </c>
      <c r="K349" s="65">
        <f t="shared" si="76"/>
        <v>327302.51950000005</v>
      </c>
    </row>
    <row r="350" spans="1:11" s="739" customFormat="1">
      <c r="A350" s="120">
        <f t="shared" si="73"/>
        <v>269</v>
      </c>
      <c r="B350" s="702" t="s">
        <v>1650</v>
      </c>
      <c r="C350" s="700">
        <v>2018</v>
      </c>
      <c r="D350" s="1185">
        <v>86306.48</v>
      </c>
      <c r="E350" s="65">
        <f>D350*'16-PlantAdditions'!$E$103</f>
        <v>6472.9859999999999</v>
      </c>
      <c r="F350" s="65">
        <f t="shared" si="74"/>
        <v>92779.466</v>
      </c>
      <c r="G350" s="1185">
        <v>89671.5</v>
      </c>
      <c r="H350" s="1185">
        <v>89572.52</v>
      </c>
      <c r="I350" s="65">
        <f>(G350-H350)*'16-PlantAdditions'!$E$103</f>
        <v>7.4234999999996942</v>
      </c>
      <c r="J350" s="65">
        <f t="shared" si="75"/>
        <v>330403.06200000009</v>
      </c>
      <c r="K350" s="65">
        <f t="shared" si="76"/>
        <v>330403.06200000009</v>
      </c>
    </row>
    <row r="351" spans="1:11" s="739" customFormat="1">
      <c r="A351" s="120">
        <f t="shared" si="73"/>
        <v>270</v>
      </c>
      <c r="B351" s="699" t="s">
        <v>205</v>
      </c>
      <c r="C351" s="700">
        <v>2018</v>
      </c>
      <c r="D351" s="1185">
        <v>126590.88</v>
      </c>
      <c r="E351" s="65">
        <f>D351*'16-PlantAdditions'!$E$103</f>
        <v>9494.3160000000007</v>
      </c>
      <c r="F351" s="65">
        <f t="shared" si="74"/>
        <v>136085.196</v>
      </c>
      <c r="G351" s="1185">
        <v>0</v>
      </c>
      <c r="H351" s="1185">
        <v>0</v>
      </c>
      <c r="I351" s="65">
        <f>(G351-H351)*'16-PlantAdditions'!$E$103</f>
        <v>0</v>
      </c>
      <c r="J351" s="65">
        <f t="shared" si="75"/>
        <v>466488.25800000009</v>
      </c>
      <c r="K351" s="65">
        <f t="shared" si="76"/>
        <v>466488.25800000009</v>
      </c>
    </row>
    <row r="352" spans="1:11" s="739" customFormat="1">
      <c r="A352" s="120">
        <f t="shared" si="73"/>
        <v>271</v>
      </c>
      <c r="B352" s="702" t="s">
        <v>206</v>
      </c>
      <c r="C352" s="700">
        <v>2018</v>
      </c>
      <c r="D352" s="1185">
        <v>170144</v>
      </c>
      <c r="E352" s="65">
        <f>D352*'16-PlantAdditions'!$E$103</f>
        <v>12760.8</v>
      </c>
      <c r="F352" s="65">
        <f t="shared" si="74"/>
        <v>182904.8</v>
      </c>
      <c r="G352" s="1185">
        <v>0</v>
      </c>
      <c r="H352" s="1185">
        <v>0</v>
      </c>
      <c r="I352" s="65">
        <f>(G352-H352)*'16-PlantAdditions'!$E$103</f>
        <v>0</v>
      </c>
      <c r="J352" s="65">
        <f t="shared" si="75"/>
        <v>649393.05800000008</v>
      </c>
      <c r="K352" s="65">
        <f t="shared" si="76"/>
        <v>649393.05800000008</v>
      </c>
    </row>
    <row r="353" spans="1:11" s="739" customFormat="1">
      <c r="A353" s="120">
        <f t="shared" si="73"/>
        <v>272</v>
      </c>
      <c r="B353" s="702" t="s">
        <v>207</v>
      </c>
      <c r="C353" s="700">
        <v>2018</v>
      </c>
      <c r="D353" s="1185">
        <v>147616.56</v>
      </c>
      <c r="E353" s="65">
        <f>D353*'16-PlantAdditions'!$E$103</f>
        <v>11071.242</v>
      </c>
      <c r="F353" s="65">
        <f t="shared" si="74"/>
        <v>158687.802</v>
      </c>
      <c r="G353" s="1185">
        <v>0</v>
      </c>
      <c r="H353" s="1185">
        <v>0</v>
      </c>
      <c r="I353" s="65">
        <f>(G353-H353)*'16-PlantAdditions'!$E$103</f>
        <v>0</v>
      </c>
      <c r="J353" s="65">
        <f t="shared" si="75"/>
        <v>808080.8600000001</v>
      </c>
      <c r="K353" s="65">
        <f t="shared" si="76"/>
        <v>808080.8600000001</v>
      </c>
    </row>
    <row r="354" spans="1:11" s="739" customFormat="1">
      <c r="A354" s="120">
        <f t="shared" si="73"/>
        <v>273</v>
      </c>
      <c r="B354" s="699" t="s">
        <v>210</v>
      </c>
      <c r="C354" s="700">
        <v>2018</v>
      </c>
      <c r="D354" s="1185">
        <v>98842.64</v>
      </c>
      <c r="E354" s="65">
        <f>D354*'16-PlantAdditions'!$E$103</f>
        <v>7413.1979999999994</v>
      </c>
      <c r="F354" s="65">
        <f t="shared" si="74"/>
        <v>106255.838</v>
      </c>
      <c r="G354" s="1185">
        <v>0</v>
      </c>
      <c r="H354" s="1185">
        <v>0</v>
      </c>
      <c r="I354" s="65">
        <f>(G354-H354)*'16-PlantAdditions'!$E$103</f>
        <v>0</v>
      </c>
      <c r="J354" s="65">
        <f t="shared" si="75"/>
        <v>914336.69800000009</v>
      </c>
      <c r="K354" s="65">
        <f t="shared" si="76"/>
        <v>914336.69800000009</v>
      </c>
    </row>
    <row r="355" spans="1:11" s="739" customFormat="1">
      <c r="A355" s="120">
        <f t="shared" si="73"/>
        <v>274</v>
      </c>
      <c r="B355" s="699" t="s">
        <v>209</v>
      </c>
      <c r="C355" s="700">
        <v>2018</v>
      </c>
      <c r="D355" s="1185">
        <v>315181.88000000006</v>
      </c>
      <c r="E355" s="65">
        <f>D355*'16-PlantAdditions'!$E$103</f>
        <v>23638.641000000003</v>
      </c>
      <c r="F355" s="65">
        <f t="shared" si="74"/>
        <v>338820.52100000007</v>
      </c>
      <c r="G355" s="1185">
        <v>0</v>
      </c>
      <c r="H355" s="1185">
        <v>0</v>
      </c>
      <c r="I355" s="65">
        <f>(G355-H355)*'16-PlantAdditions'!$E$103</f>
        <v>0</v>
      </c>
      <c r="J355" s="65">
        <f t="shared" si="75"/>
        <v>1253157.219</v>
      </c>
      <c r="K355" s="65">
        <f t="shared" si="76"/>
        <v>1253157.219</v>
      </c>
    </row>
    <row r="356" spans="1:11" s="739" customFormat="1">
      <c r="A356" s="120">
        <f t="shared" si="73"/>
        <v>275</v>
      </c>
      <c r="B356" s="699" t="s">
        <v>199</v>
      </c>
      <c r="C356" s="700">
        <v>2018</v>
      </c>
      <c r="D356" s="1185">
        <v>63376.04</v>
      </c>
      <c r="E356" s="65">
        <f>D356*'16-PlantAdditions'!$E$103</f>
        <v>4753.2029999999995</v>
      </c>
      <c r="F356" s="65">
        <f t="shared" si="74"/>
        <v>68129.243000000002</v>
      </c>
      <c r="G356" s="1185">
        <v>0</v>
      </c>
      <c r="H356" s="1185">
        <v>0</v>
      </c>
      <c r="I356" s="65">
        <f>(G356-H356)*'16-PlantAdditions'!$E$103</f>
        <v>0</v>
      </c>
      <c r="J356" s="65">
        <f t="shared" si="75"/>
        <v>1321286.4620000001</v>
      </c>
      <c r="K356" s="65">
        <f t="shared" si="76"/>
        <v>1321286.4620000001</v>
      </c>
    </row>
    <row r="357" spans="1:11" s="739" customFormat="1">
      <c r="A357" s="120">
        <f t="shared" si="73"/>
        <v>276</v>
      </c>
      <c r="B357" s="699" t="s">
        <v>200</v>
      </c>
      <c r="C357" s="700">
        <v>2019</v>
      </c>
      <c r="D357" s="1185">
        <v>273332.80000000005</v>
      </c>
      <c r="E357" s="65">
        <f>D357*'16-PlantAdditions'!$E$103</f>
        <v>20499.960000000003</v>
      </c>
      <c r="F357" s="65">
        <f t="shared" si="74"/>
        <v>293832.76000000007</v>
      </c>
      <c r="G357" s="1185">
        <v>0</v>
      </c>
      <c r="H357" s="1185">
        <v>0</v>
      </c>
      <c r="I357" s="65">
        <f>(G357-H357)*'16-PlantAdditions'!$E$103</f>
        <v>0</v>
      </c>
      <c r="J357" s="65">
        <f t="shared" si="75"/>
        <v>1615119.2220000001</v>
      </c>
      <c r="K357" s="65">
        <f t="shared" si="76"/>
        <v>1615119.2220000001</v>
      </c>
    </row>
    <row r="358" spans="1:11" s="739" customFormat="1">
      <c r="A358" s="120">
        <f t="shared" si="73"/>
        <v>277</v>
      </c>
      <c r="B358" s="702" t="s">
        <v>201</v>
      </c>
      <c r="C358" s="700">
        <v>2019</v>
      </c>
      <c r="D358" s="1185">
        <v>108141.04</v>
      </c>
      <c r="E358" s="65">
        <f>D358*'16-PlantAdditions'!$E$103</f>
        <v>8110.5779999999995</v>
      </c>
      <c r="F358" s="65">
        <f t="shared" si="74"/>
        <v>116251.61799999999</v>
      </c>
      <c r="G358" s="1185">
        <v>12782.63</v>
      </c>
      <c r="H358" s="1185">
        <v>0</v>
      </c>
      <c r="I358" s="65">
        <f>(G358-H358)*'16-PlantAdditions'!$E$103</f>
        <v>958.69724999999994</v>
      </c>
      <c r="J358" s="65">
        <f t="shared" si="75"/>
        <v>1717629.5127500002</v>
      </c>
      <c r="K358" s="65">
        <f t="shared" si="76"/>
        <v>1717629.5127500002</v>
      </c>
    </row>
    <row r="359" spans="1:11" s="739" customFormat="1">
      <c r="A359" s="120">
        <f t="shared" si="73"/>
        <v>278</v>
      </c>
      <c r="B359" s="702" t="s">
        <v>214</v>
      </c>
      <c r="C359" s="700">
        <v>2019</v>
      </c>
      <c r="D359" s="1185">
        <v>189543.75000000003</v>
      </c>
      <c r="E359" s="65">
        <f>D359*'16-PlantAdditions'!$E$103</f>
        <v>14215.781250000002</v>
      </c>
      <c r="F359" s="65">
        <f t="shared" si="74"/>
        <v>203759.53125000003</v>
      </c>
      <c r="G359" s="1185">
        <v>19173.7</v>
      </c>
      <c r="H359" s="1185">
        <v>0</v>
      </c>
      <c r="I359" s="65">
        <f>(G359-H359)*'16-PlantAdditions'!$E$103</f>
        <v>1438.0274999999999</v>
      </c>
      <c r="J359" s="65">
        <f t="shared" si="75"/>
        <v>1900777.3165000002</v>
      </c>
      <c r="K359" s="65">
        <f t="shared" si="76"/>
        <v>1900777.3165000002</v>
      </c>
    </row>
    <row r="360" spans="1:11" s="739" customFormat="1">
      <c r="A360" s="120">
        <f t="shared" si="73"/>
        <v>279</v>
      </c>
      <c r="B360" s="699" t="s">
        <v>202</v>
      </c>
      <c r="C360" s="700">
        <v>2019</v>
      </c>
      <c r="D360" s="1185">
        <v>243016.54</v>
      </c>
      <c r="E360" s="65">
        <f>D360*'16-PlantAdditions'!$E$103</f>
        <v>18226.2405</v>
      </c>
      <c r="F360" s="65">
        <f t="shared" si="74"/>
        <v>261242.78049999999</v>
      </c>
      <c r="G360" s="1185">
        <v>31956.329999999998</v>
      </c>
      <c r="H360" s="1185">
        <v>0</v>
      </c>
      <c r="I360" s="65">
        <f>(G360-H360)*'16-PlantAdditions'!$E$103</f>
        <v>2396.7247499999999</v>
      </c>
      <c r="J360" s="65">
        <f t="shared" si="75"/>
        <v>2127667.0422499999</v>
      </c>
      <c r="K360" s="65">
        <f t="shared" si="76"/>
        <v>2127667.0422499999</v>
      </c>
    </row>
    <row r="361" spans="1:11" s="739" customFormat="1">
      <c r="A361" s="120">
        <f t="shared" si="73"/>
        <v>280</v>
      </c>
      <c r="B361" s="702" t="s">
        <v>203</v>
      </c>
      <c r="C361" s="700">
        <v>2019</v>
      </c>
      <c r="D361" s="1185">
        <v>323229.66000000003</v>
      </c>
      <c r="E361" s="65">
        <f>D361*'16-PlantAdditions'!$E$103</f>
        <v>24242.2245</v>
      </c>
      <c r="F361" s="65">
        <f t="shared" si="74"/>
        <v>347471.88450000004</v>
      </c>
      <c r="G361" s="1185">
        <v>51130.52</v>
      </c>
      <c r="H361" s="1185">
        <v>0</v>
      </c>
      <c r="I361" s="65">
        <f>(G361-H361)*'16-PlantAdditions'!$E$103</f>
        <v>3834.7889999999998</v>
      </c>
      <c r="J361" s="65">
        <f t="shared" si="75"/>
        <v>2420173.6177500002</v>
      </c>
      <c r="K361" s="65">
        <f t="shared" si="76"/>
        <v>2420173.6177500002</v>
      </c>
    </row>
    <row r="362" spans="1:11" s="739" customFormat="1">
      <c r="A362" s="120">
        <f t="shared" si="73"/>
        <v>281</v>
      </c>
      <c r="B362" s="702" t="s">
        <v>1650</v>
      </c>
      <c r="C362" s="700">
        <v>2019</v>
      </c>
      <c r="D362" s="1185">
        <v>376704.14</v>
      </c>
      <c r="E362" s="65">
        <f>D362*'16-PlantAdditions'!$E$103</f>
        <v>28252.8105</v>
      </c>
      <c r="F362" s="65">
        <f t="shared" si="74"/>
        <v>404956.95050000004</v>
      </c>
      <c r="G362" s="1185">
        <v>63913.15</v>
      </c>
      <c r="H362" s="1185">
        <v>0</v>
      </c>
      <c r="I362" s="65">
        <f>(G362-H362)*'16-PlantAdditions'!$E$103</f>
        <v>4793.4862499999999</v>
      </c>
      <c r="J362" s="65">
        <f t="shared" si="75"/>
        <v>2756423.9320000005</v>
      </c>
      <c r="K362" s="65">
        <f t="shared" si="76"/>
        <v>2756423.9320000005</v>
      </c>
    </row>
    <row r="363" spans="1:11" s="739" customFormat="1">
      <c r="A363" s="120">
        <f t="shared" si="73"/>
        <v>282</v>
      </c>
      <c r="B363" s="699" t="s">
        <v>205</v>
      </c>
      <c r="C363" s="700">
        <v>2019</v>
      </c>
      <c r="D363" s="1185">
        <v>456914.76999999996</v>
      </c>
      <c r="E363" s="65">
        <f>D363*'16-PlantAdditions'!$E$103</f>
        <v>34268.607749999996</v>
      </c>
      <c r="F363" s="65">
        <f t="shared" si="74"/>
        <v>491183.37774999999</v>
      </c>
      <c r="G363" s="1185">
        <v>83086.849999999991</v>
      </c>
      <c r="H363" s="1185">
        <v>0</v>
      </c>
      <c r="I363" s="65">
        <f>(G363-H363)*'16-PlantAdditions'!$E$103</f>
        <v>6231.5137499999992</v>
      </c>
      <c r="J363" s="65">
        <f t="shared" si="75"/>
        <v>3158288.9460000005</v>
      </c>
      <c r="K363" s="65">
        <f t="shared" si="76"/>
        <v>3158288.9460000005</v>
      </c>
    </row>
    <row r="364" spans="1:11" s="739" customFormat="1">
      <c r="A364" s="120">
        <f t="shared" si="73"/>
        <v>283</v>
      </c>
      <c r="B364" s="702" t="s">
        <v>206</v>
      </c>
      <c r="C364" s="700">
        <v>2019</v>
      </c>
      <c r="D364" s="1185">
        <v>483650.41000000003</v>
      </c>
      <c r="E364" s="65">
        <f>D364*'16-PlantAdditions'!$E$103</f>
        <v>36273.780749999998</v>
      </c>
      <c r="F364" s="65">
        <f t="shared" si="74"/>
        <v>519924.19075000001</v>
      </c>
      <c r="G364" s="1185">
        <v>89478.41</v>
      </c>
      <c r="H364" s="1185">
        <v>0</v>
      </c>
      <c r="I364" s="65">
        <f>(G364-H364)*'16-PlantAdditions'!$E$103</f>
        <v>6710.8807500000003</v>
      </c>
      <c r="J364" s="65">
        <f t="shared" si="75"/>
        <v>3582023.8460000004</v>
      </c>
      <c r="K364" s="65">
        <f t="shared" si="76"/>
        <v>3582023.8460000004</v>
      </c>
    </row>
    <row r="365" spans="1:11" s="739" customFormat="1">
      <c r="A365" s="120">
        <f t="shared" si="73"/>
        <v>284</v>
      </c>
      <c r="B365" s="702" t="s">
        <v>207</v>
      </c>
      <c r="C365" s="700">
        <v>2019</v>
      </c>
      <c r="D365" s="1185">
        <v>483650.41000000003</v>
      </c>
      <c r="E365" s="65">
        <f>D365*'16-PlantAdditions'!$E$103</f>
        <v>36273.780749999998</v>
      </c>
      <c r="F365" s="65">
        <f t="shared" si="74"/>
        <v>519924.19075000001</v>
      </c>
      <c r="G365" s="1185">
        <v>89478.41</v>
      </c>
      <c r="H365" s="1185">
        <v>0</v>
      </c>
      <c r="I365" s="65">
        <f>(G365-H365)*'16-PlantAdditions'!$E$103</f>
        <v>6710.8807500000003</v>
      </c>
      <c r="J365" s="65">
        <f t="shared" si="75"/>
        <v>4005758.7460000003</v>
      </c>
      <c r="K365" s="65">
        <f t="shared" si="76"/>
        <v>4005758.7460000003</v>
      </c>
    </row>
    <row r="366" spans="1:11" s="739" customFormat="1">
      <c r="A366" s="120">
        <f t="shared" si="73"/>
        <v>285</v>
      </c>
      <c r="B366" s="702" t="s">
        <v>210</v>
      </c>
      <c r="C366" s="700">
        <v>2019</v>
      </c>
      <c r="D366" s="1185">
        <v>483651.97</v>
      </c>
      <c r="E366" s="65">
        <f>D366*'16-PlantAdditions'!$E$103</f>
        <v>36273.897749999996</v>
      </c>
      <c r="F366" s="65">
        <f t="shared" ref="F366:F368" si="77">E366+D366</f>
        <v>519925.86774999998</v>
      </c>
      <c r="G366" s="1185">
        <v>89478.41</v>
      </c>
      <c r="H366" s="1185">
        <v>0</v>
      </c>
      <c r="I366" s="65">
        <f>(G366-H366)*'16-PlantAdditions'!$E$103</f>
        <v>6710.8807500000003</v>
      </c>
      <c r="J366" s="65">
        <f t="shared" ref="J366:J368" si="78">J365+F366-G366-I366</f>
        <v>4429495.3230000008</v>
      </c>
      <c r="K366" s="65">
        <f t="shared" si="76"/>
        <v>4429495.3230000008</v>
      </c>
    </row>
    <row r="367" spans="1:11" s="739" customFormat="1">
      <c r="A367" s="120">
        <f t="shared" si="73"/>
        <v>286</v>
      </c>
      <c r="B367" s="702" t="s">
        <v>209</v>
      </c>
      <c r="C367" s="700">
        <v>2019</v>
      </c>
      <c r="D367" s="1185">
        <v>320844.81</v>
      </c>
      <c r="E367" s="65">
        <f>D367*'16-PlantAdditions'!$E$103</f>
        <v>24063.36075</v>
      </c>
      <c r="F367" s="65">
        <f t="shared" si="77"/>
        <v>344908.17074999999</v>
      </c>
      <c r="G367" s="1185">
        <v>76695.78</v>
      </c>
      <c r="H367" s="1185">
        <v>0</v>
      </c>
      <c r="I367" s="65">
        <f>(G367-H367)*'16-PlantAdditions'!$E$103</f>
        <v>5752.1835000000001</v>
      </c>
      <c r="J367" s="65">
        <f t="shared" si="78"/>
        <v>4691955.5302499998</v>
      </c>
      <c r="K367" s="65">
        <f t="shared" si="76"/>
        <v>4691955.5302499998</v>
      </c>
    </row>
    <row r="368" spans="1:11" s="739" customFormat="1">
      <c r="A368" s="120">
        <f t="shared" si="73"/>
        <v>287</v>
      </c>
      <c r="B368" s="702" t="s">
        <v>199</v>
      </c>
      <c r="C368" s="700">
        <v>2019</v>
      </c>
      <c r="D368" s="1185">
        <v>4917683.42</v>
      </c>
      <c r="E368" s="65">
        <f>D368*'16-PlantAdditions'!$E$103</f>
        <v>368826.25649999996</v>
      </c>
      <c r="F368" s="65">
        <f t="shared" si="77"/>
        <v>5286509.6765000001</v>
      </c>
      <c r="G368" s="1185">
        <v>31956.329999999998</v>
      </c>
      <c r="H368" s="1185">
        <v>0</v>
      </c>
      <c r="I368" s="65">
        <f>(G368-H368)*'16-PlantAdditions'!$E$103</f>
        <v>2396.7247499999999</v>
      </c>
      <c r="J368" s="65">
        <f t="shared" si="78"/>
        <v>9944112.1520000007</v>
      </c>
      <c r="K368" s="945">
        <f t="shared" si="76"/>
        <v>9944112.1520000007</v>
      </c>
    </row>
    <row r="369" spans="1:11" s="739" customFormat="1">
      <c r="A369" s="120">
        <f t="shared" si="73"/>
        <v>288</v>
      </c>
      <c r="B369"/>
      <c r="C369" s="738" t="s">
        <v>1821</v>
      </c>
      <c r="D369"/>
      <c r="E369"/>
      <c r="F369"/>
      <c r="G369"/>
      <c r="H369"/>
      <c r="I369"/>
      <c r="J369"/>
      <c r="K369" s="80">
        <f>AVERAGE(K356:K368)</f>
        <v>3359285.511423077</v>
      </c>
    </row>
    <row r="370" spans="1:11" s="739" customFormat="1">
      <c r="A370" s="120"/>
      <c r="B370"/>
      <c r="C370" s="738"/>
      <c r="D370"/>
      <c r="E370"/>
      <c r="F370"/>
      <c r="G370"/>
      <c r="H370"/>
      <c r="I370"/>
      <c r="J370"/>
      <c r="K370" s="80"/>
    </row>
    <row r="371" spans="1:11" s="739" customFormat="1">
      <c r="B371" s="740" t="s">
        <v>2335</v>
      </c>
      <c r="D371" s="1394" t="s">
        <v>2948</v>
      </c>
      <c r="E371" s="1394"/>
      <c r="F371" s="745"/>
    </row>
    <row r="372" spans="1:11" s="739" customFormat="1">
      <c r="A372" s="734"/>
      <c r="B372" s="734"/>
      <c r="C372" s="734"/>
      <c r="D372" s="734" t="s">
        <v>391</v>
      </c>
      <c r="E372" s="734" t="s">
        <v>375</v>
      </c>
      <c r="F372" s="734" t="s">
        <v>376</v>
      </c>
      <c r="G372" s="734" t="s">
        <v>377</v>
      </c>
      <c r="H372" s="734" t="s">
        <v>378</v>
      </c>
      <c r="I372" s="734" t="s">
        <v>379</v>
      </c>
      <c r="J372" s="734" t="s">
        <v>380</v>
      </c>
      <c r="K372" s="734" t="s">
        <v>593</v>
      </c>
    </row>
    <row r="373" spans="1:11" s="739" customFormat="1" ht="38.25">
      <c r="D373" s="741"/>
      <c r="E373" s="742" t="s">
        <v>2561</v>
      </c>
      <c r="F373" s="743" t="s">
        <v>2318</v>
      </c>
      <c r="G373" s="524"/>
      <c r="H373" s="741"/>
      <c r="I373" s="742" t="s">
        <v>2562</v>
      </c>
      <c r="J373" s="742" t="s">
        <v>2319</v>
      </c>
      <c r="K373" s="742" t="s">
        <v>2320</v>
      </c>
    </row>
    <row r="374" spans="1:11" s="739" customFormat="1">
      <c r="D374" s="741"/>
      <c r="E374" s="742"/>
      <c r="F374" s="743"/>
      <c r="G374" s="4" t="str">
        <f>G51</f>
        <v>Unloaded</v>
      </c>
      <c r="H374" s="741"/>
      <c r="I374" s="742"/>
      <c r="J374" s="742"/>
      <c r="K374" s="742"/>
    </row>
    <row r="375" spans="1:11" s="739" customFormat="1">
      <c r="A375" s="736"/>
      <c r="B375" s="736"/>
      <c r="C375" s="736"/>
      <c r="D375" s="736" t="str">
        <f>D$52</f>
        <v>Forecast</v>
      </c>
      <c r="E375" s="736" t="str">
        <f t="shared" ref="E375:J375" si="79">E$52</f>
        <v>Corporate</v>
      </c>
      <c r="F375" s="736" t="str">
        <f t="shared" si="79"/>
        <v xml:space="preserve">Total </v>
      </c>
      <c r="G375" s="4" t="str">
        <f>G52</f>
        <v>Total</v>
      </c>
      <c r="H375" s="736" t="str">
        <f t="shared" si="79"/>
        <v>Prior Period</v>
      </c>
      <c r="I375" s="736" t="str">
        <f t="shared" si="79"/>
        <v>Over Heads</v>
      </c>
      <c r="J375" s="736" t="str">
        <f t="shared" si="79"/>
        <v>Forecast</v>
      </c>
      <c r="K375" s="736" t="str">
        <f>K$52</f>
        <v>Forecast Period</v>
      </c>
    </row>
    <row r="376" spans="1:11" s="739" customFormat="1">
      <c r="A376" s="998" t="s">
        <v>360</v>
      </c>
      <c r="B376" s="698" t="s">
        <v>211</v>
      </c>
      <c r="C376" s="698" t="s">
        <v>212</v>
      </c>
      <c r="D376" s="734" t="str">
        <f>D$53</f>
        <v>Expenditures</v>
      </c>
      <c r="E376" s="734" t="str">
        <f t="shared" ref="E376:J376" si="80">E$53</f>
        <v>Overheads</v>
      </c>
      <c r="F376" s="734" t="str">
        <f t="shared" si="80"/>
        <v>CWIP Exp</v>
      </c>
      <c r="G376" s="91" t="str">
        <f>G53</f>
        <v>Plant Adds</v>
      </c>
      <c r="H376" s="734" t="str">
        <f t="shared" si="80"/>
        <v>CWIP Closed</v>
      </c>
      <c r="I376" s="734" t="str">
        <f t="shared" si="80"/>
        <v>Closed to PIS</v>
      </c>
      <c r="J376" s="734" t="str">
        <f t="shared" si="80"/>
        <v>Period CWIP</v>
      </c>
      <c r="K376" s="734" t="str">
        <f>K$53</f>
        <v>Incremental CWIP</v>
      </c>
    </row>
    <row r="377" spans="1:11" s="739" customFormat="1">
      <c r="A377" s="120">
        <f>A369+1</f>
        <v>289</v>
      </c>
      <c r="B377" s="699" t="s">
        <v>199</v>
      </c>
      <c r="C377" s="700">
        <v>2017</v>
      </c>
      <c r="D377" s="743" t="s">
        <v>86</v>
      </c>
      <c r="E377" s="743" t="s">
        <v>86</v>
      </c>
      <c r="F377" s="743" t="s">
        <v>86</v>
      </c>
      <c r="G377" s="743" t="s">
        <v>86</v>
      </c>
      <c r="H377" s="743" t="s">
        <v>86</v>
      </c>
      <c r="I377" s="743" t="s">
        <v>86</v>
      </c>
      <c r="J377" s="65">
        <v>0</v>
      </c>
      <c r="K377" s="743" t="s">
        <v>86</v>
      </c>
    </row>
    <row r="378" spans="1:11" s="739" customFormat="1">
      <c r="A378" s="120">
        <f>A377+1</f>
        <v>290</v>
      </c>
      <c r="B378" s="699" t="s">
        <v>200</v>
      </c>
      <c r="C378" s="700">
        <v>2018</v>
      </c>
      <c r="D378" s="116">
        <v>2147654</v>
      </c>
      <c r="E378" s="65">
        <f>D378*'16-PlantAdditions'!$E$103</f>
        <v>161074.04999999999</v>
      </c>
      <c r="F378" s="65">
        <f>E378+D378</f>
        <v>2308728.0499999998</v>
      </c>
      <c r="G378" s="116">
        <v>0</v>
      </c>
      <c r="H378" s="116">
        <v>0</v>
      </c>
      <c r="I378" s="65">
        <f>(G378-H378)*'16-PlantAdditions'!$E$103</f>
        <v>0</v>
      </c>
      <c r="J378" s="65">
        <f>J377+F378-G378-I378</f>
        <v>2308728.0499999998</v>
      </c>
      <c r="K378" s="65">
        <f>J378-$J$377</f>
        <v>2308728.0499999998</v>
      </c>
    </row>
    <row r="379" spans="1:11" s="739" customFormat="1">
      <c r="A379" s="120">
        <f t="shared" ref="A379:A402" si="81">A378+1</f>
        <v>291</v>
      </c>
      <c r="B379" s="702" t="s">
        <v>201</v>
      </c>
      <c r="C379" s="700">
        <v>2018</v>
      </c>
      <c r="D379" s="116">
        <v>218055</v>
      </c>
      <c r="E379" s="65">
        <f>D379*'16-PlantAdditions'!$E$103</f>
        <v>16354.125</v>
      </c>
      <c r="F379" s="65">
        <f t="shared" ref="F379:F398" si="82">E379+D379</f>
        <v>234409.125</v>
      </c>
      <c r="G379" s="116">
        <v>0</v>
      </c>
      <c r="H379" s="116">
        <v>0</v>
      </c>
      <c r="I379" s="65">
        <f>(G379-H379)*'16-PlantAdditions'!$E$103</f>
        <v>0</v>
      </c>
      <c r="J379" s="65">
        <f t="shared" ref="J379:J398" si="83">J378+F379-G379-I379</f>
        <v>2543137.1749999998</v>
      </c>
      <c r="K379" s="65">
        <f t="shared" ref="K379:K401" si="84">J379-$J$377</f>
        <v>2543137.1749999998</v>
      </c>
    </row>
    <row r="380" spans="1:11" s="739" customFormat="1">
      <c r="A380" s="120">
        <f t="shared" si="81"/>
        <v>292</v>
      </c>
      <c r="B380" s="702" t="s">
        <v>214</v>
      </c>
      <c r="C380" s="700">
        <v>2018</v>
      </c>
      <c r="D380" s="116">
        <v>9974740.459999999</v>
      </c>
      <c r="E380" s="65">
        <f>D380*'16-PlantAdditions'!$E$103</f>
        <v>748105.53449999995</v>
      </c>
      <c r="F380" s="65">
        <f t="shared" si="82"/>
        <v>10722845.994499998</v>
      </c>
      <c r="G380" s="116">
        <v>0</v>
      </c>
      <c r="H380" s="116">
        <v>0</v>
      </c>
      <c r="I380" s="65">
        <f>(G380-H380)*'16-PlantAdditions'!$E$103</f>
        <v>0</v>
      </c>
      <c r="J380" s="65">
        <f t="shared" si="83"/>
        <v>13265983.169499997</v>
      </c>
      <c r="K380" s="65">
        <f t="shared" si="84"/>
        <v>13265983.169499997</v>
      </c>
    </row>
    <row r="381" spans="1:11" s="739" customFormat="1">
      <c r="A381" s="120">
        <f t="shared" si="81"/>
        <v>293</v>
      </c>
      <c r="B381" s="699" t="s">
        <v>202</v>
      </c>
      <c r="C381" s="700">
        <v>2018</v>
      </c>
      <c r="D381" s="116">
        <v>853930.00000000012</v>
      </c>
      <c r="E381" s="65">
        <f>D381*'16-PlantAdditions'!$E$103</f>
        <v>64044.750000000007</v>
      </c>
      <c r="F381" s="65">
        <f t="shared" si="82"/>
        <v>917974.75000000012</v>
      </c>
      <c r="G381" s="116">
        <v>0</v>
      </c>
      <c r="H381" s="116">
        <v>0</v>
      </c>
      <c r="I381" s="65">
        <f>(G381-H381)*'16-PlantAdditions'!$E$103</f>
        <v>0</v>
      </c>
      <c r="J381" s="65">
        <f t="shared" si="83"/>
        <v>14183957.919499997</v>
      </c>
      <c r="K381" s="65">
        <f t="shared" si="84"/>
        <v>14183957.919499997</v>
      </c>
    </row>
    <row r="382" spans="1:11" s="739" customFormat="1">
      <c r="A382" s="120">
        <f t="shared" si="81"/>
        <v>294</v>
      </c>
      <c r="B382" s="702" t="s">
        <v>203</v>
      </c>
      <c r="C382" s="700">
        <v>2018</v>
      </c>
      <c r="D382" s="116">
        <v>882930.00000000012</v>
      </c>
      <c r="E382" s="65">
        <f>D382*'16-PlantAdditions'!$E$103</f>
        <v>66219.75</v>
      </c>
      <c r="F382" s="65">
        <f t="shared" si="82"/>
        <v>949149.75000000012</v>
      </c>
      <c r="G382" s="116">
        <v>0</v>
      </c>
      <c r="H382" s="116">
        <v>0</v>
      </c>
      <c r="I382" s="65">
        <f>(G382-H382)*'16-PlantAdditions'!$E$103</f>
        <v>0</v>
      </c>
      <c r="J382" s="65">
        <f t="shared" si="83"/>
        <v>15133107.669499997</v>
      </c>
      <c r="K382" s="65">
        <f t="shared" si="84"/>
        <v>15133107.669499997</v>
      </c>
    </row>
    <row r="383" spans="1:11" s="739" customFormat="1">
      <c r="A383" s="120">
        <f t="shared" si="81"/>
        <v>295</v>
      </c>
      <c r="B383" s="702" t="s">
        <v>1650</v>
      </c>
      <c r="C383" s="700">
        <v>2018</v>
      </c>
      <c r="D383" s="116">
        <v>895930.00000000012</v>
      </c>
      <c r="E383" s="65">
        <f>D383*'16-PlantAdditions'!$E$103</f>
        <v>67194.75</v>
      </c>
      <c r="F383" s="65">
        <f t="shared" si="82"/>
        <v>963124.75000000012</v>
      </c>
      <c r="G383" s="116">
        <v>0</v>
      </c>
      <c r="H383" s="116">
        <v>0</v>
      </c>
      <c r="I383" s="65">
        <f>(G383-H383)*'16-PlantAdditions'!$E$103</f>
        <v>0</v>
      </c>
      <c r="J383" s="65">
        <f t="shared" si="83"/>
        <v>16096232.419499997</v>
      </c>
      <c r="K383" s="65">
        <f t="shared" si="84"/>
        <v>16096232.419499997</v>
      </c>
    </row>
    <row r="384" spans="1:11" s="739" customFormat="1">
      <c r="A384" s="120">
        <f t="shared" si="81"/>
        <v>296</v>
      </c>
      <c r="B384" s="699" t="s">
        <v>205</v>
      </c>
      <c r="C384" s="700">
        <v>2018</v>
      </c>
      <c r="D384" s="116">
        <v>880860</v>
      </c>
      <c r="E384" s="65">
        <f>D384*'16-PlantAdditions'!$E$103</f>
        <v>66064.5</v>
      </c>
      <c r="F384" s="65">
        <f t="shared" si="82"/>
        <v>946924.5</v>
      </c>
      <c r="G384" s="116">
        <v>0</v>
      </c>
      <c r="H384" s="116">
        <v>0</v>
      </c>
      <c r="I384" s="65">
        <f>(G384-H384)*'16-PlantAdditions'!$E$103</f>
        <v>0</v>
      </c>
      <c r="J384" s="65">
        <f t="shared" si="83"/>
        <v>17043156.919499997</v>
      </c>
      <c r="K384" s="65">
        <f t="shared" si="84"/>
        <v>17043156.919499997</v>
      </c>
    </row>
    <row r="385" spans="1:11" s="739" customFormat="1">
      <c r="A385" s="120">
        <f t="shared" si="81"/>
        <v>297</v>
      </c>
      <c r="B385" s="702" t="s">
        <v>206</v>
      </c>
      <c r="C385" s="700">
        <v>2018</v>
      </c>
      <c r="D385" s="116">
        <v>882860</v>
      </c>
      <c r="E385" s="65">
        <f>D385*'16-PlantAdditions'!$E$103</f>
        <v>66214.5</v>
      </c>
      <c r="F385" s="65">
        <f t="shared" si="82"/>
        <v>949074.5</v>
      </c>
      <c r="G385" s="116">
        <v>0</v>
      </c>
      <c r="H385" s="116">
        <v>0</v>
      </c>
      <c r="I385" s="65">
        <f>(G385-H385)*'16-PlantAdditions'!$E$103</f>
        <v>0</v>
      </c>
      <c r="J385" s="65">
        <f t="shared" si="83"/>
        <v>17992231.419499997</v>
      </c>
      <c r="K385" s="65">
        <f t="shared" si="84"/>
        <v>17992231.419499997</v>
      </c>
    </row>
    <row r="386" spans="1:11" s="739" customFormat="1">
      <c r="A386" s="120">
        <f t="shared" si="81"/>
        <v>298</v>
      </c>
      <c r="B386" s="702" t="s">
        <v>207</v>
      </c>
      <c r="C386" s="700">
        <v>2018</v>
      </c>
      <c r="D386" s="116">
        <v>945860</v>
      </c>
      <c r="E386" s="65">
        <f>D386*'16-PlantAdditions'!$E$103</f>
        <v>70939.5</v>
      </c>
      <c r="F386" s="65">
        <f t="shared" si="82"/>
        <v>1016799.5</v>
      </c>
      <c r="G386" s="116">
        <v>0</v>
      </c>
      <c r="H386" s="116">
        <v>0</v>
      </c>
      <c r="I386" s="65">
        <f>(G386-H386)*'16-PlantAdditions'!$E$103</f>
        <v>0</v>
      </c>
      <c r="J386" s="65">
        <f t="shared" si="83"/>
        <v>19009030.919499997</v>
      </c>
      <c r="K386" s="65">
        <f t="shared" si="84"/>
        <v>19009030.919499997</v>
      </c>
    </row>
    <row r="387" spans="1:11" s="739" customFormat="1">
      <c r="A387" s="120">
        <f t="shared" si="81"/>
        <v>299</v>
      </c>
      <c r="B387" s="699" t="s">
        <v>210</v>
      </c>
      <c r="C387" s="700">
        <v>2018</v>
      </c>
      <c r="D387" s="116">
        <v>598790</v>
      </c>
      <c r="E387" s="65">
        <f>D387*'16-PlantAdditions'!$E$103</f>
        <v>44909.25</v>
      </c>
      <c r="F387" s="65">
        <f t="shared" si="82"/>
        <v>643699.25</v>
      </c>
      <c r="G387" s="116">
        <v>0</v>
      </c>
      <c r="H387" s="116">
        <v>0</v>
      </c>
      <c r="I387" s="65">
        <f>(G387-H387)*'16-PlantAdditions'!$E$103</f>
        <v>0</v>
      </c>
      <c r="J387" s="65">
        <f t="shared" si="83"/>
        <v>19652730.169499997</v>
      </c>
      <c r="K387" s="65">
        <f t="shared" si="84"/>
        <v>19652730.169499997</v>
      </c>
    </row>
    <row r="388" spans="1:11" s="739" customFormat="1">
      <c r="A388" s="120">
        <f t="shared" si="81"/>
        <v>300</v>
      </c>
      <c r="B388" s="699" t="s">
        <v>209</v>
      </c>
      <c r="C388" s="700">
        <v>2018</v>
      </c>
      <c r="D388" s="116">
        <v>304720</v>
      </c>
      <c r="E388" s="65">
        <f>D388*'16-PlantAdditions'!$E$103</f>
        <v>22854</v>
      </c>
      <c r="F388" s="65">
        <f t="shared" si="82"/>
        <v>327574</v>
      </c>
      <c r="G388" s="116">
        <v>0</v>
      </c>
      <c r="H388" s="116">
        <v>0</v>
      </c>
      <c r="I388" s="65">
        <f>(G388-H388)*'16-PlantAdditions'!$E$103</f>
        <v>0</v>
      </c>
      <c r="J388" s="65">
        <f t="shared" si="83"/>
        <v>19980304.169499997</v>
      </c>
      <c r="K388" s="65">
        <f t="shared" si="84"/>
        <v>19980304.169499997</v>
      </c>
    </row>
    <row r="389" spans="1:11" s="739" customFormat="1">
      <c r="A389" s="120">
        <f t="shared" si="81"/>
        <v>301</v>
      </c>
      <c r="B389" s="699" t="s">
        <v>199</v>
      </c>
      <c r="C389" s="700">
        <v>2018</v>
      </c>
      <c r="D389" s="116">
        <v>846161</v>
      </c>
      <c r="E389" s="65">
        <f>D389*'16-PlantAdditions'!$E$103</f>
        <v>63462.074999999997</v>
      </c>
      <c r="F389" s="65">
        <f t="shared" si="82"/>
        <v>909623.07499999995</v>
      </c>
      <c r="G389" s="116">
        <v>36717.159999999996</v>
      </c>
      <c r="H389" s="116">
        <v>15957.7</v>
      </c>
      <c r="I389" s="65">
        <f>(G389-H389)*'16-PlantAdditions'!$E$103</f>
        <v>1556.9594999999997</v>
      </c>
      <c r="J389" s="65">
        <f t="shared" si="83"/>
        <v>20851653.124999996</v>
      </c>
      <c r="K389" s="65">
        <f t="shared" si="84"/>
        <v>20851653.124999996</v>
      </c>
    </row>
    <row r="390" spans="1:11" s="739" customFormat="1">
      <c r="A390" s="120">
        <f t="shared" si="81"/>
        <v>302</v>
      </c>
      <c r="B390" s="699" t="s">
        <v>200</v>
      </c>
      <c r="C390" s="700">
        <v>2019</v>
      </c>
      <c r="D390" s="116">
        <v>467930</v>
      </c>
      <c r="E390" s="65">
        <f>D390*'16-PlantAdditions'!$E$103</f>
        <v>35094.75</v>
      </c>
      <c r="F390" s="65">
        <f t="shared" si="82"/>
        <v>503024.75</v>
      </c>
      <c r="G390" s="116">
        <v>930</v>
      </c>
      <c r="H390" s="116">
        <v>0</v>
      </c>
      <c r="I390" s="65">
        <f>(G390-H390)*'16-PlantAdditions'!$E$103</f>
        <v>69.75</v>
      </c>
      <c r="J390" s="65">
        <f t="shared" si="83"/>
        <v>21353678.124999996</v>
      </c>
      <c r="K390" s="65">
        <f t="shared" si="84"/>
        <v>21353678.124999996</v>
      </c>
    </row>
    <row r="391" spans="1:11" s="739" customFormat="1">
      <c r="A391" s="120">
        <f t="shared" si="81"/>
        <v>303</v>
      </c>
      <c r="B391" s="702" t="s">
        <v>201</v>
      </c>
      <c r="C391" s="700">
        <v>2019</v>
      </c>
      <c r="D391" s="116">
        <v>1274860.0000000002</v>
      </c>
      <c r="E391" s="65">
        <f>D391*'16-PlantAdditions'!$E$103</f>
        <v>95614.500000000015</v>
      </c>
      <c r="F391" s="65">
        <f t="shared" si="82"/>
        <v>1370474.5000000002</v>
      </c>
      <c r="G391" s="116">
        <v>1860</v>
      </c>
      <c r="H391" s="116">
        <v>0</v>
      </c>
      <c r="I391" s="65">
        <f>(G391-H391)*'16-PlantAdditions'!$E$103</f>
        <v>139.5</v>
      </c>
      <c r="J391" s="65">
        <f t="shared" si="83"/>
        <v>22722153.124999996</v>
      </c>
      <c r="K391" s="65">
        <f t="shared" si="84"/>
        <v>22722153.124999996</v>
      </c>
    </row>
    <row r="392" spans="1:11" s="739" customFormat="1">
      <c r="A392" s="120">
        <f t="shared" si="81"/>
        <v>304</v>
      </c>
      <c r="B392" s="702" t="s">
        <v>214</v>
      </c>
      <c r="C392" s="700">
        <v>2019</v>
      </c>
      <c r="D392" s="116">
        <v>1280860.0000000002</v>
      </c>
      <c r="E392" s="65">
        <f>D392*'16-PlantAdditions'!$E$103</f>
        <v>96064.500000000015</v>
      </c>
      <c r="F392" s="65">
        <f t="shared" si="82"/>
        <v>1376924.5000000002</v>
      </c>
      <c r="G392" s="116">
        <v>1860</v>
      </c>
      <c r="H392" s="116">
        <v>0</v>
      </c>
      <c r="I392" s="65">
        <f>(G392-H392)*'16-PlantAdditions'!$E$103</f>
        <v>139.5</v>
      </c>
      <c r="J392" s="65">
        <f t="shared" si="83"/>
        <v>24097078.124999996</v>
      </c>
      <c r="K392" s="65">
        <f t="shared" si="84"/>
        <v>24097078.124999996</v>
      </c>
    </row>
    <row r="393" spans="1:11" s="739" customFormat="1">
      <c r="A393" s="120">
        <f t="shared" si="81"/>
        <v>305</v>
      </c>
      <c r="B393" s="699" t="s">
        <v>202</v>
      </c>
      <c r="C393" s="700">
        <v>2019</v>
      </c>
      <c r="D393" s="116">
        <v>1268860.0000000002</v>
      </c>
      <c r="E393" s="65">
        <f>D393*'16-PlantAdditions'!$E$103</f>
        <v>95164.500000000015</v>
      </c>
      <c r="F393" s="65">
        <f t="shared" si="82"/>
        <v>1364024.5000000002</v>
      </c>
      <c r="G393" s="116">
        <v>1860</v>
      </c>
      <c r="H393" s="116">
        <v>0</v>
      </c>
      <c r="I393" s="65">
        <f>(G393-H393)*'16-PlantAdditions'!$E$103</f>
        <v>139.5</v>
      </c>
      <c r="J393" s="65">
        <f t="shared" si="83"/>
        <v>25459103.124999996</v>
      </c>
      <c r="K393" s="65">
        <f t="shared" si="84"/>
        <v>25459103.124999996</v>
      </c>
    </row>
    <row r="394" spans="1:11" s="739" customFormat="1">
      <c r="A394" s="120">
        <f t="shared" si="81"/>
        <v>306</v>
      </c>
      <c r="B394" s="702" t="s">
        <v>203</v>
      </c>
      <c r="C394" s="700">
        <v>2019</v>
      </c>
      <c r="D394" s="116">
        <v>1337300</v>
      </c>
      <c r="E394" s="65">
        <f>D394*'16-PlantAdditions'!$E$103</f>
        <v>100297.5</v>
      </c>
      <c r="F394" s="65">
        <f t="shared" si="82"/>
        <v>1437597.5</v>
      </c>
      <c r="G394" s="116">
        <v>9300</v>
      </c>
      <c r="H394" s="116">
        <v>0</v>
      </c>
      <c r="I394" s="65">
        <f>(G394-H394)*'16-PlantAdditions'!$E$103</f>
        <v>697.5</v>
      </c>
      <c r="J394" s="65">
        <f t="shared" si="83"/>
        <v>26886703.124999996</v>
      </c>
      <c r="K394" s="65">
        <f t="shared" si="84"/>
        <v>26886703.124999996</v>
      </c>
    </row>
    <row r="395" spans="1:11" s="739" customFormat="1">
      <c r="A395" s="120">
        <f t="shared" si="81"/>
        <v>307</v>
      </c>
      <c r="B395" s="702" t="s">
        <v>1650</v>
      </c>
      <c r="C395" s="700">
        <v>2019</v>
      </c>
      <c r="D395" s="116">
        <v>15335150</v>
      </c>
      <c r="E395" s="65">
        <f>D395*'16-PlantAdditions'!$E$103</f>
        <v>1150136.25</v>
      </c>
      <c r="F395" s="65">
        <f t="shared" si="82"/>
        <v>16485286.25</v>
      </c>
      <c r="G395" s="116">
        <v>9300</v>
      </c>
      <c r="H395" s="116">
        <v>0</v>
      </c>
      <c r="I395" s="65">
        <f>(G395-H395)*'16-PlantAdditions'!$E$103</f>
        <v>697.5</v>
      </c>
      <c r="J395" s="65">
        <f t="shared" si="83"/>
        <v>43361991.875</v>
      </c>
      <c r="K395" s="65">
        <f t="shared" si="84"/>
        <v>43361991.875</v>
      </c>
    </row>
    <row r="396" spans="1:11" s="739" customFormat="1">
      <c r="A396" s="120">
        <f t="shared" si="81"/>
        <v>308</v>
      </c>
      <c r="B396" s="699" t="s">
        <v>205</v>
      </c>
      <c r="C396" s="700">
        <v>2019</v>
      </c>
      <c r="D396" s="116">
        <v>698300</v>
      </c>
      <c r="E396" s="65">
        <f>D396*'16-PlantAdditions'!$E$103</f>
        <v>52372.5</v>
      </c>
      <c r="F396" s="65">
        <f t="shared" si="82"/>
        <v>750672.5</v>
      </c>
      <c r="G396" s="116">
        <v>9300</v>
      </c>
      <c r="H396" s="116">
        <v>0</v>
      </c>
      <c r="I396" s="65">
        <f>(G396-H396)*'16-PlantAdditions'!$E$103</f>
        <v>697.5</v>
      </c>
      <c r="J396" s="65">
        <f t="shared" si="83"/>
        <v>44102666.875</v>
      </c>
      <c r="K396" s="65">
        <f t="shared" si="84"/>
        <v>44102666.875</v>
      </c>
    </row>
    <row r="397" spans="1:11" s="739" customFormat="1">
      <c r="A397" s="120">
        <f t="shared" si="81"/>
        <v>309</v>
      </c>
      <c r="B397" s="702" t="s">
        <v>206</v>
      </c>
      <c r="C397" s="700">
        <v>2019</v>
      </c>
      <c r="D397" s="116">
        <v>634300</v>
      </c>
      <c r="E397" s="65">
        <f>D397*'16-PlantAdditions'!$E$103</f>
        <v>47572.5</v>
      </c>
      <c r="F397" s="65">
        <f t="shared" si="82"/>
        <v>681872.5</v>
      </c>
      <c r="G397" s="116">
        <v>13998455.939999999</v>
      </c>
      <c r="H397" s="116">
        <v>8470082.9399999995</v>
      </c>
      <c r="I397" s="65">
        <f>(G397-H397)*'16-PlantAdditions'!$E$103</f>
        <v>414627.97499999998</v>
      </c>
      <c r="J397" s="65">
        <f t="shared" si="83"/>
        <v>30371455.460000001</v>
      </c>
      <c r="K397" s="65">
        <f t="shared" si="84"/>
        <v>30371455.460000001</v>
      </c>
    </row>
    <row r="398" spans="1:11" s="739" customFormat="1">
      <c r="A398" s="120">
        <f t="shared" si="81"/>
        <v>310</v>
      </c>
      <c r="B398" s="702" t="s">
        <v>207</v>
      </c>
      <c r="C398" s="700">
        <v>2019</v>
      </c>
      <c r="D398" s="116">
        <v>475600</v>
      </c>
      <c r="E398" s="65">
        <f>D398*'16-PlantAdditions'!$E$103</f>
        <v>35670</v>
      </c>
      <c r="F398" s="65">
        <f t="shared" si="82"/>
        <v>511270</v>
      </c>
      <c r="G398" s="116">
        <v>23600</v>
      </c>
      <c r="H398" s="116">
        <v>0</v>
      </c>
      <c r="I398" s="65">
        <f>(G398-H398)*'16-PlantAdditions'!$E$103</f>
        <v>1770</v>
      </c>
      <c r="J398" s="65">
        <f t="shared" si="83"/>
        <v>30857355.460000001</v>
      </c>
      <c r="K398" s="65">
        <f t="shared" si="84"/>
        <v>30857355.460000001</v>
      </c>
    </row>
    <row r="399" spans="1:11" s="739" customFormat="1">
      <c r="A399" s="120">
        <f t="shared" si="81"/>
        <v>311</v>
      </c>
      <c r="B399" s="702" t="s">
        <v>210</v>
      </c>
      <c r="C399" s="700">
        <v>2019</v>
      </c>
      <c r="D399" s="116">
        <v>15244900</v>
      </c>
      <c r="E399" s="65">
        <f>D399*'16-PlantAdditions'!$E$103</f>
        <v>1143367.5</v>
      </c>
      <c r="F399" s="65">
        <f t="shared" ref="F399:F401" si="85">E399+D399</f>
        <v>16388267.5</v>
      </c>
      <c r="G399" s="116">
        <v>14191373.269999998</v>
      </c>
      <c r="H399" s="116">
        <v>6167259.2699999996</v>
      </c>
      <c r="I399" s="65">
        <f>(G399-H399)*'16-PlantAdditions'!$E$103</f>
        <v>601808.54999999981</v>
      </c>
      <c r="J399" s="65">
        <f t="shared" ref="J399:J401" si="86">J398+F399-G399-I399</f>
        <v>32452441.140000004</v>
      </c>
      <c r="K399" s="65">
        <f t="shared" si="84"/>
        <v>32452441.140000004</v>
      </c>
    </row>
    <row r="400" spans="1:11" s="739" customFormat="1">
      <c r="A400" s="120">
        <f t="shared" si="81"/>
        <v>312</v>
      </c>
      <c r="B400" s="702" t="s">
        <v>209</v>
      </c>
      <c r="C400" s="700">
        <v>2019</v>
      </c>
      <c r="D400" s="116">
        <v>4581991</v>
      </c>
      <c r="E400" s="65">
        <f>D400*'16-PlantAdditions'!$E$103</f>
        <v>343649.32500000001</v>
      </c>
      <c r="F400" s="65">
        <f t="shared" si="85"/>
        <v>4925640.3250000002</v>
      </c>
      <c r="G400" s="116">
        <v>16164858.359999998</v>
      </c>
      <c r="H400" s="116">
        <v>6140181.3599999994</v>
      </c>
      <c r="I400" s="65">
        <f>(G400-H400)*'16-PlantAdditions'!$E$103</f>
        <v>751850.77499999979</v>
      </c>
      <c r="J400" s="65">
        <f t="shared" si="86"/>
        <v>20461372.330000006</v>
      </c>
      <c r="K400" s="65">
        <f t="shared" si="84"/>
        <v>20461372.330000006</v>
      </c>
    </row>
    <row r="401" spans="1:11" s="739" customFormat="1">
      <c r="A401" s="120">
        <f t="shared" si="81"/>
        <v>313</v>
      </c>
      <c r="B401" s="702" t="s">
        <v>199</v>
      </c>
      <c r="C401" s="700">
        <v>2019</v>
      </c>
      <c r="D401" s="116">
        <v>4343830.0000000019</v>
      </c>
      <c r="E401" s="65">
        <f>D401*'16-PlantAdditions'!$E$103</f>
        <v>325787.25000000012</v>
      </c>
      <c r="F401" s="65">
        <f t="shared" si="85"/>
        <v>4669617.2500000019</v>
      </c>
      <c r="G401" s="116">
        <v>1285159.9999999998</v>
      </c>
      <c r="H401" s="116">
        <v>0</v>
      </c>
      <c r="I401" s="65">
        <f>(G401-H401)*'16-PlantAdditions'!$E$103</f>
        <v>96386.999999999985</v>
      </c>
      <c r="J401" s="65">
        <f t="shared" si="86"/>
        <v>23749442.580000006</v>
      </c>
      <c r="K401" s="121">
        <f t="shared" si="84"/>
        <v>23749442.580000006</v>
      </c>
    </row>
    <row r="402" spans="1:11" s="739" customFormat="1">
      <c r="A402" s="120">
        <f t="shared" si="81"/>
        <v>314</v>
      </c>
      <c r="B402"/>
      <c r="C402" s="738" t="s">
        <v>1821</v>
      </c>
      <c r="H402" s="743"/>
      <c r="I402" s="743"/>
      <c r="K402" s="80">
        <f>AVERAGE(K389:K401)</f>
        <v>28209776.497692302</v>
      </c>
    </row>
    <row r="403" spans="1:11" s="739" customFormat="1">
      <c r="A403" s="120"/>
      <c r="B403"/>
      <c r="C403" s="738"/>
      <c r="H403" s="743"/>
      <c r="I403" s="743"/>
      <c r="K403" s="80"/>
    </row>
    <row r="404" spans="1:11" s="739" customFormat="1">
      <c r="B404" s="740" t="s">
        <v>2949</v>
      </c>
      <c r="D404" s="1335" t="s">
        <v>2336</v>
      </c>
      <c r="E404" s="1335"/>
      <c r="F404" s="104"/>
      <c r="G404" s="104"/>
    </row>
    <row r="405" spans="1:11" s="739" customFormat="1">
      <c r="A405" s="734"/>
      <c r="B405" s="734"/>
      <c r="C405" s="734"/>
      <c r="D405" s="734" t="s">
        <v>391</v>
      </c>
      <c r="E405" s="734" t="s">
        <v>375</v>
      </c>
      <c r="F405" s="734" t="s">
        <v>376</v>
      </c>
      <c r="G405" s="734" t="s">
        <v>377</v>
      </c>
      <c r="H405" s="734" t="s">
        <v>378</v>
      </c>
      <c r="I405" s="734" t="s">
        <v>379</v>
      </c>
      <c r="J405" s="734" t="s">
        <v>380</v>
      </c>
      <c r="K405" s="734" t="s">
        <v>593</v>
      </c>
    </row>
    <row r="406" spans="1:11" s="739" customFormat="1" ht="38.25">
      <c r="D406" s="741"/>
      <c r="E406" s="742" t="s">
        <v>2561</v>
      </c>
      <c r="F406" s="743" t="s">
        <v>2318</v>
      </c>
      <c r="G406" s="524"/>
      <c r="H406" s="741"/>
      <c r="I406" s="742" t="s">
        <v>2562</v>
      </c>
      <c r="J406" s="742" t="s">
        <v>2319</v>
      </c>
      <c r="K406" s="742" t="s">
        <v>2320</v>
      </c>
    </row>
    <row r="407" spans="1:11" s="739" customFormat="1">
      <c r="D407" s="741"/>
      <c r="E407" s="742"/>
      <c r="F407" s="743"/>
      <c r="G407" s="4" t="str">
        <f>G85</f>
        <v>Unloaded</v>
      </c>
      <c r="H407" s="741"/>
      <c r="I407" s="742"/>
      <c r="J407" s="742"/>
      <c r="K407" s="742"/>
    </row>
    <row r="408" spans="1:11" s="739" customFormat="1">
      <c r="A408" s="736"/>
      <c r="B408" s="736"/>
      <c r="C408" s="736"/>
      <c r="D408" s="736" t="str">
        <f>D$52</f>
        <v>Forecast</v>
      </c>
      <c r="E408" s="736" t="str">
        <f t="shared" ref="E408:J408" si="87">E$52</f>
        <v>Corporate</v>
      </c>
      <c r="F408" s="736" t="str">
        <f t="shared" si="87"/>
        <v xml:space="preserve">Total </v>
      </c>
      <c r="G408" s="4" t="str">
        <f>G86</f>
        <v>Total</v>
      </c>
      <c r="H408" s="736" t="str">
        <f t="shared" si="87"/>
        <v>Prior Period</v>
      </c>
      <c r="I408" s="736" t="str">
        <f t="shared" si="87"/>
        <v>Over Heads</v>
      </c>
      <c r="J408" s="736" t="str">
        <f t="shared" si="87"/>
        <v>Forecast</v>
      </c>
      <c r="K408" s="736" t="str">
        <f>K$52</f>
        <v>Forecast Period</v>
      </c>
    </row>
    <row r="409" spans="1:11" s="739" customFormat="1">
      <c r="A409" s="998" t="s">
        <v>360</v>
      </c>
      <c r="B409" s="698" t="s">
        <v>211</v>
      </c>
      <c r="C409" s="698" t="s">
        <v>212</v>
      </c>
      <c r="D409" s="734" t="str">
        <f>D$53</f>
        <v>Expenditures</v>
      </c>
      <c r="E409" s="734" t="str">
        <f t="shared" ref="E409:J409" si="88">E$53</f>
        <v>Overheads</v>
      </c>
      <c r="F409" s="734" t="str">
        <f t="shared" si="88"/>
        <v>CWIP Exp</v>
      </c>
      <c r="G409" s="91" t="str">
        <f>G87</f>
        <v>Plant Adds</v>
      </c>
      <c r="H409" s="734" t="str">
        <f t="shared" si="88"/>
        <v>CWIP Closed</v>
      </c>
      <c r="I409" s="734" t="str">
        <f t="shared" si="88"/>
        <v>Closed to PIS</v>
      </c>
      <c r="J409" s="734" t="str">
        <f t="shared" si="88"/>
        <v>Period CWIP</v>
      </c>
      <c r="K409" s="734" t="str">
        <f>K$53</f>
        <v>Incremental CWIP</v>
      </c>
    </row>
    <row r="410" spans="1:11" s="739" customFormat="1">
      <c r="A410" s="120">
        <f>A402+1</f>
        <v>315</v>
      </c>
      <c r="B410" s="699" t="s">
        <v>199</v>
      </c>
      <c r="C410" s="700">
        <v>2017</v>
      </c>
      <c r="D410" s="743" t="s">
        <v>86</v>
      </c>
      <c r="E410" s="743" t="s">
        <v>86</v>
      </c>
      <c r="F410" s="743" t="s">
        <v>86</v>
      </c>
      <c r="G410" s="743" t="s">
        <v>86</v>
      </c>
      <c r="H410" s="743" t="s">
        <v>86</v>
      </c>
      <c r="I410" s="743" t="s">
        <v>86</v>
      </c>
      <c r="J410" s="65">
        <v>0</v>
      </c>
      <c r="K410" s="743" t="s">
        <v>86</v>
      </c>
    </row>
    <row r="411" spans="1:11" s="739" customFormat="1">
      <c r="A411" s="120">
        <f>A410+1</f>
        <v>316</v>
      </c>
      <c r="B411" s="699" t="s">
        <v>200</v>
      </c>
      <c r="C411" s="700">
        <v>2018</v>
      </c>
      <c r="D411" s="1185"/>
      <c r="E411" s="65">
        <v>0</v>
      </c>
      <c r="F411" s="65">
        <f>E411+D411</f>
        <v>0</v>
      </c>
      <c r="G411" s="1185"/>
      <c r="H411" s="1185"/>
      <c r="I411" s="65">
        <v>0</v>
      </c>
      <c r="J411" s="65">
        <f>J410+F411-G411-I411</f>
        <v>0</v>
      </c>
      <c r="K411" s="65">
        <f>J411-$J$377</f>
        <v>0</v>
      </c>
    </row>
    <row r="412" spans="1:11" s="739" customFormat="1">
      <c r="A412" s="120">
        <f t="shared" ref="A412:A435" si="89">A411+1</f>
        <v>317</v>
      </c>
      <c r="B412" s="702" t="s">
        <v>201</v>
      </c>
      <c r="C412" s="700">
        <v>2018</v>
      </c>
      <c r="D412" s="1185"/>
      <c r="E412" s="65">
        <v>0</v>
      </c>
      <c r="F412" s="65">
        <f t="shared" ref="F412:F434" si="90">E412+D412</f>
        <v>0</v>
      </c>
      <c r="G412" s="1185"/>
      <c r="H412" s="1185"/>
      <c r="I412" s="65">
        <v>0</v>
      </c>
      <c r="J412" s="65">
        <f t="shared" ref="J412:J434" si="91">J411+F412-G412-I412</f>
        <v>0</v>
      </c>
      <c r="K412" s="65">
        <f t="shared" ref="K412:K434" si="92">J412-$J$377</f>
        <v>0</v>
      </c>
    </row>
    <row r="413" spans="1:11" s="739" customFormat="1">
      <c r="A413" s="120">
        <f t="shared" si="89"/>
        <v>318</v>
      </c>
      <c r="B413" s="702" t="s">
        <v>214</v>
      </c>
      <c r="C413" s="700">
        <v>2018</v>
      </c>
      <c r="D413" s="1185"/>
      <c r="E413" s="65">
        <v>0</v>
      </c>
      <c r="F413" s="65">
        <f t="shared" si="90"/>
        <v>0</v>
      </c>
      <c r="G413" s="1185"/>
      <c r="H413" s="1185"/>
      <c r="I413" s="65">
        <v>0</v>
      </c>
      <c r="J413" s="65">
        <f t="shared" si="91"/>
        <v>0</v>
      </c>
      <c r="K413" s="65">
        <f t="shared" si="92"/>
        <v>0</v>
      </c>
    </row>
    <row r="414" spans="1:11" s="739" customFormat="1">
      <c r="A414" s="120">
        <f t="shared" si="89"/>
        <v>319</v>
      </c>
      <c r="B414" s="699" t="s">
        <v>202</v>
      </c>
      <c r="C414" s="700">
        <v>2018</v>
      </c>
      <c r="D414" s="1185"/>
      <c r="E414" s="65">
        <v>0</v>
      </c>
      <c r="F414" s="65">
        <f t="shared" si="90"/>
        <v>0</v>
      </c>
      <c r="G414" s="1185"/>
      <c r="H414" s="1185"/>
      <c r="I414" s="65">
        <v>0</v>
      </c>
      <c r="J414" s="65">
        <f t="shared" si="91"/>
        <v>0</v>
      </c>
      <c r="K414" s="65">
        <f t="shared" si="92"/>
        <v>0</v>
      </c>
    </row>
    <row r="415" spans="1:11" s="739" customFormat="1">
      <c r="A415" s="120">
        <f t="shared" si="89"/>
        <v>320</v>
      </c>
      <c r="B415" s="702" t="s">
        <v>203</v>
      </c>
      <c r="C415" s="700">
        <v>2018</v>
      </c>
      <c r="D415" s="1185"/>
      <c r="E415" s="65">
        <v>0</v>
      </c>
      <c r="F415" s="65">
        <f t="shared" si="90"/>
        <v>0</v>
      </c>
      <c r="G415" s="1185"/>
      <c r="H415" s="1185"/>
      <c r="I415" s="65">
        <v>0</v>
      </c>
      <c r="J415" s="65">
        <f t="shared" si="91"/>
        <v>0</v>
      </c>
      <c r="K415" s="65">
        <f t="shared" si="92"/>
        <v>0</v>
      </c>
    </row>
    <row r="416" spans="1:11" s="739" customFormat="1">
      <c r="A416" s="120">
        <f t="shared" si="89"/>
        <v>321</v>
      </c>
      <c r="B416" s="702" t="s">
        <v>1650</v>
      </c>
      <c r="C416" s="700">
        <v>2018</v>
      </c>
      <c r="D416" s="1185"/>
      <c r="E416" s="65">
        <v>0</v>
      </c>
      <c r="F416" s="65">
        <f t="shared" si="90"/>
        <v>0</v>
      </c>
      <c r="G416" s="1185"/>
      <c r="H416" s="1185"/>
      <c r="I416" s="65">
        <v>0</v>
      </c>
      <c r="J416" s="65">
        <f t="shared" si="91"/>
        <v>0</v>
      </c>
      <c r="K416" s="65">
        <f t="shared" si="92"/>
        <v>0</v>
      </c>
    </row>
    <row r="417" spans="1:11" s="739" customFormat="1">
      <c r="A417" s="120">
        <f t="shared" si="89"/>
        <v>322</v>
      </c>
      <c r="B417" s="699" t="s">
        <v>205</v>
      </c>
      <c r="C417" s="700">
        <v>2018</v>
      </c>
      <c r="D417" s="1185"/>
      <c r="E417" s="65">
        <v>0</v>
      </c>
      <c r="F417" s="65">
        <f t="shared" si="90"/>
        <v>0</v>
      </c>
      <c r="G417" s="1185"/>
      <c r="H417" s="1185"/>
      <c r="I417" s="65">
        <v>0</v>
      </c>
      <c r="J417" s="65">
        <f t="shared" si="91"/>
        <v>0</v>
      </c>
      <c r="K417" s="65">
        <f t="shared" si="92"/>
        <v>0</v>
      </c>
    </row>
    <row r="418" spans="1:11" s="739" customFormat="1">
      <c r="A418" s="120">
        <f t="shared" si="89"/>
        <v>323</v>
      </c>
      <c r="B418" s="702" t="s">
        <v>206</v>
      </c>
      <c r="C418" s="700">
        <v>2018</v>
      </c>
      <c r="D418" s="1185"/>
      <c r="E418" s="65">
        <v>0</v>
      </c>
      <c r="F418" s="65">
        <f t="shared" si="90"/>
        <v>0</v>
      </c>
      <c r="G418" s="1185"/>
      <c r="H418" s="1185"/>
      <c r="I418" s="65">
        <v>0</v>
      </c>
      <c r="J418" s="65">
        <f t="shared" si="91"/>
        <v>0</v>
      </c>
      <c r="K418" s="65">
        <f t="shared" si="92"/>
        <v>0</v>
      </c>
    </row>
    <row r="419" spans="1:11" s="739" customFormat="1">
      <c r="A419" s="120">
        <f t="shared" si="89"/>
        <v>324</v>
      </c>
      <c r="B419" s="702" t="s">
        <v>207</v>
      </c>
      <c r="C419" s="700">
        <v>2018</v>
      </c>
      <c r="D419" s="1185"/>
      <c r="E419" s="65">
        <v>0</v>
      </c>
      <c r="F419" s="65">
        <f t="shared" si="90"/>
        <v>0</v>
      </c>
      <c r="G419" s="1185"/>
      <c r="H419" s="1185"/>
      <c r="I419" s="65">
        <v>0</v>
      </c>
      <c r="J419" s="65">
        <f t="shared" si="91"/>
        <v>0</v>
      </c>
      <c r="K419" s="65">
        <f t="shared" si="92"/>
        <v>0</v>
      </c>
    </row>
    <row r="420" spans="1:11" s="739" customFormat="1">
      <c r="A420" s="120">
        <f t="shared" si="89"/>
        <v>325</v>
      </c>
      <c r="B420" s="699" t="s">
        <v>210</v>
      </c>
      <c r="C420" s="700">
        <v>2018</v>
      </c>
      <c r="D420" s="1185"/>
      <c r="E420" s="65">
        <v>0</v>
      </c>
      <c r="F420" s="65">
        <f t="shared" si="90"/>
        <v>0</v>
      </c>
      <c r="G420" s="1185"/>
      <c r="H420" s="1185"/>
      <c r="I420" s="65">
        <v>0</v>
      </c>
      <c r="J420" s="65">
        <f t="shared" si="91"/>
        <v>0</v>
      </c>
      <c r="K420" s="65">
        <f t="shared" si="92"/>
        <v>0</v>
      </c>
    </row>
    <row r="421" spans="1:11" s="739" customFormat="1">
      <c r="A421" s="120">
        <f t="shared" si="89"/>
        <v>326</v>
      </c>
      <c r="B421" s="699" t="s">
        <v>209</v>
      </c>
      <c r="C421" s="700">
        <v>2018</v>
      </c>
      <c r="D421" s="1185"/>
      <c r="E421" s="65">
        <v>0</v>
      </c>
      <c r="F421" s="65">
        <f t="shared" si="90"/>
        <v>0</v>
      </c>
      <c r="G421" s="1185"/>
      <c r="H421" s="1185"/>
      <c r="I421" s="65">
        <v>0</v>
      </c>
      <c r="J421" s="65">
        <f t="shared" si="91"/>
        <v>0</v>
      </c>
      <c r="K421" s="65">
        <f t="shared" si="92"/>
        <v>0</v>
      </c>
    </row>
    <row r="422" spans="1:11" s="739" customFormat="1">
      <c r="A422" s="120">
        <f t="shared" si="89"/>
        <v>327</v>
      </c>
      <c r="B422" s="699" t="s">
        <v>199</v>
      </c>
      <c r="C422" s="700">
        <v>2018</v>
      </c>
      <c r="D422" s="1185"/>
      <c r="E422" s="65">
        <v>0</v>
      </c>
      <c r="F422" s="65">
        <f t="shared" si="90"/>
        <v>0</v>
      </c>
      <c r="G422" s="1185"/>
      <c r="H422" s="1185"/>
      <c r="I422" s="65">
        <v>0</v>
      </c>
      <c r="J422" s="65">
        <f t="shared" si="91"/>
        <v>0</v>
      </c>
      <c r="K422" s="65">
        <f t="shared" si="92"/>
        <v>0</v>
      </c>
    </row>
    <row r="423" spans="1:11" s="739" customFormat="1">
      <c r="A423" s="120">
        <f t="shared" si="89"/>
        <v>328</v>
      </c>
      <c r="B423" s="699" t="s">
        <v>200</v>
      </c>
      <c r="C423" s="700">
        <v>2019</v>
      </c>
      <c r="D423" s="1185"/>
      <c r="E423" s="65">
        <v>0</v>
      </c>
      <c r="F423" s="65">
        <f t="shared" si="90"/>
        <v>0</v>
      </c>
      <c r="G423" s="1185"/>
      <c r="H423" s="1185"/>
      <c r="I423" s="65">
        <v>0</v>
      </c>
      <c r="J423" s="65">
        <f t="shared" si="91"/>
        <v>0</v>
      </c>
      <c r="K423" s="65">
        <f t="shared" si="92"/>
        <v>0</v>
      </c>
    </row>
    <row r="424" spans="1:11" s="739" customFormat="1">
      <c r="A424" s="120">
        <f t="shared" si="89"/>
        <v>329</v>
      </c>
      <c r="B424" s="702" t="s">
        <v>201</v>
      </c>
      <c r="C424" s="700">
        <v>2019</v>
      </c>
      <c r="D424" s="1185"/>
      <c r="E424" s="65">
        <v>0</v>
      </c>
      <c r="F424" s="65">
        <f t="shared" si="90"/>
        <v>0</v>
      </c>
      <c r="G424" s="1185"/>
      <c r="H424" s="1185"/>
      <c r="I424" s="65">
        <v>0</v>
      </c>
      <c r="J424" s="65">
        <f t="shared" si="91"/>
        <v>0</v>
      </c>
      <c r="K424" s="65">
        <f t="shared" si="92"/>
        <v>0</v>
      </c>
    </row>
    <row r="425" spans="1:11" s="739" customFormat="1">
      <c r="A425" s="120">
        <f t="shared" si="89"/>
        <v>330</v>
      </c>
      <c r="B425" s="702" t="s">
        <v>214</v>
      </c>
      <c r="C425" s="700">
        <v>2019</v>
      </c>
      <c r="D425" s="1185"/>
      <c r="E425" s="65">
        <v>0</v>
      </c>
      <c r="F425" s="65">
        <f t="shared" si="90"/>
        <v>0</v>
      </c>
      <c r="G425" s="1185"/>
      <c r="H425" s="1185"/>
      <c r="I425" s="65">
        <v>0</v>
      </c>
      <c r="J425" s="65">
        <f t="shared" si="91"/>
        <v>0</v>
      </c>
      <c r="K425" s="65">
        <f t="shared" si="92"/>
        <v>0</v>
      </c>
    </row>
    <row r="426" spans="1:11" s="739" customFormat="1">
      <c r="A426" s="120">
        <f t="shared" si="89"/>
        <v>331</v>
      </c>
      <c r="B426" s="699" t="s">
        <v>202</v>
      </c>
      <c r="C426" s="700">
        <v>2019</v>
      </c>
      <c r="D426" s="1185"/>
      <c r="E426" s="65">
        <v>0</v>
      </c>
      <c r="F426" s="65">
        <f t="shared" si="90"/>
        <v>0</v>
      </c>
      <c r="G426" s="1185"/>
      <c r="H426" s="1185"/>
      <c r="I426" s="65">
        <v>0</v>
      </c>
      <c r="J426" s="65">
        <f t="shared" si="91"/>
        <v>0</v>
      </c>
      <c r="K426" s="65">
        <f t="shared" si="92"/>
        <v>0</v>
      </c>
    </row>
    <row r="427" spans="1:11" s="739" customFormat="1">
      <c r="A427" s="120">
        <f t="shared" si="89"/>
        <v>332</v>
      </c>
      <c r="B427" s="702" t="s">
        <v>203</v>
      </c>
      <c r="C427" s="700">
        <v>2019</v>
      </c>
      <c r="D427" s="1185"/>
      <c r="E427" s="65">
        <v>0</v>
      </c>
      <c r="F427" s="65">
        <f t="shared" si="90"/>
        <v>0</v>
      </c>
      <c r="G427" s="1185"/>
      <c r="H427" s="1185"/>
      <c r="I427" s="65">
        <v>0</v>
      </c>
      <c r="J427" s="65">
        <f t="shared" si="91"/>
        <v>0</v>
      </c>
      <c r="K427" s="65">
        <f t="shared" si="92"/>
        <v>0</v>
      </c>
    </row>
    <row r="428" spans="1:11" s="739" customFormat="1">
      <c r="A428" s="120">
        <f t="shared" si="89"/>
        <v>333</v>
      </c>
      <c r="B428" s="702" t="s">
        <v>1650</v>
      </c>
      <c r="C428" s="700">
        <v>2019</v>
      </c>
      <c r="D428" s="1185"/>
      <c r="E428" s="65">
        <v>0</v>
      </c>
      <c r="F428" s="65">
        <f t="shared" si="90"/>
        <v>0</v>
      </c>
      <c r="G428" s="1185"/>
      <c r="H428" s="1185"/>
      <c r="I428" s="65">
        <v>0</v>
      </c>
      <c r="J428" s="65">
        <f t="shared" si="91"/>
        <v>0</v>
      </c>
      <c r="K428" s="65">
        <f t="shared" si="92"/>
        <v>0</v>
      </c>
    </row>
    <row r="429" spans="1:11" s="739" customFormat="1">
      <c r="A429" s="120">
        <f t="shared" si="89"/>
        <v>334</v>
      </c>
      <c r="B429" s="699" t="s">
        <v>205</v>
      </c>
      <c r="C429" s="700">
        <v>2019</v>
      </c>
      <c r="D429" s="1185"/>
      <c r="E429" s="65">
        <v>0</v>
      </c>
      <c r="F429" s="65">
        <f t="shared" si="90"/>
        <v>0</v>
      </c>
      <c r="G429" s="1185"/>
      <c r="H429" s="1185"/>
      <c r="I429" s="65">
        <v>0</v>
      </c>
      <c r="J429" s="65">
        <f t="shared" si="91"/>
        <v>0</v>
      </c>
      <c r="K429" s="65">
        <f t="shared" si="92"/>
        <v>0</v>
      </c>
    </row>
    <row r="430" spans="1:11" s="739" customFormat="1">
      <c r="A430" s="120">
        <f t="shared" si="89"/>
        <v>335</v>
      </c>
      <c r="B430" s="702" t="s">
        <v>206</v>
      </c>
      <c r="C430" s="700">
        <v>2019</v>
      </c>
      <c r="D430" s="1185"/>
      <c r="E430" s="65">
        <v>0</v>
      </c>
      <c r="F430" s="65">
        <f t="shared" si="90"/>
        <v>0</v>
      </c>
      <c r="G430" s="1185"/>
      <c r="H430" s="1185"/>
      <c r="I430" s="65">
        <v>0</v>
      </c>
      <c r="J430" s="65">
        <f t="shared" si="91"/>
        <v>0</v>
      </c>
      <c r="K430" s="65">
        <f t="shared" si="92"/>
        <v>0</v>
      </c>
    </row>
    <row r="431" spans="1:11" s="739" customFormat="1">
      <c r="A431" s="120">
        <f t="shared" si="89"/>
        <v>336</v>
      </c>
      <c r="B431" s="702" t="s">
        <v>207</v>
      </c>
      <c r="C431" s="700">
        <v>2019</v>
      </c>
      <c r="D431" s="1185"/>
      <c r="E431" s="65">
        <v>0</v>
      </c>
      <c r="F431" s="65">
        <f t="shared" si="90"/>
        <v>0</v>
      </c>
      <c r="G431" s="1185"/>
      <c r="H431" s="1185"/>
      <c r="I431" s="65">
        <v>0</v>
      </c>
      <c r="J431" s="65">
        <f t="shared" si="91"/>
        <v>0</v>
      </c>
      <c r="K431" s="65">
        <f t="shared" si="92"/>
        <v>0</v>
      </c>
    </row>
    <row r="432" spans="1:11" s="739" customFormat="1">
      <c r="A432" s="120">
        <f t="shared" si="89"/>
        <v>337</v>
      </c>
      <c r="B432" s="702" t="s">
        <v>210</v>
      </c>
      <c r="C432" s="700">
        <v>2019</v>
      </c>
      <c r="D432" s="1185"/>
      <c r="E432" s="65">
        <v>0</v>
      </c>
      <c r="F432" s="65">
        <f t="shared" si="90"/>
        <v>0</v>
      </c>
      <c r="G432" s="1185"/>
      <c r="H432" s="1185"/>
      <c r="I432" s="65">
        <v>0</v>
      </c>
      <c r="J432" s="65">
        <f t="shared" si="91"/>
        <v>0</v>
      </c>
      <c r="K432" s="65">
        <f t="shared" si="92"/>
        <v>0</v>
      </c>
    </row>
    <row r="433" spans="1:11" s="739" customFormat="1">
      <c r="A433" s="120">
        <f t="shared" si="89"/>
        <v>338</v>
      </c>
      <c r="B433" s="702" t="s">
        <v>209</v>
      </c>
      <c r="C433" s="700">
        <v>2019</v>
      </c>
      <c r="D433" s="1185"/>
      <c r="E433" s="65">
        <v>0</v>
      </c>
      <c r="F433" s="65">
        <f t="shared" si="90"/>
        <v>0</v>
      </c>
      <c r="G433" s="1185"/>
      <c r="H433" s="1185"/>
      <c r="I433" s="65">
        <v>0</v>
      </c>
      <c r="J433" s="65">
        <f t="shared" si="91"/>
        <v>0</v>
      </c>
      <c r="K433" s="65">
        <f t="shared" si="92"/>
        <v>0</v>
      </c>
    </row>
    <row r="434" spans="1:11" s="739" customFormat="1">
      <c r="A434" s="120">
        <f t="shared" si="89"/>
        <v>339</v>
      </c>
      <c r="B434" s="702" t="s">
        <v>199</v>
      </c>
      <c r="C434" s="700">
        <v>2019</v>
      </c>
      <c r="D434" s="1185"/>
      <c r="E434" s="65">
        <v>0</v>
      </c>
      <c r="F434" s="65">
        <f t="shared" si="90"/>
        <v>0</v>
      </c>
      <c r="G434" s="1185"/>
      <c r="H434" s="1185"/>
      <c r="I434" s="65">
        <v>0</v>
      </c>
      <c r="J434" s="65">
        <f t="shared" si="91"/>
        <v>0</v>
      </c>
      <c r="K434" s="121">
        <f t="shared" si="92"/>
        <v>0</v>
      </c>
    </row>
    <row r="435" spans="1:11" s="739" customFormat="1">
      <c r="A435" s="120">
        <f t="shared" si="89"/>
        <v>340</v>
      </c>
      <c r="B435" s="1158"/>
      <c r="C435" s="738" t="s">
        <v>1821</v>
      </c>
      <c r="H435" s="743"/>
      <c r="I435" s="743"/>
      <c r="K435" s="80">
        <f>AVERAGE(K422:K434)</f>
        <v>0</v>
      </c>
    </row>
    <row r="436" spans="1:11" s="739" customFormat="1">
      <c r="A436" s="120"/>
      <c r="B436"/>
      <c r="C436" s="738"/>
      <c r="H436" s="743"/>
      <c r="I436" s="743"/>
      <c r="K436" s="80"/>
    </row>
    <row r="437" spans="1:11" s="739" customFormat="1">
      <c r="A437" s="736"/>
      <c r="B437" s="707" t="s">
        <v>256</v>
      </c>
      <c r="C437"/>
      <c r="D437"/>
      <c r="E437"/>
      <c r="F437"/>
      <c r="G437"/>
      <c r="H437"/>
      <c r="I437"/>
    </row>
    <row r="438" spans="1:11" s="739" customFormat="1">
      <c r="A438" s="736"/>
      <c r="B438" s="702" t="s">
        <v>2558</v>
      </c>
    </row>
    <row r="439" spans="1:11" s="739" customFormat="1">
      <c r="A439" s="736"/>
      <c r="B439" s="702" t="s">
        <v>2559</v>
      </c>
      <c r="C439"/>
      <c r="D439"/>
      <c r="E439"/>
      <c r="F439"/>
      <c r="G439"/>
      <c r="H439"/>
      <c r="I439"/>
    </row>
    <row r="440" spans="1:11" s="739" customFormat="1">
      <c r="A440" s="736"/>
      <c r="C440"/>
      <c r="D440"/>
      <c r="E440"/>
      <c r="F440"/>
      <c r="G440"/>
      <c r="H440"/>
      <c r="I440"/>
    </row>
    <row r="441" spans="1:11" s="739" customFormat="1">
      <c r="A441" s="736"/>
      <c r="B441" s="1" t="s">
        <v>417</v>
      </c>
      <c r="C441"/>
      <c r="D441"/>
      <c r="E441"/>
      <c r="F441"/>
      <c r="G441"/>
      <c r="H441"/>
      <c r="I441"/>
    </row>
    <row r="442" spans="1:11" s="739" customFormat="1">
      <c r="A442" s="736"/>
      <c r="B442" s="515" t="s">
        <v>1084</v>
      </c>
      <c r="C442"/>
      <c r="D442"/>
      <c r="E442"/>
      <c r="F442"/>
      <c r="G442"/>
      <c r="H442"/>
      <c r="I442"/>
    </row>
    <row r="443" spans="1:11" s="739" customFormat="1">
      <c r="A443" s="736"/>
      <c r="B443" s="515" t="s">
        <v>2560</v>
      </c>
      <c r="C443"/>
      <c r="D443"/>
      <c r="E443"/>
      <c r="F443"/>
      <c r="G443"/>
      <c r="H443"/>
      <c r="I443"/>
    </row>
    <row r="444" spans="1:11" s="739" customFormat="1">
      <c r="A444" s="736"/>
      <c r="B444" s="517" t="s">
        <v>2337</v>
      </c>
      <c r="C444" s="14"/>
      <c r="D444" s="14"/>
      <c r="E444" s="14"/>
      <c r="F444" s="14"/>
      <c r="G444" s="14"/>
      <c r="H444" s="14"/>
      <c r="I444" s="14"/>
    </row>
    <row r="445" spans="1:11" s="739" customFormat="1">
      <c r="A445" s="736"/>
      <c r="B445" s="514"/>
      <c r="C445" s="14"/>
      <c r="D445" s="14"/>
      <c r="E445" s="14"/>
      <c r="F445" s="14"/>
      <c r="G445" s="14"/>
      <c r="H445" s="14"/>
      <c r="I445" s="14"/>
    </row>
    <row r="446" spans="1:11" s="739" customFormat="1">
      <c r="A446" s="736"/>
      <c r="B446" s="702"/>
      <c r="C446" s="746"/>
      <c r="H446" s="743"/>
      <c r="I446" s="743"/>
    </row>
    <row r="447" spans="1:11" s="739" customFormat="1">
      <c r="A447" s="736"/>
      <c r="B447" s="702"/>
      <c r="C447" s="746"/>
      <c r="H447" s="743"/>
      <c r="I447" s="743"/>
    </row>
    <row r="448" spans="1:11" s="739" customFormat="1">
      <c r="A448" s="736"/>
      <c r="B448" s="702"/>
      <c r="C448" s="746"/>
      <c r="H448" s="743"/>
      <c r="I448" s="743"/>
    </row>
    <row r="449" spans="1:11" s="739" customFormat="1">
      <c r="A449" s="736"/>
      <c r="B449" s="702"/>
      <c r="C449" s="746"/>
      <c r="H449" s="743"/>
      <c r="I449" s="743"/>
    </row>
    <row r="450" spans="1:11" s="739" customFormat="1">
      <c r="A450" s="736"/>
      <c r="B450" s="702"/>
      <c r="C450" s="746"/>
      <c r="D450" s="747"/>
      <c r="E450" s="747"/>
      <c r="F450" s="747"/>
      <c r="G450" s="747"/>
      <c r="H450" s="743"/>
      <c r="I450" s="743"/>
    </row>
    <row r="451" spans="1:11" s="739" customFormat="1">
      <c r="A451" s="736"/>
      <c r="C451" s="748"/>
      <c r="D451" s="749"/>
      <c r="E451" s="749"/>
      <c r="F451" s="749"/>
      <c r="G451" s="749"/>
      <c r="H451" s="743"/>
      <c r="I451" s="743"/>
    </row>
    <row r="452" spans="1:11" s="739" customFormat="1"/>
    <row r="453" spans="1:11" s="739" customFormat="1">
      <c r="B453" s="707"/>
    </row>
    <row r="454" spans="1:11" s="739" customFormat="1">
      <c r="B454" s="702"/>
    </row>
    <row r="455" spans="1:11">
      <c r="A455" s="739"/>
      <c r="B455" s="739"/>
      <c r="C455" s="739"/>
      <c r="D455" s="739"/>
      <c r="E455" s="739"/>
      <c r="F455" s="739"/>
      <c r="G455" s="739"/>
      <c r="H455" s="739"/>
      <c r="I455" s="739"/>
      <c r="J455" s="739"/>
      <c r="K455" s="739"/>
    </row>
    <row r="456" spans="1:11">
      <c r="A456" s="739"/>
      <c r="B456" s="750"/>
      <c r="C456" s="739"/>
      <c r="D456" s="739"/>
      <c r="E456" s="739"/>
      <c r="F456" s="739"/>
      <c r="G456" s="739"/>
      <c r="H456" s="739"/>
      <c r="I456" s="739"/>
      <c r="J456" s="739"/>
      <c r="K456" s="739"/>
    </row>
    <row r="457" spans="1:11">
      <c r="A457" s="739"/>
      <c r="B457" s="751"/>
      <c r="C457" s="739"/>
      <c r="D457" s="739"/>
      <c r="E457" s="739"/>
      <c r="F457" s="739"/>
      <c r="G457" s="739"/>
      <c r="H457" s="739"/>
      <c r="I457" s="739"/>
      <c r="J457" s="739"/>
      <c r="K457" s="739"/>
    </row>
    <row r="458" spans="1:11">
      <c r="A458" s="739"/>
      <c r="B458" s="751"/>
      <c r="C458" s="739"/>
      <c r="D458" s="739"/>
      <c r="E458" s="739"/>
      <c r="F458" s="739"/>
      <c r="G458" s="739"/>
      <c r="H458" s="739"/>
      <c r="I458" s="739"/>
      <c r="J458" s="739"/>
      <c r="K458" s="739"/>
    </row>
    <row r="459" spans="1:11">
      <c r="A459" s="739"/>
      <c r="B459" s="751"/>
      <c r="C459" s="739"/>
      <c r="D459" s="739"/>
      <c r="E459" s="739"/>
      <c r="F459" s="739"/>
      <c r="G459" s="739"/>
      <c r="H459" s="739"/>
      <c r="I459" s="739"/>
      <c r="J459" s="739"/>
      <c r="K459" s="739"/>
    </row>
    <row r="460" spans="1:11">
      <c r="A460" s="739"/>
      <c r="B460" s="752"/>
      <c r="C460" s="739"/>
      <c r="D460" s="739"/>
      <c r="E460" s="739"/>
      <c r="F460" s="739"/>
      <c r="G460" s="739"/>
      <c r="H460" s="739"/>
      <c r="I460" s="739"/>
      <c r="J460" s="739"/>
      <c r="K460" s="739"/>
    </row>
  </sheetData>
  <mergeCells count="10">
    <mergeCell ref="D371:E371"/>
    <mergeCell ref="D276:E276"/>
    <mergeCell ref="D307:E307"/>
    <mergeCell ref="D340:E340"/>
    <mergeCell ref="D82:E82"/>
    <mergeCell ref="D115:E115"/>
    <mergeCell ref="D148:E148"/>
    <mergeCell ref="D179:E179"/>
    <mergeCell ref="D212:E212"/>
    <mergeCell ref="D243:E243"/>
  </mergeCells>
  <pageMargins left="0.7" right="0.7" top="0.75" bottom="0.75" header="0.3" footer="0.3"/>
  <pageSetup scale="60" orientation="landscape" cellComments="asDisplayed" r:id="rId1"/>
  <headerFooter>
    <oddHeader>&amp;CSchedule 10
CWIP
&amp;RTO2019 Draft Annual Update
Attachment 5
TO13 True Up TRR</oddHeader>
    <oddFooter>&amp;R&amp;A</oddFooter>
  </headerFooter>
  <rowBreaks count="6" manualBreakCount="6">
    <brk id="47" max="16383" man="1"/>
    <brk id="113" max="10" man="1"/>
    <brk id="177" max="10" man="1"/>
    <brk id="241" max="10" man="1"/>
    <brk id="305" max="10" man="1"/>
    <brk id="36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1325</v>
      </c>
      <c r="B1" s="130"/>
      <c r="C1" s="39"/>
      <c r="D1" s="39"/>
      <c r="E1" s="39"/>
      <c r="F1" s="39"/>
    </row>
    <row r="2" spans="1:6">
      <c r="A2" s="132"/>
      <c r="B2" s="14"/>
      <c r="C2" s="133"/>
      <c r="D2" s="133"/>
      <c r="F2" s="44" t="s">
        <v>17</v>
      </c>
    </row>
    <row r="3" spans="1:6">
      <c r="A3" s="132"/>
      <c r="B3" s="15" t="s">
        <v>546</v>
      </c>
      <c r="C3" s="133"/>
      <c r="D3" s="133"/>
      <c r="E3" s="133"/>
    </row>
    <row r="4" spans="1:6">
      <c r="A4" s="132"/>
      <c r="B4" s="15" t="s">
        <v>426</v>
      </c>
      <c r="C4" s="133"/>
      <c r="D4" s="133"/>
      <c r="E4" s="133"/>
    </row>
    <row r="5" spans="1:6">
      <c r="A5" s="132"/>
      <c r="B5" s="15" t="s">
        <v>431</v>
      </c>
      <c r="C5" s="133"/>
      <c r="D5" s="133"/>
      <c r="E5" s="133"/>
    </row>
    <row r="6" spans="1:6">
      <c r="A6" s="132"/>
    </row>
    <row r="7" spans="1:6">
      <c r="A7" s="53" t="s">
        <v>360</v>
      </c>
      <c r="B7" s="14"/>
      <c r="C7" s="133"/>
      <c r="D7" s="3" t="s">
        <v>429</v>
      </c>
      <c r="E7" s="131" t="s">
        <v>428</v>
      </c>
      <c r="F7" s="134" t="s">
        <v>198</v>
      </c>
    </row>
    <row r="8" spans="1:6">
      <c r="A8" s="2">
        <v>1</v>
      </c>
      <c r="B8" s="15" t="s">
        <v>440</v>
      </c>
      <c r="D8" s="6">
        <v>16261841</v>
      </c>
      <c r="E8" s="6">
        <v>15781292</v>
      </c>
      <c r="F8" s="13" t="s">
        <v>1340</v>
      </c>
    </row>
    <row r="9" spans="1:6">
      <c r="A9" s="2"/>
      <c r="B9" s="15"/>
      <c r="D9" s="14"/>
      <c r="E9" s="12"/>
    </row>
    <row r="10" spans="1:6">
      <c r="A10" s="2"/>
      <c r="B10" s="15" t="s">
        <v>434</v>
      </c>
      <c r="D10" s="14"/>
      <c r="E10" s="12"/>
    </row>
    <row r="11" spans="1:6">
      <c r="A11" s="2"/>
      <c r="B11" s="15"/>
      <c r="D11" s="14"/>
      <c r="E11" s="12"/>
    </row>
    <row r="12" spans="1:6">
      <c r="A12" s="2"/>
      <c r="B12" s="91" t="s">
        <v>391</v>
      </c>
      <c r="C12" s="91" t="s">
        <v>375</v>
      </c>
      <c r="D12" s="91" t="s">
        <v>376</v>
      </c>
      <c r="E12" s="91" t="s">
        <v>377</v>
      </c>
      <c r="F12" s="91" t="s">
        <v>378</v>
      </c>
    </row>
    <row r="13" spans="1:6">
      <c r="A13" s="2"/>
      <c r="B13" s="15"/>
      <c r="C13" s="2" t="s">
        <v>437</v>
      </c>
      <c r="D13" s="14"/>
      <c r="E13" s="12"/>
    </row>
    <row r="14" spans="1:6">
      <c r="A14" s="2"/>
      <c r="B14" s="53" t="s">
        <v>111</v>
      </c>
      <c r="C14" s="3" t="s">
        <v>436</v>
      </c>
      <c r="D14" s="3" t="s">
        <v>429</v>
      </c>
      <c r="E14" s="131" t="s">
        <v>428</v>
      </c>
      <c r="F14" s="131" t="s">
        <v>198</v>
      </c>
    </row>
    <row r="15" spans="1:6">
      <c r="A15" s="2" t="s">
        <v>565</v>
      </c>
      <c r="B15" s="525" t="s">
        <v>2971</v>
      </c>
      <c r="C15" s="104" t="s">
        <v>2972</v>
      </c>
      <c r="D15" s="6">
        <v>9942155</v>
      </c>
      <c r="E15" s="6">
        <v>9942155</v>
      </c>
      <c r="F15" s="104" t="s">
        <v>2973</v>
      </c>
    </row>
    <row r="16" spans="1:6">
      <c r="A16" s="2" t="s">
        <v>566</v>
      </c>
      <c r="B16" s="125"/>
      <c r="C16" s="104"/>
      <c r="D16" s="6"/>
      <c r="E16" s="6"/>
      <c r="F16" s="104"/>
    </row>
    <row r="17" spans="1:6">
      <c r="A17" s="2" t="s">
        <v>567</v>
      </c>
      <c r="B17" s="125"/>
      <c r="C17" s="104"/>
      <c r="D17" s="6"/>
      <c r="E17" s="6"/>
      <c r="F17" s="104"/>
    </row>
    <row r="18" spans="1:6">
      <c r="A18" s="2" t="s">
        <v>568</v>
      </c>
      <c r="B18" s="125"/>
      <c r="C18" s="104"/>
      <c r="D18" s="6"/>
      <c r="E18" s="6"/>
      <c r="F18" s="104"/>
    </row>
    <row r="19" spans="1:6">
      <c r="A19" s="2" t="s">
        <v>569</v>
      </c>
      <c r="B19" s="125"/>
      <c r="C19" s="104"/>
      <c r="D19" s="6"/>
      <c r="E19" s="6"/>
      <c r="F19" s="104"/>
    </row>
    <row r="20" spans="1:6">
      <c r="A20" s="2" t="s">
        <v>570</v>
      </c>
      <c r="B20" s="125"/>
      <c r="C20" s="104"/>
      <c r="D20" s="6"/>
      <c r="E20" s="6"/>
      <c r="F20" s="104"/>
    </row>
    <row r="21" spans="1:6">
      <c r="A21" s="2" t="s">
        <v>571</v>
      </c>
      <c r="B21" s="125"/>
      <c r="C21" s="104"/>
      <c r="D21" s="6"/>
      <c r="E21" s="6"/>
      <c r="F21" s="104"/>
    </row>
    <row r="22" spans="1:6">
      <c r="A22" s="2" t="s">
        <v>572</v>
      </c>
      <c r="B22" s="125"/>
      <c r="C22" s="104"/>
      <c r="D22" s="6"/>
      <c r="E22" s="6"/>
      <c r="F22" s="104"/>
    </row>
    <row r="23" spans="1:6">
      <c r="A23" s="202"/>
      <c r="B23" s="425" t="s">
        <v>561</v>
      </c>
      <c r="C23" s="104"/>
      <c r="D23" s="426"/>
      <c r="E23" s="426"/>
      <c r="F23" s="104"/>
    </row>
    <row r="24" spans="1:6">
      <c r="A24" s="2">
        <v>3</v>
      </c>
      <c r="C24" s="12" t="s">
        <v>4</v>
      </c>
      <c r="D24" s="7">
        <f>SUM(D15:D22)</f>
        <v>9942155</v>
      </c>
      <c r="E24" s="7">
        <f>SUM(E15:E22)</f>
        <v>9942155</v>
      </c>
      <c r="F24" s="13" t="s">
        <v>574</v>
      </c>
    </row>
    <row r="25" spans="1:6">
      <c r="C25" s="12"/>
    </row>
    <row r="26" spans="1:6">
      <c r="C26" s="12"/>
      <c r="D26" s="3" t="s">
        <v>429</v>
      </c>
      <c r="E26" s="131" t="s">
        <v>428</v>
      </c>
      <c r="F26" s="134" t="s">
        <v>198</v>
      </c>
    </row>
    <row r="27" spans="1:6">
      <c r="A27" s="2">
        <v>4</v>
      </c>
      <c r="B27" s="12" t="s">
        <v>430</v>
      </c>
      <c r="C27" s="12"/>
      <c r="D27" s="6">
        <v>0</v>
      </c>
      <c r="E27" s="6">
        <v>0</v>
      </c>
      <c r="F27" s="47" t="s">
        <v>427</v>
      </c>
    </row>
    <row r="28" spans="1:6">
      <c r="A28" s="2">
        <v>5</v>
      </c>
      <c r="B28" s="12" t="s">
        <v>333</v>
      </c>
      <c r="D28" s="135">
        <f>'27-Allocators'!G15</f>
        <v>5.6231891976617258E-2</v>
      </c>
      <c r="E28" s="135">
        <f>'27-Allocators'!G15</f>
        <v>5.6231891976617258E-2</v>
      </c>
      <c r="F28" s="47" t="str">
        <f>"27-Allocators, L "&amp;'27-Allocators'!A15&amp;""</f>
        <v>27-Allocators, L 9</v>
      </c>
    </row>
    <row r="29" spans="1:6">
      <c r="A29" s="2">
        <v>6</v>
      </c>
      <c r="B29" s="12" t="s">
        <v>438</v>
      </c>
      <c r="C29" s="12"/>
      <c r="D29" s="65">
        <f>D27*D28</f>
        <v>0</v>
      </c>
      <c r="E29" s="65">
        <f>E27*E28</f>
        <v>0</v>
      </c>
      <c r="F29" s="13" t="str">
        <f>"L "&amp;A27&amp;" * L "&amp;A28&amp;""</f>
        <v>L 4 * L 5</v>
      </c>
    </row>
    <row r="30" spans="1:6">
      <c r="C30" s="12"/>
    </row>
    <row r="31" spans="1:6">
      <c r="B31" s="12" t="s">
        <v>435</v>
      </c>
    </row>
    <row r="32" spans="1:6">
      <c r="C32" s="32"/>
      <c r="D32" s="33"/>
      <c r="E32" s="35"/>
    </row>
    <row r="33" spans="1:6">
      <c r="D33" s="3" t="s">
        <v>429</v>
      </c>
      <c r="E33" s="131" t="s">
        <v>428</v>
      </c>
      <c r="F33" s="134" t="s">
        <v>198</v>
      </c>
    </row>
    <row r="34" spans="1:6">
      <c r="A34" s="2">
        <v>7</v>
      </c>
      <c r="C34" s="12"/>
      <c r="D34" s="6">
        <v>6319686</v>
      </c>
      <c r="E34" s="6">
        <v>5839137</v>
      </c>
      <c r="F34" s="13" t="s">
        <v>392</v>
      </c>
    </row>
    <row r="37" spans="1:6">
      <c r="B37" s="12" t="s">
        <v>439</v>
      </c>
      <c r="D37" s="3" t="s">
        <v>429</v>
      </c>
      <c r="E37" s="131" t="s">
        <v>428</v>
      </c>
      <c r="F37" s="134" t="s">
        <v>198</v>
      </c>
    </row>
    <row r="38" spans="1:6">
      <c r="A38" s="2">
        <v>8</v>
      </c>
      <c r="D38" s="110">
        <f>D24+D29</f>
        <v>9942155</v>
      </c>
      <c r="E38" s="110">
        <f>E24+E29</f>
        <v>9942155</v>
      </c>
      <c r="F38" s="13" t="str">
        <f>"L "&amp;A24&amp;" + L "&amp;A29&amp;""</f>
        <v>L 3 + L 6</v>
      </c>
    </row>
    <row r="39" spans="1:6">
      <c r="A39" s="2"/>
      <c r="D39" s="110"/>
      <c r="E39" s="110"/>
      <c r="F39" s="13"/>
    </row>
    <row r="40" spans="1:6">
      <c r="B40" t="s">
        <v>441</v>
      </c>
    </row>
    <row r="41" spans="1:6">
      <c r="A41" s="2">
        <v>9</v>
      </c>
      <c r="B41" s="12" t="s">
        <v>439</v>
      </c>
      <c r="D41" s="48">
        <f>(D38+E38)/2</f>
        <v>9942155</v>
      </c>
      <c r="E41" s="110"/>
      <c r="F41" s="13" t="str">
        <f>"Sum of Line "&amp;A38&amp;" / 2"</f>
        <v>Sum of Line 8 / 2</v>
      </c>
    </row>
    <row r="42" spans="1:6">
      <c r="B42" s="12"/>
    </row>
    <row r="43" spans="1:6">
      <c r="B43" s="1" t="s">
        <v>548</v>
      </c>
      <c r="C43" s="12"/>
    </row>
    <row r="44" spans="1:6">
      <c r="C44" s="12"/>
    </row>
    <row r="45" spans="1:6">
      <c r="A45" s="2"/>
      <c r="F45" s="134" t="s">
        <v>198</v>
      </c>
    </row>
    <row r="46" spans="1:6">
      <c r="A46" s="2">
        <v>10</v>
      </c>
      <c r="B46" s="12" t="s">
        <v>547</v>
      </c>
      <c r="E46" s="1171">
        <v>0</v>
      </c>
      <c r="F46" s="13" t="s">
        <v>33</v>
      </c>
    </row>
    <row r="49" spans="2:2">
      <c r="B49" s="1" t="s">
        <v>417</v>
      </c>
    </row>
    <row r="50" spans="2:2">
      <c r="B50" s="12" t="s">
        <v>432</v>
      </c>
    </row>
    <row r="51" spans="2:2">
      <c r="B51" s="12" t="s">
        <v>1331</v>
      </c>
    </row>
    <row r="52" spans="2:2">
      <c r="B52" s="12" t="s">
        <v>1332</v>
      </c>
    </row>
    <row r="53" spans="2:2">
      <c r="B53" s="12" t="s">
        <v>573</v>
      </c>
    </row>
    <row r="54" spans="2:2">
      <c r="B54" s="12" t="str">
        <f>"2) For any Electric Plant Held for Future Use classified as General note amount on Line "&amp;A27&amp;"."</f>
        <v>2) For any Electric Plant Held for Future Use classified as General note amount on Line 4.</v>
      </c>
    </row>
    <row r="55" spans="2:2">
      <c r="B55" s="12" t="s">
        <v>1333</v>
      </c>
    </row>
    <row r="56" spans="2:2">
      <c r="B56" s="12" t="s">
        <v>433</v>
      </c>
    </row>
    <row r="57" spans="2:2">
      <c r="B57" s="515" t="s">
        <v>1867</v>
      </c>
    </row>
    <row r="58" spans="2:2">
      <c r="B58" s="12" t="s">
        <v>1330</v>
      </c>
    </row>
    <row r="59" spans="2:2">
      <c r="B59" s="12"/>
    </row>
    <row r="60" spans="2:2">
      <c r="B60" s="1" t="s">
        <v>256</v>
      </c>
    </row>
    <row r="61" spans="2:2">
      <c r="B61" s="12" t="s">
        <v>1341</v>
      </c>
    </row>
  </sheetData>
  <pageMargins left="0.7" right="0.7" top="0.75" bottom="0.75" header="0.3" footer="0.3"/>
  <pageSetup scale="80" orientation="portrait" cellComments="asDisplayed" r:id="rId1"/>
  <headerFooter>
    <oddHeader>&amp;CSchedule 11
Plant Held for Future Use
&amp;RTO2019 Draft Annual Update
Attachment 5
TO13 True Up TRR</oddHeader>
    <oddFooter>&amp;R11-PHFU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321</v>
      </c>
    </row>
    <row r="2" spans="1:10">
      <c r="I2" s="581" t="s">
        <v>272</v>
      </c>
      <c r="J2" s="581"/>
    </row>
    <row r="3" spans="1:10">
      <c r="B3" t="s">
        <v>346</v>
      </c>
    </row>
    <row r="5" spans="1:10">
      <c r="B5" t="s">
        <v>341</v>
      </c>
    </row>
    <row r="6" spans="1:10">
      <c r="B6" t="s">
        <v>347</v>
      </c>
    </row>
    <row r="7" spans="1:10">
      <c r="F7" s="82" t="s">
        <v>250</v>
      </c>
      <c r="H7" s="82" t="s">
        <v>2154</v>
      </c>
    </row>
    <row r="8" spans="1:10">
      <c r="B8" s="14" t="s">
        <v>2153</v>
      </c>
      <c r="C8" s="14"/>
      <c r="D8" s="14"/>
      <c r="E8" s="14"/>
      <c r="F8" s="1160"/>
      <c r="G8" s="104"/>
      <c r="H8" s="1160"/>
      <c r="I8" s="104"/>
    </row>
    <row r="9" spans="1:10">
      <c r="B9" s="14"/>
      <c r="C9" s="14"/>
      <c r="D9" s="14"/>
      <c r="E9" s="14"/>
      <c r="F9" s="1160"/>
      <c r="G9" s="104"/>
      <c r="H9" s="104"/>
      <c r="I9" s="104"/>
    </row>
    <row r="10" spans="1:10">
      <c r="B10" s="14"/>
      <c r="C10" s="14"/>
      <c r="D10" s="14"/>
      <c r="E10" s="14"/>
      <c r="F10" s="1038" t="s">
        <v>561</v>
      </c>
      <c r="G10" s="14"/>
      <c r="H10" s="1038" t="s">
        <v>561</v>
      </c>
      <c r="I10" s="14"/>
    </row>
    <row r="12" spans="1:10">
      <c r="B12" s="515" t="s">
        <v>415</v>
      </c>
    </row>
    <row r="13" spans="1:10">
      <c r="B13" s="515"/>
    </row>
    <row r="14" spans="1:10">
      <c r="B14" s="515" t="s">
        <v>413</v>
      </c>
    </row>
    <row r="15" spans="1:10">
      <c r="B15" s="515" t="s">
        <v>414</v>
      </c>
    </row>
    <row r="16" spans="1:10">
      <c r="B16" s="515"/>
      <c r="G16" s="635" t="s">
        <v>416</v>
      </c>
    </row>
    <row r="17" spans="1:10">
      <c r="A17" s="53" t="s">
        <v>360</v>
      </c>
      <c r="G17" s="3" t="s">
        <v>73</v>
      </c>
      <c r="I17" s="53" t="s">
        <v>262</v>
      </c>
    </row>
    <row r="18" spans="1:10">
      <c r="A18" s="635">
        <v>1</v>
      </c>
      <c r="F18" s="37" t="s">
        <v>342</v>
      </c>
      <c r="G18" s="65">
        <v>0</v>
      </c>
      <c r="I18" s="515" t="s">
        <v>425</v>
      </c>
    </row>
    <row r="19" spans="1:10">
      <c r="A19" s="635">
        <v>2</v>
      </c>
      <c r="F19" s="513" t="s">
        <v>419</v>
      </c>
      <c r="G19" s="65">
        <v>0</v>
      </c>
      <c r="I19" s="515" t="s">
        <v>425</v>
      </c>
    </row>
    <row r="20" spans="1:10">
      <c r="A20" s="635">
        <v>3</v>
      </c>
      <c r="F20" s="37" t="s">
        <v>344</v>
      </c>
      <c r="G20" s="65">
        <v>0</v>
      </c>
      <c r="I20" s="515" t="s">
        <v>425</v>
      </c>
    </row>
    <row r="21" spans="1:10">
      <c r="A21" s="635">
        <v>4</v>
      </c>
      <c r="F21" s="37" t="s">
        <v>345</v>
      </c>
      <c r="G21" s="65">
        <f>(G19+G20)/2</f>
        <v>0</v>
      </c>
      <c r="I21" s="515" t="str">
        <f>"Average of Lines "&amp;A19&amp;" and "&amp;A20&amp;"."</f>
        <v>Average of Lines 2 and 3.</v>
      </c>
    </row>
    <row r="22" spans="1:10">
      <c r="I22" s="515"/>
    </row>
    <row r="24" spans="1:10">
      <c r="A24" s="635">
        <v>5</v>
      </c>
      <c r="C24" s="1" t="s">
        <v>559</v>
      </c>
      <c r="D24" s="1160" t="s">
        <v>560</v>
      </c>
      <c r="G24" s="164" t="s">
        <v>562</v>
      </c>
      <c r="H24" s="525" t="s">
        <v>560</v>
      </c>
      <c r="I24" s="637"/>
      <c r="J24" s="517"/>
    </row>
    <row r="25" spans="1:10">
      <c r="A25" s="635"/>
      <c r="C25" s="1"/>
      <c r="D25" s="517"/>
      <c r="E25" s="14"/>
      <c r="G25" s="637"/>
      <c r="H25" s="517"/>
      <c r="I25" s="637"/>
      <c r="J25" s="517"/>
    </row>
    <row r="26" spans="1:10">
      <c r="D26" s="120" t="s">
        <v>1909</v>
      </c>
      <c r="E26" s="120" t="s">
        <v>410</v>
      </c>
      <c r="F26" s="14"/>
      <c r="G26" s="14"/>
      <c r="H26" s="120" t="s">
        <v>1909</v>
      </c>
      <c r="I26" s="635" t="s">
        <v>410</v>
      </c>
      <c r="J26" s="120"/>
    </row>
    <row r="27" spans="1:10">
      <c r="C27" s="635" t="s">
        <v>330</v>
      </c>
      <c r="D27" s="120" t="s">
        <v>410</v>
      </c>
      <c r="E27" s="120" t="s">
        <v>411</v>
      </c>
      <c r="F27" s="14"/>
      <c r="G27" s="120" t="s">
        <v>330</v>
      </c>
      <c r="H27" s="120" t="s">
        <v>410</v>
      </c>
      <c r="I27" s="635" t="s">
        <v>411</v>
      </c>
      <c r="J27" s="120"/>
    </row>
    <row r="28" spans="1:10">
      <c r="C28" s="635" t="s">
        <v>410</v>
      </c>
      <c r="D28" s="120" t="s">
        <v>411</v>
      </c>
      <c r="E28" s="120" t="s">
        <v>412</v>
      </c>
      <c r="F28" s="14"/>
      <c r="G28" s="120" t="s">
        <v>410</v>
      </c>
      <c r="H28" s="120" t="s">
        <v>411</v>
      </c>
      <c r="I28" s="635" t="s">
        <v>412</v>
      </c>
      <c r="J28" s="120"/>
    </row>
    <row r="29" spans="1:10">
      <c r="A29" s="635"/>
      <c r="B29" s="3" t="s">
        <v>212</v>
      </c>
      <c r="C29" s="3" t="s">
        <v>411</v>
      </c>
      <c r="D29" s="134" t="s">
        <v>1910</v>
      </c>
      <c r="E29" s="134" t="s">
        <v>354</v>
      </c>
      <c r="F29" s="14"/>
      <c r="G29" s="134" t="s">
        <v>411</v>
      </c>
      <c r="H29" s="134" t="s">
        <v>1910</v>
      </c>
      <c r="I29" s="3" t="s">
        <v>354</v>
      </c>
      <c r="J29" s="134"/>
    </row>
    <row r="30" spans="1:10">
      <c r="A30" s="635">
        <v>6</v>
      </c>
      <c r="B30">
        <v>2011</v>
      </c>
      <c r="C30" s="812"/>
      <c r="D30" s="812"/>
      <c r="E30" s="104"/>
      <c r="G30" s="104"/>
      <c r="H30" s="104"/>
      <c r="I30" s="104"/>
      <c r="J30" s="14"/>
    </row>
    <row r="31" spans="1:10">
      <c r="A31" s="635">
        <v>7</v>
      </c>
      <c r="B31">
        <v>2012</v>
      </c>
      <c r="C31" s="104"/>
      <c r="D31" s="104"/>
      <c r="E31" s="812"/>
      <c r="G31" s="104"/>
      <c r="H31" s="104"/>
      <c r="I31" s="104"/>
      <c r="J31" s="14"/>
    </row>
    <row r="32" spans="1:10">
      <c r="A32" s="635">
        <v>8</v>
      </c>
      <c r="B32">
        <v>2013</v>
      </c>
      <c r="C32" s="104"/>
      <c r="D32" s="104"/>
      <c r="E32" s="104"/>
      <c r="G32" s="104"/>
      <c r="H32" s="104"/>
      <c r="I32" s="104"/>
      <c r="J32" s="14"/>
    </row>
    <row r="33" spans="1:10">
      <c r="A33" s="635">
        <v>9</v>
      </c>
      <c r="B33">
        <v>2014</v>
      </c>
      <c r="C33" s="104"/>
      <c r="D33" s="104"/>
      <c r="E33" s="104"/>
      <c r="G33" s="104"/>
      <c r="H33" s="104"/>
      <c r="I33" s="104"/>
      <c r="J33" s="14"/>
    </row>
    <row r="34" spans="1:10">
      <c r="A34" s="635">
        <v>10</v>
      </c>
      <c r="B34">
        <v>2015</v>
      </c>
      <c r="C34" s="1303"/>
      <c r="D34" s="1303"/>
      <c r="E34" s="1303"/>
      <c r="G34" s="104"/>
      <c r="H34" s="104"/>
      <c r="I34" s="104"/>
      <c r="J34" s="14"/>
    </row>
    <row r="35" spans="1:10">
      <c r="A35" s="635">
        <v>11</v>
      </c>
      <c r="B35">
        <v>2016</v>
      </c>
      <c r="C35" s="1303"/>
      <c r="D35" s="1303"/>
      <c r="E35" s="1303"/>
      <c r="G35" s="104"/>
      <c r="H35" s="104"/>
      <c r="I35" s="104"/>
      <c r="J35" s="14"/>
    </row>
    <row r="36" spans="1:10">
      <c r="A36" s="635">
        <v>12</v>
      </c>
      <c r="B36">
        <v>2017</v>
      </c>
      <c r="C36" s="104"/>
      <c r="D36" s="104"/>
      <c r="E36" s="104"/>
      <c r="G36" s="104"/>
      <c r="H36" s="104"/>
      <c r="I36" s="104"/>
      <c r="J36" s="14"/>
    </row>
    <row r="37" spans="1:10">
      <c r="A37" s="635">
        <v>13</v>
      </c>
      <c r="B37">
        <v>2018</v>
      </c>
      <c r="C37" s="104"/>
      <c r="D37" s="104"/>
      <c r="E37" s="104"/>
      <c r="G37" s="104"/>
      <c r="H37" s="104"/>
      <c r="I37" s="104"/>
      <c r="J37" s="14"/>
    </row>
    <row r="38" spans="1:10">
      <c r="A38" s="635">
        <v>14</v>
      </c>
      <c r="B38">
        <v>2019</v>
      </c>
      <c r="C38" s="104"/>
      <c r="D38" s="104"/>
      <c r="E38" s="104"/>
      <c r="G38" s="104"/>
      <c r="H38" s="104"/>
      <c r="I38" s="104"/>
      <c r="J38" s="14"/>
    </row>
    <row r="39" spans="1:10">
      <c r="A39" s="635">
        <v>15</v>
      </c>
      <c r="B39">
        <v>2020</v>
      </c>
      <c r="C39" s="104"/>
      <c r="D39" s="104"/>
      <c r="E39" s="104"/>
      <c r="G39" s="104"/>
      <c r="H39" s="104"/>
      <c r="I39" s="104"/>
      <c r="J39" s="14"/>
    </row>
    <row r="40" spans="1:10">
      <c r="A40" s="635">
        <v>16</v>
      </c>
      <c r="B40">
        <v>2021</v>
      </c>
      <c r="C40" s="104"/>
      <c r="D40" s="104"/>
      <c r="E40" s="104"/>
      <c r="G40" s="104"/>
      <c r="H40" s="104"/>
      <c r="I40" s="104"/>
      <c r="J40" s="14"/>
    </row>
    <row r="41" spans="1:10">
      <c r="A41" s="635">
        <v>17</v>
      </c>
      <c r="B41">
        <v>2022</v>
      </c>
      <c r="C41" s="104"/>
      <c r="D41" s="104"/>
      <c r="E41" s="104"/>
      <c r="G41" s="104"/>
      <c r="H41" s="104"/>
      <c r="I41" s="104"/>
      <c r="J41" s="14"/>
    </row>
    <row r="42" spans="1:10">
      <c r="A42" s="635">
        <v>18</v>
      </c>
      <c r="B42">
        <v>2023</v>
      </c>
      <c r="C42" s="104"/>
      <c r="D42" s="104"/>
      <c r="E42" s="104"/>
      <c r="G42" s="104"/>
      <c r="H42" s="104"/>
      <c r="I42" s="104"/>
      <c r="J42" s="14"/>
    </row>
    <row r="43" spans="1:10">
      <c r="A43" s="635">
        <v>19</v>
      </c>
      <c r="B43">
        <v>2024</v>
      </c>
      <c r="C43" s="104"/>
      <c r="D43" s="104"/>
      <c r="E43" s="104"/>
      <c r="G43" s="104"/>
      <c r="H43" s="104"/>
      <c r="I43" s="104"/>
      <c r="J43" s="14"/>
    </row>
    <row r="44" spans="1:10">
      <c r="A44" s="635">
        <v>20</v>
      </c>
      <c r="B44">
        <v>2025</v>
      </c>
      <c r="C44" s="104"/>
      <c r="D44" s="104"/>
      <c r="E44" s="104"/>
      <c r="G44" s="104"/>
      <c r="H44" s="104"/>
      <c r="I44" s="104"/>
      <c r="J44" s="14"/>
    </row>
    <row r="45" spans="1:10">
      <c r="A45" s="635">
        <v>21</v>
      </c>
      <c r="B45">
        <v>2026</v>
      </c>
      <c r="C45" s="104"/>
      <c r="D45" s="104"/>
      <c r="E45" s="104"/>
      <c r="G45" s="104"/>
      <c r="H45" s="104"/>
      <c r="I45" s="104"/>
      <c r="J45" s="14"/>
    </row>
    <row r="46" spans="1:10">
      <c r="A46" s="635">
        <v>22</v>
      </c>
      <c r="B46">
        <v>2027</v>
      </c>
      <c r="C46" s="104"/>
      <c r="D46" s="104"/>
      <c r="E46" s="104"/>
      <c r="G46" s="104"/>
      <c r="H46" s="104"/>
      <c r="I46" s="104"/>
      <c r="J46" s="14"/>
    </row>
    <row r="47" spans="1:10">
      <c r="A47" s="635">
        <v>23</v>
      </c>
      <c r="B47">
        <v>2028</v>
      </c>
      <c r="C47" s="104"/>
      <c r="D47" s="104"/>
      <c r="E47" s="104"/>
      <c r="G47" s="104"/>
      <c r="H47" s="104"/>
      <c r="I47" s="104"/>
      <c r="J47" s="14"/>
    </row>
    <row r="48" spans="1:10">
      <c r="A48" s="635">
        <v>24</v>
      </c>
      <c r="B48">
        <v>2029</v>
      </c>
      <c r="C48" s="104"/>
      <c r="D48" s="104"/>
      <c r="E48" s="104"/>
      <c r="G48" s="104"/>
      <c r="H48" s="104"/>
      <c r="I48" s="104"/>
      <c r="J48" s="14"/>
    </row>
    <row r="49" spans="1:10">
      <c r="A49" s="635">
        <v>25</v>
      </c>
      <c r="B49">
        <v>2030</v>
      </c>
      <c r="C49" s="104"/>
      <c r="D49" s="104"/>
      <c r="E49" s="104"/>
      <c r="G49" s="104"/>
      <c r="H49" s="104"/>
      <c r="I49" s="104"/>
      <c r="J49" s="14"/>
    </row>
    <row r="50" spans="1:10">
      <c r="A50" s="635">
        <v>26</v>
      </c>
      <c r="B50">
        <v>2031</v>
      </c>
      <c r="C50" s="104"/>
      <c r="D50" s="104"/>
      <c r="E50" s="104"/>
      <c r="G50" s="104"/>
      <c r="H50" s="104"/>
      <c r="I50" s="104"/>
      <c r="J50" s="14"/>
    </row>
    <row r="51" spans="1:10">
      <c r="A51" s="635">
        <v>27</v>
      </c>
      <c r="B51">
        <v>2032</v>
      </c>
      <c r="C51" s="104"/>
      <c r="D51" s="104"/>
      <c r="E51" s="104"/>
      <c r="G51" s="104"/>
      <c r="H51" s="104"/>
      <c r="I51" s="104"/>
      <c r="J51" s="14"/>
    </row>
    <row r="52" spans="1:10">
      <c r="A52" s="635">
        <v>28</v>
      </c>
      <c r="B52">
        <v>2033</v>
      </c>
      <c r="C52" s="104"/>
      <c r="D52" s="104"/>
      <c r="E52" s="104"/>
      <c r="G52" s="104"/>
      <c r="H52" s="104"/>
      <c r="I52" s="104"/>
      <c r="J52" s="14"/>
    </row>
    <row r="53" spans="1:10">
      <c r="A53" s="635">
        <v>29</v>
      </c>
      <c r="B53">
        <v>2034</v>
      </c>
      <c r="C53" s="104"/>
      <c r="D53" s="104"/>
      <c r="E53" s="104"/>
      <c r="G53" s="104"/>
      <c r="H53" s="104"/>
      <c r="I53" s="104"/>
      <c r="J53" s="14"/>
    </row>
    <row r="54" spans="1:10">
      <c r="A54" s="635">
        <v>30</v>
      </c>
      <c r="B54">
        <v>2035</v>
      </c>
      <c r="C54" s="104"/>
      <c r="D54" s="104"/>
      <c r="E54" s="104"/>
      <c r="G54" s="104"/>
      <c r="H54" s="104"/>
      <c r="I54" s="104"/>
      <c r="J54" s="14"/>
    </row>
    <row r="55" spans="1:10">
      <c r="A55" s="635">
        <v>31</v>
      </c>
      <c r="B55" s="638" t="s">
        <v>561</v>
      </c>
    </row>
    <row r="56" spans="1:10">
      <c r="A56" s="635"/>
      <c r="B56" s="638"/>
    </row>
    <row r="57" spans="1:10">
      <c r="A57" s="635"/>
      <c r="B57" s="45" t="s">
        <v>256</v>
      </c>
      <c r="C57" s="14"/>
      <c r="D57" s="14"/>
      <c r="E57" s="14"/>
      <c r="F57" s="14"/>
      <c r="G57" s="14"/>
      <c r="H57" s="14"/>
      <c r="I57" s="14"/>
      <c r="J57" s="14"/>
    </row>
    <row r="58" spans="1:10">
      <c r="A58" s="635"/>
      <c r="B58" s="517" t="s">
        <v>1911</v>
      </c>
      <c r="C58" s="14"/>
      <c r="D58" s="14"/>
      <c r="E58" s="14"/>
      <c r="F58" s="14"/>
      <c r="G58" s="14"/>
      <c r="H58" s="14"/>
      <c r="I58" s="14"/>
      <c r="J58" s="14"/>
    </row>
    <row r="59" spans="1:10">
      <c r="A59" s="635"/>
      <c r="B59" s="14"/>
      <c r="C59" s="14"/>
      <c r="D59" s="14"/>
      <c r="E59" s="14"/>
      <c r="F59" s="14"/>
      <c r="G59" s="14"/>
      <c r="H59" s="14"/>
      <c r="I59" s="14"/>
      <c r="J59" s="14"/>
    </row>
    <row r="60" spans="1:10">
      <c r="A60" s="635"/>
      <c r="B60" s="45" t="s">
        <v>417</v>
      </c>
      <c r="C60" s="14"/>
      <c r="D60" s="14"/>
      <c r="E60" s="14"/>
      <c r="F60" s="14"/>
      <c r="G60" s="14"/>
      <c r="H60" s="14"/>
      <c r="I60" s="14"/>
      <c r="J60" s="14"/>
    </row>
    <row r="61" spans="1:10">
      <c r="A61" s="635"/>
      <c r="B61" s="517" t="s">
        <v>418</v>
      </c>
      <c r="C61" s="14"/>
      <c r="D61" s="14"/>
      <c r="E61" s="14"/>
      <c r="F61" s="14"/>
      <c r="G61" s="14"/>
      <c r="H61" s="14"/>
      <c r="I61" s="14"/>
      <c r="J61" s="14"/>
    </row>
    <row r="62" spans="1:10">
      <c r="A62" s="635"/>
      <c r="B62" s="514" t="s">
        <v>1912</v>
      </c>
      <c r="C62" s="14"/>
      <c r="D62" s="14"/>
      <c r="E62" s="14"/>
      <c r="F62" s="14"/>
      <c r="G62" s="14"/>
      <c r="H62" s="14"/>
      <c r="I62" s="14"/>
      <c r="J62" s="14"/>
    </row>
    <row r="63" spans="1:10">
      <c r="A63" s="635"/>
      <c r="B63" s="514" t="s">
        <v>1913</v>
      </c>
      <c r="C63" s="14"/>
      <c r="D63" s="14"/>
      <c r="E63" s="14"/>
      <c r="F63" s="14"/>
      <c r="G63" s="14"/>
      <c r="H63" s="14"/>
      <c r="I63" s="14"/>
      <c r="J63" s="14"/>
    </row>
    <row r="64" spans="1:10">
      <c r="A64" s="635"/>
      <c r="B64" s="514" t="s">
        <v>423</v>
      </c>
      <c r="C64" s="14"/>
      <c r="D64" s="14"/>
      <c r="E64" s="14"/>
      <c r="F64" s="14"/>
      <c r="G64" s="14"/>
      <c r="H64" s="14"/>
      <c r="I64" s="14"/>
      <c r="J64" s="14"/>
    </row>
    <row r="65" spans="1:10">
      <c r="A65" s="635"/>
      <c r="B65" s="514" t="s">
        <v>424</v>
      </c>
      <c r="C65" s="14"/>
      <c r="D65" s="14"/>
      <c r="E65" s="14"/>
      <c r="F65" s="14"/>
      <c r="G65" s="14"/>
      <c r="H65" s="14"/>
      <c r="I65" s="14"/>
      <c r="J65" s="14"/>
    </row>
    <row r="66" spans="1:10">
      <c r="B66" s="514" t="s">
        <v>421</v>
      </c>
      <c r="C66" s="14"/>
      <c r="D66" s="14"/>
      <c r="E66" s="14"/>
      <c r="F66" s="14"/>
      <c r="G66" s="14"/>
      <c r="H66" s="14"/>
      <c r="I66" s="14"/>
      <c r="J66" s="14"/>
    </row>
    <row r="67" spans="1:10">
      <c r="B67" s="1017" t="s">
        <v>563</v>
      </c>
      <c r="C67" s="14"/>
      <c r="D67" s="14"/>
      <c r="E67" s="14"/>
      <c r="F67" s="14"/>
      <c r="G67" s="14"/>
      <c r="H67" s="14"/>
      <c r="I67" s="14"/>
      <c r="J67" s="14"/>
    </row>
    <row r="68" spans="1:10">
      <c r="B68" s="517" t="s">
        <v>422</v>
      </c>
      <c r="C68" s="14"/>
      <c r="D68" s="14"/>
      <c r="E68" s="14"/>
      <c r="F68" s="14"/>
      <c r="G68" s="14"/>
      <c r="H68" s="14"/>
      <c r="I68" s="14"/>
      <c r="J68" s="14"/>
    </row>
    <row r="69" spans="1:10">
      <c r="B69" s="517" t="s">
        <v>564</v>
      </c>
      <c r="C69" s="14"/>
      <c r="D69" s="14"/>
      <c r="E69" s="14"/>
      <c r="F69" s="14"/>
      <c r="G69" s="14"/>
      <c r="H69" s="14"/>
      <c r="I69" s="14"/>
      <c r="J69" s="14"/>
    </row>
  </sheetData>
  <pageMargins left="0.7" right="0.7" top="0.75" bottom="0.75" header="0.3" footer="0.3"/>
  <pageSetup scale="80" orientation="portrait" cellComments="asDisplayed" r:id="rId1"/>
  <headerFooter>
    <oddHeader>&amp;CSchedule 12
Abandoned Plant
&amp;RTO2019 Draft Annual Update
Attachment 5
TO13 True Up TRR</oddHead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4" t="s">
        <v>17</v>
      </c>
    </row>
    <row r="3" spans="1:7">
      <c r="B3" s="1" t="s">
        <v>177</v>
      </c>
    </row>
    <row r="4" spans="1:7">
      <c r="C4" s="12" t="s">
        <v>608</v>
      </c>
      <c r="E4" s="18"/>
      <c r="F4" s="28"/>
      <c r="G4" s="27"/>
    </row>
    <row r="5" spans="1:7">
      <c r="C5" s="12" t="s">
        <v>609</v>
      </c>
      <c r="E5" s="18"/>
      <c r="F5" s="28"/>
      <c r="G5" s="27"/>
    </row>
    <row r="6" spans="1:7">
      <c r="E6" s="18"/>
      <c r="F6" s="81"/>
      <c r="G6" s="27"/>
    </row>
    <row r="7" spans="1:7">
      <c r="C7" s="21"/>
      <c r="D7" s="17"/>
      <c r="E7" s="26" t="s">
        <v>213</v>
      </c>
      <c r="F7" s="26" t="s">
        <v>1896</v>
      </c>
      <c r="G7" s="26"/>
    </row>
    <row r="8" spans="1:7">
      <c r="A8" s="55" t="s">
        <v>350</v>
      </c>
      <c r="C8" s="25" t="s">
        <v>211</v>
      </c>
      <c r="D8" s="25" t="s">
        <v>212</v>
      </c>
      <c r="E8" s="25" t="s">
        <v>198</v>
      </c>
      <c r="F8" s="31" t="s">
        <v>1895</v>
      </c>
      <c r="G8" s="29" t="s">
        <v>187</v>
      </c>
    </row>
    <row r="9" spans="1:7">
      <c r="A9" s="2">
        <v>1</v>
      </c>
      <c r="C9" s="19" t="s">
        <v>199</v>
      </c>
      <c r="D9" s="700">
        <v>2016</v>
      </c>
      <c r="E9" s="30" t="s">
        <v>607</v>
      </c>
      <c r="F9" s="813">
        <v>237798844</v>
      </c>
      <c r="G9" s="30" t="s">
        <v>95</v>
      </c>
    </row>
    <row r="10" spans="1:7">
      <c r="A10" s="120">
        <f>A9+1</f>
        <v>2</v>
      </c>
      <c r="B10" s="14"/>
      <c r="C10" s="968" t="s">
        <v>200</v>
      </c>
      <c r="D10" s="700">
        <v>2017</v>
      </c>
      <c r="E10" s="564" t="s">
        <v>33</v>
      </c>
      <c r="F10" s="1185">
        <v>236701406.31</v>
      </c>
      <c r="G10" s="30"/>
    </row>
    <row r="11" spans="1:7">
      <c r="A11" s="120">
        <f t="shared" ref="A11:A21" si="0">A10+1</f>
        <v>3</v>
      </c>
      <c r="B11" s="14"/>
      <c r="C11" s="968" t="s">
        <v>201</v>
      </c>
      <c r="D11" s="700">
        <v>2017</v>
      </c>
      <c r="E11" s="564" t="s">
        <v>33</v>
      </c>
      <c r="F11" s="1185">
        <v>235215053.5</v>
      </c>
      <c r="G11" s="30"/>
    </row>
    <row r="12" spans="1:7">
      <c r="A12" s="120">
        <f t="shared" si="0"/>
        <v>4</v>
      </c>
      <c r="B12" s="14"/>
      <c r="C12" s="968" t="s">
        <v>214</v>
      </c>
      <c r="D12" s="700">
        <v>2017</v>
      </c>
      <c r="E12" s="564" t="s">
        <v>33</v>
      </c>
      <c r="F12" s="1185">
        <v>234227485.83000001</v>
      </c>
      <c r="G12" s="30"/>
    </row>
    <row r="13" spans="1:7">
      <c r="A13" s="120">
        <f t="shared" si="0"/>
        <v>5</v>
      </c>
      <c r="B13" s="14"/>
      <c r="C13" s="968" t="s">
        <v>202</v>
      </c>
      <c r="D13" s="700">
        <v>2017</v>
      </c>
      <c r="E13" s="564" t="s">
        <v>33</v>
      </c>
      <c r="F13" s="1185">
        <v>229290189.47999999</v>
      </c>
      <c r="G13" s="30"/>
    </row>
    <row r="14" spans="1:7">
      <c r="A14" s="120">
        <f t="shared" si="0"/>
        <v>6</v>
      </c>
      <c r="B14" s="14"/>
      <c r="C14" s="968" t="s">
        <v>203</v>
      </c>
      <c r="D14" s="700">
        <v>2017</v>
      </c>
      <c r="E14" s="564" t="s">
        <v>33</v>
      </c>
      <c r="F14" s="1185">
        <v>227387008.77000001</v>
      </c>
      <c r="G14" s="30"/>
    </row>
    <row r="15" spans="1:7">
      <c r="A15" s="120">
        <f t="shared" si="0"/>
        <v>7</v>
      </c>
      <c r="B15" s="14"/>
      <c r="C15" s="968" t="s">
        <v>1650</v>
      </c>
      <c r="D15" s="700">
        <v>2017</v>
      </c>
      <c r="E15" s="564" t="s">
        <v>33</v>
      </c>
      <c r="F15" s="1185">
        <v>229834302.22</v>
      </c>
      <c r="G15" s="30"/>
    </row>
    <row r="16" spans="1:7">
      <c r="A16" s="120">
        <f t="shared" si="0"/>
        <v>8</v>
      </c>
      <c r="B16" s="14"/>
      <c r="C16" s="968" t="s">
        <v>205</v>
      </c>
      <c r="D16" s="700">
        <v>2017</v>
      </c>
      <c r="E16" s="564" t="s">
        <v>33</v>
      </c>
      <c r="F16" s="1185">
        <v>231240887.40000001</v>
      </c>
      <c r="G16" s="30"/>
    </row>
    <row r="17" spans="1:7">
      <c r="A17" s="120">
        <f t="shared" si="0"/>
        <v>9</v>
      </c>
      <c r="B17" s="14"/>
      <c r="C17" s="968" t="s">
        <v>206</v>
      </c>
      <c r="D17" s="700">
        <v>2017</v>
      </c>
      <c r="E17" s="564" t="s">
        <v>33</v>
      </c>
      <c r="F17" s="1185">
        <v>229531352.55000001</v>
      </c>
      <c r="G17" s="30"/>
    </row>
    <row r="18" spans="1:7">
      <c r="A18" s="120">
        <f t="shared" si="0"/>
        <v>10</v>
      </c>
      <c r="B18" s="14"/>
      <c r="C18" s="968" t="s">
        <v>207</v>
      </c>
      <c r="D18" s="700">
        <v>2017</v>
      </c>
      <c r="E18" s="564" t="s">
        <v>33</v>
      </c>
      <c r="F18" s="1185">
        <v>226308482.90000001</v>
      </c>
      <c r="G18" s="30"/>
    </row>
    <row r="19" spans="1:7">
      <c r="A19" s="120">
        <f t="shared" si="0"/>
        <v>11</v>
      </c>
      <c r="B19" s="14"/>
      <c r="C19" s="968" t="s">
        <v>210</v>
      </c>
      <c r="D19" s="700">
        <v>2017</v>
      </c>
      <c r="E19" s="564" t="s">
        <v>33</v>
      </c>
      <c r="F19" s="1185">
        <v>229185237.25</v>
      </c>
      <c r="G19" s="30"/>
    </row>
    <row r="20" spans="1:7">
      <c r="A20" s="120">
        <f t="shared" si="0"/>
        <v>12</v>
      </c>
      <c r="B20" s="14"/>
      <c r="C20" s="968" t="s">
        <v>209</v>
      </c>
      <c r="D20" s="700">
        <v>2017</v>
      </c>
      <c r="E20" s="564" t="s">
        <v>33</v>
      </c>
      <c r="F20" s="553">
        <v>230757405.63999999</v>
      </c>
      <c r="G20" s="30"/>
    </row>
    <row r="21" spans="1:7">
      <c r="A21" s="120">
        <f t="shared" si="0"/>
        <v>13</v>
      </c>
      <c r="B21" s="14"/>
      <c r="C21" s="21" t="s">
        <v>199</v>
      </c>
      <c r="D21" s="700">
        <v>2017</v>
      </c>
      <c r="E21" s="30" t="s">
        <v>606</v>
      </c>
      <c r="F21" s="813">
        <v>238006741</v>
      </c>
      <c r="G21" s="16" t="s">
        <v>100</v>
      </c>
    </row>
    <row r="22" spans="1:7">
      <c r="A22" s="14"/>
      <c r="B22" s="14"/>
      <c r="C22" s="22"/>
      <c r="D22" s="22"/>
      <c r="E22" s="18"/>
      <c r="G22" s="30"/>
    </row>
    <row r="23" spans="1:7">
      <c r="A23" s="120">
        <f>A21+1</f>
        <v>14</v>
      </c>
      <c r="B23" s="14"/>
      <c r="C23" s="22"/>
      <c r="D23" s="22"/>
      <c r="E23" s="556" t="s">
        <v>2168</v>
      </c>
      <c r="F23" s="33">
        <f>SUM(F9:F21)/13</f>
        <v>231960338.21923077</v>
      </c>
      <c r="G23" s="123" t="str">
        <f>"(Sum Line "&amp;A9&amp;" to Line "&amp;A21&amp;") / 13"</f>
        <v>(Sum Line 1 to Line 13) / 13</v>
      </c>
    </row>
    <row r="24" spans="1:7">
      <c r="A24" s="120">
        <f>A23+1</f>
        <v>15</v>
      </c>
      <c r="B24" s="14"/>
      <c r="C24" s="22"/>
      <c r="D24" s="22"/>
      <c r="E24" s="34" t="s">
        <v>340</v>
      </c>
      <c r="F24" s="118">
        <f>'27-Allocators'!G15</f>
        <v>5.6231891976617258E-2</v>
      </c>
      <c r="G24" s="123" t="str">
        <f>"27-Allocators, Line "&amp;'27-Allocators'!A15&amp;""</f>
        <v>27-Allocators, Line 9</v>
      </c>
    </row>
    <row r="25" spans="1:7">
      <c r="A25" s="14"/>
      <c r="B25" s="14"/>
      <c r="C25" s="14"/>
      <c r="D25" s="22"/>
      <c r="E25" s="34"/>
      <c r="F25" s="33"/>
      <c r="G25" s="16"/>
    </row>
    <row r="26" spans="1:7">
      <c r="A26" s="120">
        <f>A24+1</f>
        <v>16</v>
      </c>
      <c r="B26" s="14"/>
      <c r="C26" s="22" t="s">
        <v>102</v>
      </c>
      <c r="D26" s="22"/>
      <c r="E26" s="385" t="s">
        <v>173</v>
      </c>
      <c r="F26" s="33">
        <f>F21*F24</f>
        <v>13383569.349618722</v>
      </c>
      <c r="G26" s="13" t="str">
        <f>"Line "&amp;A21&amp;" * Line "&amp;A24&amp;""</f>
        <v>Line 13 * Line 15</v>
      </c>
    </row>
    <row r="27" spans="1:7">
      <c r="A27" s="120">
        <f>A26+1</f>
        <v>17</v>
      </c>
      <c r="B27" s="14"/>
      <c r="C27" s="22"/>
      <c r="D27" s="22"/>
      <c r="E27" s="556" t="s">
        <v>2169</v>
      </c>
      <c r="F27" s="33">
        <f>F23*F24</f>
        <v>13043568.681603389</v>
      </c>
      <c r="G27" s="13" t="str">
        <f>"Line "&amp;A23&amp;" * Line "&amp;A24&amp;""</f>
        <v>Line 14 * Line 15</v>
      </c>
    </row>
    <row r="28" spans="1:7">
      <c r="A28" s="14"/>
      <c r="B28" s="14"/>
      <c r="C28" s="14"/>
      <c r="D28" s="14"/>
      <c r="E28" s="14"/>
      <c r="F28" s="14"/>
    </row>
    <row r="29" spans="1:7">
      <c r="A29" s="14"/>
      <c r="B29" s="45" t="s">
        <v>175</v>
      </c>
      <c r="C29" s="14"/>
      <c r="D29" s="14"/>
      <c r="E29" s="14"/>
      <c r="F29" s="14"/>
    </row>
    <row r="30" spans="1:7">
      <c r="A30" s="14"/>
      <c r="B30" s="14"/>
      <c r="C30" s="14" t="s">
        <v>7</v>
      </c>
      <c r="D30" s="14"/>
      <c r="E30" s="574"/>
      <c r="F30" s="28"/>
      <c r="G30" s="27"/>
    </row>
    <row r="31" spans="1:7">
      <c r="A31" s="14"/>
      <c r="B31" s="14"/>
      <c r="C31" s="14" t="s">
        <v>2010</v>
      </c>
      <c r="D31" s="14"/>
      <c r="E31" s="574"/>
      <c r="F31" s="28"/>
      <c r="G31" s="27"/>
    </row>
    <row r="32" spans="1:7">
      <c r="C32" s="21"/>
      <c r="D32" s="17"/>
      <c r="E32" s="26" t="s">
        <v>213</v>
      </c>
      <c r="F32" s="81" t="s">
        <v>268</v>
      </c>
      <c r="G32" s="26"/>
    </row>
    <row r="33" spans="1:11">
      <c r="C33" s="25" t="s">
        <v>211</v>
      </c>
      <c r="D33" s="25" t="s">
        <v>212</v>
      </c>
      <c r="E33" s="25" t="s">
        <v>198</v>
      </c>
      <c r="F33" s="31" t="s">
        <v>2</v>
      </c>
      <c r="G33" s="29" t="s">
        <v>187</v>
      </c>
    </row>
    <row r="34" spans="1:11">
      <c r="A34" s="120">
        <f>A27+1</f>
        <v>18</v>
      </c>
      <c r="B34" s="14"/>
      <c r="C34" s="309" t="s">
        <v>199</v>
      </c>
      <c r="D34" s="700">
        <v>2016</v>
      </c>
      <c r="E34" s="564" t="s">
        <v>2035</v>
      </c>
      <c r="F34" s="557">
        <f>F63</f>
        <v>99369073</v>
      </c>
      <c r="G34" s="564" t="str">
        <f>"See Note 1, "&amp;B63&amp;""</f>
        <v>See Note 1, c</v>
      </c>
    </row>
    <row r="35" spans="1:11">
      <c r="A35" s="120">
        <f>A34+1</f>
        <v>19</v>
      </c>
      <c r="B35" s="14"/>
      <c r="C35" s="968" t="s">
        <v>200</v>
      </c>
      <c r="D35" s="700">
        <v>2017</v>
      </c>
      <c r="E35" s="564" t="s">
        <v>33</v>
      </c>
      <c r="F35" s="116">
        <v>120656390.95999999</v>
      </c>
      <c r="G35" s="564"/>
      <c r="J35" s="7"/>
      <c r="K35" s="7"/>
    </row>
    <row r="36" spans="1:11">
      <c r="A36" s="120">
        <f t="shared" ref="A36:A46" si="1">A35+1</f>
        <v>20</v>
      </c>
      <c r="B36" s="14"/>
      <c r="C36" s="968" t="s">
        <v>201</v>
      </c>
      <c r="D36" s="700">
        <v>2017</v>
      </c>
      <c r="E36" s="564" t="s">
        <v>33</v>
      </c>
      <c r="F36" s="116">
        <v>110804400.62</v>
      </c>
      <c r="G36" s="564"/>
      <c r="J36" s="7"/>
      <c r="K36" s="7"/>
    </row>
    <row r="37" spans="1:11">
      <c r="A37" s="120">
        <f t="shared" si="1"/>
        <v>21</v>
      </c>
      <c r="B37" s="14"/>
      <c r="C37" s="968" t="s">
        <v>214</v>
      </c>
      <c r="D37" s="700">
        <v>2017</v>
      </c>
      <c r="E37" s="564" t="s">
        <v>33</v>
      </c>
      <c r="F37" s="116">
        <v>169364348.41</v>
      </c>
      <c r="G37" s="564"/>
      <c r="J37" s="7"/>
      <c r="K37" s="7"/>
    </row>
    <row r="38" spans="1:11">
      <c r="A38" s="120">
        <f t="shared" si="1"/>
        <v>22</v>
      </c>
      <c r="B38" s="14"/>
      <c r="C38" s="968" t="s">
        <v>202</v>
      </c>
      <c r="D38" s="700">
        <v>2017</v>
      </c>
      <c r="E38" s="564" t="s">
        <v>33</v>
      </c>
      <c r="F38" s="116">
        <v>230958816.71000001</v>
      </c>
      <c r="G38" s="564"/>
      <c r="J38" s="7"/>
      <c r="K38" s="7"/>
    </row>
    <row r="39" spans="1:11">
      <c r="A39" s="120">
        <f t="shared" si="1"/>
        <v>23</v>
      </c>
      <c r="B39" s="14"/>
      <c r="C39" s="968" t="s">
        <v>203</v>
      </c>
      <c r="D39" s="700">
        <v>2017</v>
      </c>
      <c r="E39" s="564" t="s">
        <v>33</v>
      </c>
      <c r="F39" s="116">
        <v>190396525.66999999</v>
      </c>
      <c r="G39" s="564"/>
      <c r="J39" s="7"/>
      <c r="K39" s="7"/>
    </row>
    <row r="40" spans="1:11">
      <c r="A40" s="120">
        <f t="shared" si="1"/>
        <v>24</v>
      </c>
      <c r="B40" s="14"/>
      <c r="C40" s="968" t="s">
        <v>1650</v>
      </c>
      <c r="D40" s="700">
        <v>2017</v>
      </c>
      <c r="E40" s="564" t="s">
        <v>33</v>
      </c>
      <c r="F40" s="116">
        <v>135529209.09</v>
      </c>
      <c r="G40" s="564"/>
      <c r="J40" s="7"/>
      <c r="K40" s="7"/>
    </row>
    <row r="41" spans="1:11">
      <c r="A41" s="120">
        <f t="shared" si="1"/>
        <v>25</v>
      </c>
      <c r="B41" s="14"/>
      <c r="C41" s="968" t="s">
        <v>205</v>
      </c>
      <c r="D41" s="700">
        <v>2017</v>
      </c>
      <c r="E41" s="564" t="s">
        <v>33</v>
      </c>
      <c r="F41" s="116">
        <v>144680436.28</v>
      </c>
      <c r="G41" s="564"/>
      <c r="J41" s="7"/>
      <c r="K41" s="7"/>
    </row>
    <row r="42" spans="1:11">
      <c r="A42" s="120">
        <f t="shared" si="1"/>
        <v>26</v>
      </c>
      <c r="B42" s="14"/>
      <c r="C42" s="968" t="s">
        <v>206</v>
      </c>
      <c r="D42" s="700">
        <v>2017</v>
      </c>
      <c r="E42" s="564" t="s">
        <v>33</v>
      </c>
      <c r="F42" s="116">
        <v>136252208.72</v>
      </c>
      <c r="G42" s="564"/>
      <c r="J42" s="7"/>
      <c r="K42" s="7"/>
    </row>
    <row r="43" spans="1:11">
      <c r="A43" s="120">
        <f t="shared" si="1"/>
        <v>27</v>
      </c>
      <c r="B43" s="14"/>
      <c r="C43" s="968" t="s">
        <v>207</v>
      </c>
      <c r="D43" s="700">
        <v>2017</v>
      </c>
      <c r="E43" s="564" t="s">
        <v>33</v>
      </c>
      <c r="F43" s="116">
        <v>306743337.38999999</v>
      </c>
      <c r="G43" s="564"/>
      <c r="J43" s="7"/>
      <c r="K43" s="7"/>
    </row>
    <row r="44" spans="1:11">
      <c r="A44" s="120">
        <f t="shared" si="1"/>
        <v>28</v>
      </c>
      <c r="B44" s="14"/>
      <c r="C44" s="968" t="s">
        <v>210</v>
      </c>
      <c r="D44" s="700">
        <v>2017</v>
      </c>
      <c r="E44" s="564" t="s">
        <v>33</v>
      </c>
      <c r="F44" s="116">
        <v>290763947.26999998</v>
      </c>
      <c r="G44" s="564"/>
      <c r="J44" s="7"/>
      <c r="K44" s="7"/>
    </row>
    <row r="45" spans="1:11">
      <c r="A45" s="120">
        <f t="shared" si="1"/>
        <v>29</v>
      </c>
      <c r="B45" s="14"/>
      <c r="C45" s="968" t="s">
        <v>209</v>
      </c>
      <c r="D45" s="700">
        <v>2017</v>
      </c>
      <c r="E45" s="564" t="s">
        <v>33</v>
      </c>
      <c r="F45" s="126">
        <v>295532250.55000001</v>
      </c>
      <c r="G45" s="564"/>
      <c r="J45" s="7"/>
      <c r="K45" s="7"/>
    </row>
    <row r="46" spans="1:11">
      <c r="A46" s="120">
        <f t="shared" si="1"/>
        <v>30</v>
      </c>
      <c r="B46" s="14"/>
      <c r="C46" s="21" t="s">
        <v>199</v>
      </c>
      <c r="D46" s="700">
        <v>2017</v>
      </c>
      <c r="E46" s="564" t="s">
        <v>2012</v>
      </c>
      <c r="F46" s="33">
        <f>F69</f>
        <v>227852643</v>
      </c>
      <c r="G46" s="564" t="str">
        <f>"See Note 1, "&amp;B69&amp;""</f>
        <v>See Note 1, f</v>
      </c>
    </row>
    <row r="47" spans="1:11">
      <c r="A47" s="14"/>
      <c r="B47" s="14"/>
      <c r="C47" s="21"/>
      <c r="D47" s="24"/>
      <c r="E47" s="23"/>
      <c r="F47" s="33"/>
      <c r="G47" s="16"/>
    </row>
    <row r="48" spans="1:11">
      <c r="A48" s="14"/>
      <c r="B48" s="14"/>
      <c r="C48" s="707" t="s">
        <v>2008</v>
      </c>
      <c r="D48" s="707"/>
      <c r="E48" s="1040"/>
      <c r="F48" s="14"/>
      <c r="G48" s="30"/>
    </row>
    <row r="49" spans="1:8">
      <c r="A49" s="120">
        <f>A46+1</f>
        <v>31</v>
      </c>
      <c r="B49" s="14"/>
      <c r="C49" s="22"/>
      <c r="D49" s="22"/>
      <c r="E49" s="748" t="s">
        <v>2009</v>
      </c>
      <c r="F49" s="1039">
        <f>SUM(F34:F46)/13</f>
        <v>189146429.82076925</v>
      </c>
      <c r="G49" s="123" t="str">
        <f>"(Sum Line "&amp;A34&amp;" to Line "&amp;A46&amp;") / 13"</f>
        <v>(Sum Line 18 to Line 30) / 13</v>
      </c>
    </row>
    <row r="50" spans="1:8">
      <c r="A50" s="120">
        <f>A49+1</f>
        <v>32</v>
      </c>
      <c r="B50" s="14"/>
      <c r="C50" s="22"/>
      <c r="D50" s="22"/>
      <c r="E50" s="34" t="s">
        <v>340</v>
      </c>
      <c r="F50" s="36">
        <f>'27-Allocators'!G15</f>
        <v>5.6231891976617258E-2</v>
      </c>
      <c r="G50" s="123" t="str">
        <f>"27-Allocators, Line "&amp;'27-Allocators'!A15&amp;""</f>
        <v>27-Allocators, Line 9</v>
      </c>
    </row>
    <row r="51" spans="1:8">
      <c r="A51" s="120">
        <f>A50+1</f>
        <v>33</v>
      </c>
      <c r="B51" s="14"/>
      <c r="C51" s="22"/>
      <c r="D51" s="22"/>
      <c r="E51" s="1041" t="s">
        <v>180</v>
      </c>
      <c r="F51" s="33">
        <f>F49*F50</f>
        <v>10636061.609444315</v>
      </c>
      <c r="G51" s="47" t="str">
        <f>"Line "&amp;A49&amp;" * Line "&amp;A50&amp;""</f>
        <v>Line 31 * Line 32</v>
      </c>
    </row>
    <row r="52" spans="1:8">
      <c r="A52" s="14"/>
      <c r="B52" s="14"/>
      <c r="C52" s="22" t="s">
        <v>267</v>
      </c>
      <c r="D52" s="22"/>
      <c r="E52" s="574"/>
      <c r="F52" s="14"/>
      <c r="G52" s="35"/>
    </row>
    <row r="53" spans="1:8">
      <c r="A53" s="120">
        <f>A51+1</f>
        <v>34</v>
      </c>
      <c r="B53" s="14"/>
      <c r="C53" s="22"/>
      <c r="D53" s="22"/>
      <c r="E53" s="34" t="s">
        <v>173</v>
      </c>
      <c r="F53" s="33">
        <f>F46</f>
        <v>227852643</v>
      </c>
      <c r="G53" s="35" t="str">
        <f>"Line "&amp;A46&amp;""</f>
        <v>Line 30</v>
      </c>
    </row>
    <row r="54" spans="1:8">
      <c r="A54" s="120">
        <f>A53+1</f>
        <v>35</v>
      </c>
      <c r="B54" s="14"/>
      <c r="C54" s="22"/>
      <c r="D54" s="22"/>
      <c r="E54" s="34" t="s">
        <v>340</v>
      </c>
      <c r="F54" s="36">
        <f>'27-Allocators'!G15</f>
        <v>5.6231891976617258E-2</v>
      </c>
      <c r="G54" s="123" t="str">
        <f>"27-Allocators, Line "&amp;'27-Allocators'!A15&amp;""</f>
        <v>27-Allocators, Line 9</v>
      </c>
    </row>
    <row r="55" spans="1:8">
      <c r="A55" s="120">
        <f>A54+1</f>
        <v>36</v>
      </c>
      <c r="B55" s="14"/>
      <c r="C55" s="22"/>
      <c r="D55" s="22"/>
      <c r="E55" s="32" t="s">
        <v>180</v>
      </c>
      <c r="F55" s="33">
        <f>F53*F54</f>
        <v>12812585.207762737</v>
      </c>
      <c r="G55" s="13" t="str">
        <f>"Line "&amp;A53&amp;" * Line "&amp;A54&amp;""</f>
        <v>Line 34 * Line 35</v>
      </c>
    </row>
    <row r="56" spans="1:8">
      <c r="B56" s="53" t="s">
        <v>256</v>
      </c>
      <c r="C56" s="12"/>
    </row>
    <row r="57" spans="1:8">
      <c r="B57" t="s">
        <v>1892</v>
      </c>
      <c r="C57" s="515" t="str">
        <f>"Remove any amounts related to years prior to the effective date of the formula on "&amp;B62&amp;" and "&amp;B68&amp;" below."</f>
        <v>Remove any amounts related to years prior to the effective date of the formula on b and e below.</v>
      </c>
    </row>
    <row r="58" spans="1:8">
      <c r="A58" s="2"/>
      <c r="E58" s="101"/>
      <c r="F58" s="7"/>
      <c r="G58" s="410"/>
      <c r="H58" s="1"/>
    </row>
    <row r="59" spans="1:8">
      <c r="A59" s="2"/>
      <c r="C59" s="515" t="s">
        <v>2665</v>
      </c>
      <c r="E59" s="101"/>
      <c r="F59" s="81" t="s">
        <v>103</v>
      </c>
      <c r="G59" s="123"/>
    </row>
    <row r="60" spans="1:8">
      <c r="A60" s="2"/>
      <c r="E60" s="101"/>
      <c r="F60" s="31" t="s">
        <v>2</v>
      </c>
      <c r="G60" s="411" t="s">
        <v>198</v>
      </c>
    </row>
    <row r="61" spans="1:8">
      <c r="A61" s="632"/>
      <c r="B61" s="634" t="s">
        <v>1900</v>
      </c>
      <c r="C61" s="19"/>
      <c r="E61" s="513" t="s">
        <v>1893</v>
      </c>
      <c r="F61" s="813">
        <v>114171737</v>
      </c>
      <c r="G61" s="30" t="s">
        <v>178</v>
      </c>
    </row>
    <row r="62" spans="1:8">
      <c r="A62" s="632"/>
      <c r="B62" s="634" t="s">
        <v>1901</v>
      </c>
      <c r="E62" s="513" t="s">
        <v>1899</v>
      </c>
      <c r="F62" s="126">
        <v>14802664</v>
      </c>
      <c r="G62" s="519" t="s">
        <v>392</v>
      </c>
    </row>
    <row r="63" spans="1:8">
      <c r="A63" s="632"/>
      <c r="B63" s="634" t="s">
        <v>1902</v>
      </c>
      <c r="E63" s="37" t="s">
        <v>1894</v>
      </c>
      <c r="F63" s="7">
        <f>F61-F62</f>
        <v>99369073</v>
      </c>
      <c r="G63" s="13" t="str">
        <f>""&amp;B61&amp;" - "&amp;B62&amp;""</f>
        <v>a - b</v>
      </c>
    </row>
    <row r="64" spans="1:8">
      <c r="A64" s="632"/>
    </row>
    <row r="65" spans="1:7">
      <c r="A65" s="632"/>
      <c r="C65" s="515" t="s">
        <v>2666</v>
      </c>
      <c r="E65" s="101"/>
      <c r="F65" s="81" t="s">
        <v>103</v>
      </c>
      <c r="G65" s="123"/>
    </row>
    <row r="66" spans="1:7">
      <c r="A66" s="632"/>
      <c r="E66" s="101"/>
      <c r="F66" s="31" t="s">
        <v>2</v>
      </c>
      <c r="G66" s="411" t="s">
        <v>198</v>
      </c>
    </row>
    <row r="67" spans="1:7">
      <c r="A67" s="632"/>
      <c r="B67" s="634" t="s">
        <v>1903</v>
      </c>
      <c r="C67" s="19"/>
      <c r="E67" s="513" t="s">
        <v>1893</v>
      </c>
      <c r="F67" s="68">
        <v>227852643</v>
      </c>
      <c r="G67" s="30" t="s">
        <v>179</v>
      </c>
    </row>
    <row r="68" spans="1:7">
      <c r="A68" s="632"/>
      <c r="B68" s="634" t="s">
        <v>1904</v>
      </c>
      <c r="E68" s="513" t="s">
        <v>1899</v>
      </c>
      <c r="F68" s="126">
        <v>0</v>
      </c>
      <c r="G68" s="519" t="s">
        <v>392</v>
      </c>
    </row>
    <row r="69" spans="1:7">
      <c r="A69" s="632"/>
      <c r="B69" s="634" t="s">
        <v>1905</v>
      </c>
      <c r="D69" s="14"/>
      <c r="E69" s="513" t="s">
        <v>1945</v>
      </c>
      <c r="F69" s="7">
        <f>F67-F68</f>
        <v>227852643</v>
      </c>
      <c r="G69" s="13" t="str">
        <f>""&amp;B67&amp;" - "&amp;B68&amp;""</f>
        <v>d - e</v>
      </c>
    </row>
    <row r="73" spans="1:7">
      <c r="F73" s="633"/>
    </row>
  </sheetData>
  <phoneticPr fontId="23" type="noConversion"/>
  <pageMargins left="0.75" right="0.75" top="1" bottom="1" header="0.5" footer="0.5"/>
  <pageSetup scale="75" orientation="portrait" cellComments="asDisplayed" r:id="rId1"/>
  <headerFooter alignWithMargins="0">
    <oddHeader>&amp;CSchedule 13
Working Capital
&amp;RTO2019 Draft Annual Update
Attachment 5
TO13 True Up TRR</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270</v>
      </c>
    </row>
    <row r="2" spans="1:10">
      <c r="A2" s="1" t="s">
        <v>271</v>
      </c>
    </row>
    <row r="3" spans="1:10">
      <c r="B3" s="1"/>
      <c r="H3" s="200" t="s">
        <v>272</v>
      </c>
      <c r="I3" s="104"/>
      <c r="J3" s="58"/>
    </row>
    <row r="4" spans="1:10">
      <c r="B4" s="1" t="s">
        <v>273</v>
      </c>
    </row>
    <row r="5" spans="1:10">
      <c r="B5" s="57" t="s">
        <v>274</v>
      </c>
    </row>
    <row r="6" spans="1:10">
      <c r="B6" s="57" t="s">
        <v>328</v>
      </c>
    </row>
    <row r="7" spans="1:10">
      <c r="B7" s="112" t="s">
        <v>1086</v>
      </c>
    </row>
    <row r="8" spans="1:10">
      <c r="B8" s="112" t="s">
        <v>1678</v>
      </c>
    </row>
    <row r="9" spans="1:10">
      <c r="B9" s="112" t="s">
        <v>1679</v>
      </c>
      <c r="D9" s="1"/>
      <c r="E9" s="1"/>
    </row>
    <row r="10" spans="1:10">
      <c r="B10" s="57"/>
    </row>
    <row r="11" spans="1:10">
      <c r="B11" s="57"/>
      <c r="C11" s="12" t="s">
        <v>388</v>
      </c>
    </row>
    <row r="12" spans="1:10">
      <c r="B12" s="57"/>
      <c r="C12" s="519" t="s">
        <v>1681</v>
      </c>
    </row>
    <row r="13" spans="1:10">
      <c r="B13" s="57"/>
      <c r="C13" s="514" t="s">
        <v>2036</v>
      </c>
      <c r="D13" s="14"/>
      <c r="E13" s="14"/>
      <c r="F13" s="14"/>
      <c r="G13" s="14"/>
      <c r="H13" s="14"/>
      <c r="I13" s="14"/>
    </row>
    <row r="14" spans="1:10">
      <c r="B14" s="57"/>
      <c r="C14" s="514" t="s">
        <v>1682</v>
      </c>
      <c r="D14" s="14"/>
      <c r="E14" s="14"/>
      <c r="F14" s="14"/>
      <c r="G14" s="14"/>
      <c r="H14" s="14"/>
      <c r="I14" s="14"/>
    </row>
    <row r="15" spans="1:10">
      <c r="B15" s="57"/>
      <c r="C15" s="1011" t="s">
        <v>1683</v>
      </c>
      <c r="D15" s="14"/>
      <c r="E15" s="14"/>
      <c r="F15" s="14"/>
      <c r="G15" s="14"/>
      <c r="H15" s="14"/>
      <c r="I15" s="14"/>
    </row>
    <row r="16" spans="1:10">
      <c r="B16" s="57"/>
      <c r="C16" s="514" t="s">
        <v>1685</v>
      </c>
      <c r="D16" s="14"/>
      <c r="E16" s="14"/>
      <c r="F16" s="14"/>
      <c r="G16" s="14"/>
      <c r="H16" s="14"/>
      <c r="I16" s="14"/>
    </row>
    <row r="17" spans="1:10">
      <c r="B17" s="57"/>
      <c r="C17" s="514" t="s">
        <v>1684</v>
      </c>
      <c r="D17" s="14"/>
      <c r="E17" s="14"/>
      <c r="F17" s="14"/>
      <c r="G17" s="14"/>
      <c r="H17" s="14"/>
      <c r="I17" s="14"/>
    </row>
    <row r="18" spans="1:10">
      <c r="B18" s="57"/>
      <c r="C18" s="47"/>
      <c r="D18" s="14"/>
      <c r="E18" s="14"/>
      <c r="F18" s="14"/>
      <c r="G18" s="14"/>
      <c r="H18" s="14"/>
      <c r="I18" s="14"/>
    </row>
    <row r="19" spans="1:10">
      <c r="C19" s="45" t="s">
        <v>1085</v>
      </c>
      <c r="D19" s="14"/>
      <c r="E19" s="14"/>
      <c r="F19" s="14"/>
      <c r="G19" s="14"/>
      <c r="H19" s="14"/>
      <c r="I19" s="14"/>
    </row>
    <row r="20" spans="1:10">
      <c r="C20" s="45"/>
      <c r="D20" s="14"/>
      <c r="E20" s="134" t="s">
        <v>391</v>
      </c>
      <c r="F20" s="134" t="s">
        <v>375</v>
      </c>
      <c r="G20" s="134" t="s">
        <v>376</v>
      </c>
      <c r="H20" s="14"/>
      <c r="I20" s="14"/>
    </row>
    <row r="21" spans="1:10">
      <c r="B21" s="1"/>
      <c r="C21" s="14"/>
      <c r="D21" s="14"/>
      <c r="E21" s="14"/>
      <c r="F21" s="120" t="s">
        <v>73</v>
      </c>
      <c r="G21" s="120" t="s">
        <v>18</v>
      </c>
      <c r="H21" s="14"/>
      <c r="I21" s="14"/>
    </row>
    <row r="22" spans="1:10">
      <c r="B22" s="1"/>
      <c r="C22" s="14"/>
      <c r="D22" s="14"/>
      <c r="E22" s="120" t="s">
        <v>73</v>
      </c>
      <c r="F22" s="1022" t="s">
        <v>254</v>
      </c>
      <c r="G22" s="120" t="s">
        <v>327</v>
      </c>
      <c r="H22" s="14"/>
      <c r="I22" s="14"/>
    </row>
    <row r="23" spans="1:10">
      <c r="B23" s="1"/>
      <c r="C23" s="15"/>
      <c r="D23" s="14"/>
      <c r="E23" s="120" t="s">
        <v>253</v>
      </c>
      <c r="F23" s="120" t="s">
        <v>255</v>
      </c>
      <c r="G23" s="120" t="s">
        <v>1</v>
      </c>
      <c r="H23" s="14"/>
      <c r="I23" s="14"/>
    </row>
    <row r="24" spans="1:10">
      <c r="B24" s="1"/>
      <c r="C24" s="120" t="s">
        <v>8</v>
      </c>
      <c r="D24" s="14"/>
      <c r="E24" s="120" t="s">
        <v>266</v>
      </c>
      <c r="F24" s="120" t="s">
        <v>266</v>
      </c>
      <c r="G24" s="1022" t="s">
        <v>10</v>
      </c>
      <c r="H24" s="14"/>
      <c r="I24" s="14"/>
    </row>
    <row r="25" spans="1:10">
      <c r="A25" s="53" t="s">
        <v>360</v>
      </c>
      <c r="B25" s="1"/>
      <c r="C25" s="134" t="s">
        <v>250</v>
      </c>
      <c r="D25" s="14"/>
      <c r="E25" s="134" t="s">
        <v>194</v>
      </c>
      <c r="F25" s="134" t="s">
        <v>194</v>
      </c>
      <c r="G25" s="134" t="s">
        <v>194</v>
      </c>
      <c r="H25" s="134" t="s">
        <v>256</v>
      </c>
      <c r="I25" s="119"/>
      <c r="J25" s="52"/>
    </row>
    <row r="26" spans="1:10">
      <c r="A26" s="2">
        <v>1</v>
      </c>
      <c r="B26" s="1"/>
      <c r="C26" s="15" t="s">
        <v>369</v>
      </c>
      <c r="D26" s="14"/>
      <c r="E26" s="65">
        <f>'10-CWIP'!E25</f>
        <v>150976.49</v>
      </c>
      <c r="F26" s="65">
        <f>'10-CWIP'!E26</f>
        <v>5894761.7546153832</v>
      </c>
      <c r="G26" s="65">
        <f>'10-CWIP'!K113</f>
        <v>-150976.49</v>
      </c>
      <c r="H26" s="47" t="str">
        <f>"10-CWIP Lines "&amp;'10-CWIP'!A25&amp;", "&amp;'10-CWIP'!A26&amp;", and "&amp;'10-CWIP'!A113&amp;""</f>
        <v>10-CWIP Lines 13, 14, and 80</v>
      </c>
      <c r="I26" s="14"/>
    </row>
    <row r="27" spans="1:10">
      <c r="A27" s="2">
        <f t="shared" ref="A27:A38" si="0">A26+1</f>
        <v>2</v>
      </c>
      <c r="B27" s="1"/>
      <c r="C27" s="15" t="s">
        <v>370</v>
      </c>
      <c r="D27" s="14"/>
      <c r="E27" s="65">
        <f>'10-CWIP'!F25</f>
        <v>0</v>
      </c>
      <c r="F27" s="65">
        <f>'10-CWIP'!F26</f>
        <v>0</v>
      </c>
      <c r="G27" s="65">
        <f>'10-CWIP'!K146</f>
        <v>0</v>
      </c>
      <c r="H27" s="47" t="str">
        <f>"10-CWIP Lines "&amp;'10-CWIP'!A25&amp;", "&amp;'10-CWIP'!A26&amp;", and "&amp;'10-CWIP'!A146&amp;""</f>
        <v>10-CWIP Lines 13, 14, and 106</v>
      </c>
      <c r="I27" s="14"/>
    </row>
    <row r="28" spans="1:10">
      <c r="A28" s="2">
        <f t="shared" si="0"/>
        <v>3</v>
      </c>
      <c r="B28" s="1"/>
      <c r="C28" s="1160" t="s">
        <v>2950</v>
      </c>
      <c r="D28" s="14"/>
      <c r="E28" s="65">
        <f>'10-CWIP'!G25</f>
        <v>4884727.96</v>
      </c>
      <c r="F28" s="65">
        <f>'10-CWIP'!G26</f>
        <v>4594011.3792307694</v>
      </c>
      <c r="G28" s="65">
        <f>'10-CWIP'!K177</f>
        <v>628048.07692307688</v>
      </c>
      <c r="H28" s="47" t="str">
        <f>"10-CWIP Lines "&amp;'10-CWIP'!A25&amp;", "&amp;'10-CWIP'!A26&amp;", and "&amp;'10-CWIP'!A177&amp;""</f>
        <v>10-CWIP Lines 13, 14, and 132</v>
      </c>
      <c r="I28" s="14"/>
    </row>
    <row r="29" spans="1:10">
      <c r="A29" s="2">
        <f t="shared" si="0"/>
        <v>4</v>
      </c>
      <c r="B29" s="1"/>
      <c r="C29" s="1160" t="s">
        <v>2951</v>
      </c>
      <c r="D29" s="14"/>
      <c r="E29" s="65">
        <f>'10-CWIP'!H25</f>
        <v>98805811.510000005</v>
      </c>
      <c r="F29" s="65">
        <f>'10-CWIP'!H26</f>
        <v>80157512.240769237</v>
      </c>
      <c r="G29" s="65">
        <f>'10-CWIP'!K210</f>
        <v>158421232.23461542</v>
      </c>
      <c r="H29" s="47" t="str">
        <f>"10-CWIP Lines "&amp;'10-CWIP'!A25&amp;", "&amp;'10-CWIP'!A26&amp;", and "&amp;'10-CWIP'!A210&amp;""</f>
        <v>10-CWIP Lines 13, 14, and 158</v>
      </c>
      <c r="I29" s="14"/>
    </row>
    <row r="30" spans="1:10">
      <c r="A30" s="2">
        <f t="shared" si="0"/>
        <v>5</v>
      </c>
      <c r="B30" s="1"/>
      <c r="C30" s="15" t="s">
        <v>1091</v>
      </c>
      <c r="D30" s="14"/>
      <c r="E30" s="65">
        <f>'10-CWIP'!I25</f>
        <v>0</v>
      </c>
      <c r="F30" s="65">
        <f>'10-CWIP'!I26</f>
        <v>0</v>
      </c>
      <c r="G30" s="65">
        <f>'10-CWIP'!K241</f>
        <v>0</v>
      </c>
      <c r="H30" s="47" t="str">
        <f>"10-CWIP Lines "&amp;'10-CWIP'!A25&amp;", "&amp;'10-CWIP'!A26&amp;", and "&amp;'10-CWIP'!A241&amp;""</f>
        <v>10-CWIP Lines 13, 14, and 184</v>
      </c>
      <c r="I30" s="14"/>
    </row>
    <row r="31" spans="1:10">
      <c r="A31" s="2">
        <f t="shared" si="0"/>
        <v>6</v>
      </c>
      <c r="B31" s="1"/>
      <c r="C31" s="15" t="s">
        <v>1092</v>
      </c>
      <c r="D31" s="14"/>
      <c r="E31" s="65">
        <f>'10-CWIP'!D45</f>
        <v>0</v>
      </c>
      <c r="F31" s="65">
        <f>'10-CWIP'!D46</f>
        <v>9253542.2723076921</v>
      </c>
      <c r="G31" s="65">
        <f>'10-CWIP'!K274</f>
        <v>0</v>
      </c>
      <c r="H31" s="47" t="str">
        <f>"10-CWIP Lines "&amp;'10-CWIP'!A45&amp;", "&amp;'10-CWIP'!A46&amp;", and "&amp;'10-CWIP'!A274&amp;""</f>
        <v>10-CWIP Lines 27, 28, and 210</v>
      </c>
      <c r="I31" s="14"/>
    </row>
    <row r="32" spans="1:10">
      <c r="A32" s="2">
        <f t="shared" si="0"/>
        <v>7</v>
      </c>
      <c r="B32" s="1"/>
      <c r="C32" s="15" t="s">
        <v>1093</v>
      </c>
      <c r="D32" s="14"/>
      <c r="E32" s="65">
        <f>'10-CWIP'!E45</f>
        <v>0</v>
      </c>
      <c r="F32" s="65">
        <f>'10-CWIP'!E46</f>
        <v>0</v>
      </c>
      <c r="G32" s="65">
        <f>'10-CWIP'!K305</f>
        <v>0</v>
      </c>
      <c r="H32" s="47" t="str">
        <f>"10-CWIP Lines "&amp;'10-CWIP'!A45&amp;", "&amp;'10-CWIP'!A46&amp;", and "&amp;'10-CWIP'!A305&amp;""</f>
        <v>10-CWIP Lines 27, 28, and 236</v>
      </c>
      <c r="I32" s="14"/>
    </row>
    <row r="33" spans="1:10">
      <c r="A33" s="2">
        <f t="shared" si="0"/>
        <v>8</v>
      </c>
      <c r="B33" s="1"/>
      <c r="C33" s="1160" t="s">
        <v>2952</v>
      </c>
      <c r="D33" s="14"/>
      <c r="E33" s="65">
        <f>'10-CWIP'!F45</f>
        <v>46788115.939999998</v>
      </c>
      <c r="F33" s="65">
        <f>'10-CWIP'!F46</f>
        <v>6541655.1407692302</v>
      </c>
      <c r="G33" s="65">
        <f>'10-CWIP'!K338</f>
        <v>110990870.81971005</v>
      </c>
      <c r="H33" s="47" t="str">
        <f>"10-CWIP Lines "&amp;'10-CWIP'!A45&amp;", "&amp;'10-CWIP'!A46&amp;", and "&amp;'10-CWIP'!A338&amp;""</f>
        <v>10-CWIP Lines 27, 28, and 262</v>
      </c>
      <c r="I33" s="14"/>
    </row>
    <row r="34" spans="1:10">
      <c r="A34" s="2">
        <f t="shared" si="0"/>
        <v>9</v>
      </c>
      <c r="B34" s="1"/>
      <c r="C34" s="1160" t="s">
        <v>2953</v>
      </c>
      <c r="D34" s="14"/>
      <c r="E34" s="65">
        <f>'10-CWIP'!G45</f>
        <v>0</v>
      </c>
      <c r="F34" s="65">
        <f>'10-CWIP'!G46</f>
        <v>0</v>
      </c>
      <c r="G34" s="65">
        <f>'10-CWIP'!K369</f>
        <v>3359285.511423077</v>
      </c>
      <c r="H34" s="47" t="str">
        <f>"10-CWIP Lines "&amp;'10-CWIP'!A45&amp;", "&amp;'10-CWIP'!A46&amp;", and "&amp;'10-CWIP'!A369&amp;""</f>
        <v>10-CWIP Lines 27, 28, and 288</v>
      </c>
      <c r="I34" s="14"/>
    </row>
    <row r="35" spans="1:10" s="1158" customFormat="1">
      <c r="A35" s="635">
        <f>A34+1</f>
        <v>10</v>
      </c>
      <c r="B35" s="1"/>
      <c r="C35" s="1160" t="s">
        <v>2954</v>
      </c>
      <c r="D35" s="14"/>
      <c r="E35" s="65">
        <f>'10-CWIP'!H45</f>
        <v>0</v>
      </c>
      <c r="F35" s="65">
        <f>'10-CWIP'!H46</f>
        <v>0</v>
      </c>
      <c r="G35" s="65">
        <f>'10-CWIP'!K402</f>
        <v>28209776.497692302</v>
      </c>
      <c r="H35" s="47" t="str">
        <f>"10-CWIP Lines "&amp;'10-CWIP'!A45&amp;", "&amp;'10-CWIP'!A46&amp;", and "&amp;'10-CWIP'!A402&amp;""</f>
        <v>10-CWIP Lines 27, 28, and 314</v>
      </c>
      <c r="I35" s="14"/>
    </row>
    <row r="36" spans="1:10">
      <c r="A36" s="2">
        <f>A35+1</f>
        <v>11</v>
      </c>
      <c r="B36" s="1"/>
      <c r="C36" s="594" t="s">
        <v>561</v>
      </c>
      <c r="E36" s="206" t="s">
        <v>86</v>
      </c>
      <c r="F36" s="206" t="s">
        <v>86</v>
      </c>
      <c r="G36" s="206" t="s">
        <v>86</v>
      </c>
      <c r="H36" s="594" t="s">
        <v>561</v>
      </c>
      <c r="I36" s="14"/>
      <c r="J36" s="14"/>
    </row>
    <row r="37" spans="1:10">
      <c r="A37" s="2">
        <f t="shared" si="0"/>
        <v>12</v>
      </c>
      <c r="B37" s="1"/>
      <c r="C37" s="201"/>
      <c r="E37" s="206"/>
      <c r="F37" s="206"/>
      <c r="G37" s="206"/>
      <c r="H37" s="13"/>
    </row>
    <row r="38" spans="1:10">
      <c r="A38" s="2">
        <f t="shared" si="0"/>
        <v>13</v>
      </c>
      <c r="B38" s="1"/>
      <c r="D38" s="37" t="s">
        <v>216</v>
      </c>
      <c r="E38" s="7">
        <f>SUM(E26:E35)</f>
        <v>150629631.90000001</v>
      </c>
      <c r="F38" s="7">
        <f>SUM(F26:F35)</f>
        <v>106441482.78769231</v>
      </c>
      <c r="G38" s="7">
        <f>SUM(G26:G35)</f>
        <v>301458236.65036386</v>
      </c>
      <c r="H38" s="54"/>
    </row>
    <row r="39" spans="1:10">
      <c r="B39" s="1"/>
    </row>
    <row r="40" spans="1:10">
      <c r="B40" s="1"/>
      <c r="C40" s="1" t="s">
        <v>1377</v>
      </c>
    </row>
    <row r="41" spans="1:10">
      <c r="B41" s="1"/>
      <c r="C41" s="1"/>
    </row>
    <row r="42" spans="1:10">
      <c r="B42" s="1"/>
      <c r="E42" s="3" t="s">
        <v>391</v>
      </c>
      <c r="F42" s="3" t="s">
        <v>375</v>
      </c>
      <c r="G42" s="3" t="s">
        <v>376</v>
      </c>
    </row>
    <row r="43" spans="1:10">
      <c r="B43" s="1"/>
      <c r="E43" s="524" t="s">
        <v>1653</v>
      </c>
      <c r="F43" s="3"/>
      <c r="G43" s="3"/>
    </row>
    <row r="44" spans="1:10">
      <c r="B44" s="1"/>
      <c r="E44" s="2" t="s">
        <v>73</v>
      </c>
      <c r="F44" s="2" t="s">
        <v>330</v>
      </c>
      <c r="G44" s="2" t="s">
        <v>330</v>
      </c>
    </row>
    <row r="45" spans="1:10">
      <c r="B45" s="1"/>
      <c r="E45" s="2" t="s">
        <v>8</v>
      </c>
      <c r="F45" s="2" t="s">
        <v>1</v>
      </c>
      <c r="G45" s="2" t="s">
        <v>329</v>
      </c>
    </row>
    <row r="46" spans="1:10">
      <c r="B46" s="1"/>
      <c r="E46" s="3" t="s">
        <v>192</v>
      </c>
      <c r="F46" s="3" t="s">
        <v>275</v>
      </c>
      <c r="G46" s="3" t="s">
        <v>3</v>
      </c>
      <c r="H46" s="3" t="s">
        <v>256</v>
      </c>
    </row>
    <row r="47" spans="1:10">
      <c r="A47" s="2">
        <f>A38+1</f>
        <v>14</v>
      </c>
      <c r="B47" s="1"/>
      <c r="C47" t="s">
        <v>251</v>
      </c>
      <c r="E47" s="110">
        <f>F47+G47</f>
        <v>150232042.80208787</v>
      </c>
      <c r="F47" s="65">
        <v>0</v>
      </c>
      <c r="G47" s="65">
        <f>H85</f>
        <v>150232042.80208787</v>
      </c>
      <c r="H47" s="13" t="str">
        <f>"Line "&amp;A85&amp;", C4"</f>
        <v>Line 38, C4</v>
      </c>
    </row>
    <row r="48" spans="1:10">
      <c r="A48" s="2">
        <f>A47+1</f>
        <v>15</v>
      </c>
      <c r="B48" s="1"/>
      <c r="C48" t="s">
        <v>252</v>
      </c>
      <c r="E48" s="110">
        <f>F48+G48</f>
        <v>2728701252.9784455</v>
      </c>
      <c r="F48" s="65">
        <f>E26</f>
        <v>150976.49</v>
      </c>
      <c r="G48" s="65">
        <f>F85</f>
        <v>2728550276.4884458</v>
      </c>
      <c r="H48" s="13" t="str">
        <f>"Line "&amp;A26&amp;", C1, and Line "&amp;A85&amp;", C2"</f>
        <v>Line 1, C1, and Line 38, C2</v>
      </c>
    </row>
    <row r="49" spans="1:8">
      <c r="A49" s="2">
        <f>A48+1</f>
        <v>16</v>
      </c>
      <c r="B49" s="1"/>
      <c r="C49" s="515" t="s">
        <v>1868</v>
      </c>
      <c r="E49" s="110">
        <f>F49+G49</f>
        <v>687752339.98307264</v>
      </c>
      <c r="F49" s="65">
        <f>E27</f>
        <v>0</v>
      </c>
      <c r="G49" s="65">
        <f>G85</f>
        <v>687752339.98307264</v>
      </c>
      <c r="H49" s="13" t="str">
        <f>"Line "&amp;A27&amp;", C1, and Line "&amp;A85&amp;", C3"</f>
        <v>Line 2, C1, and Line 38, C3</v>
      </c>
    </row>
    <row r="50" spans="1:8">
      <c r="A50" s="2">
        <f>A49+1</f>
        <v>17</v>
      </c>
      <c r="B50" s="1"/>
      <c r="C50" s="594" t="s">
        <v>561</v>
      </c>
      <c r="E50" s="103" t="s">
        <v>86</v>
      </c>
      <c r="F50" s="103" t="s">
        <v>86</v>
      </c>
      <c r="G50" s="103" t="s">
        <v>86</v>
      </c>
      <c r="H50" s="594" t="s">
        <v>561</v>
      </c>
    </row>
    <row r="51" spans="1:8">
      <c r="A51" s="2">
        <f>A50+1</f>
        <v>18</v>
      </c>
      <c r="B51" s="1"/>
      <c r="C51" s="201"/>
      <c r="E51" s="103"/>
      <c r="F51" s="103"/>
      <c r="G51" s="103"/>
      <c r="H51" s="13"/>
    </row>
    <row r="52" spans="1:8">
      <c r="A52" s="2">
        <f>A51+1</f>
        <v>19</v>
      </c>
      <c r="B52" s="1"/>
      <c r="D52" s="513" t="s">
        <v>1872</v>
      </c>
      <c r="E52" s="7">
        <f>SUM(E47:E49)</f>
        <v>3566685635.7636061</v>
      </c>
      <c r="F52" s="103"/>
      <c r="G52" s="103"/>
      <c r="H52" s="519" t="s">
        <v>1873</v>
      </c>
    </row>
    <row r="53" spans="1:8">
      <c r="B53" s="1"/>
    </row>
    <row r="54" spans="1:8">
      <c r="B54" s="1"/>
      <c r="C54" s="1" t="s">
        <v>1680</v>
      </c>
    </row>
    <row r="55" spans="1:8">
      <c r="B55" s="1"/>
      <c r="C55" s="1"/>
    </row>
    <row r="56" spans="1:8">
      <c r="B56" s="1"/>
      <c r="C56" s="1"/>
      <c r="E56" s="3" t="s">
        <v>391</v>
      </c>
      <c r="F56" s="3" t="s">
        <v>375</v>
      </c>
      <c r="G56" s="3" t="s">
        <v>376</v>
      </c>
    </row>
    <row r="57" spans="1:8">
      <c r="B57" s="1"/>
      <c r="E57" s="524" t="s">
        <v>1653</v>
      </c>
      <c r="G57" s="2" t="s">
        <v>10</v>
      </c>
    </row>
    <row r="58" spans="1:8">
      <c r="B58" s="1"/>
      <c r="E58" s="2" t="s">
        <v>73</v>
      </c>
      <c r="F58" s="2" t="s">
        <v>10</v>
      </c>
      <c r="G58" s="2" t="s">
        <v>329</v>
      </c>
    </row>
    <row r="59" spans="1:8">
      <c r="B59" s="1"/>
      <c r="C59" s="2" t="s">
        <v>8</v>
      </c>
      <c r="E59" s="2" t="s">
        <v>8</v>
      </c>
      <c r="F59" s="2" t="s">
        <v>1</v>
      </c>
      <c r="G59" s="2" t="s">
        <v>3</v>
      </c>
    </row>
    <row r="60" spans="1:8" ht="12.75" customHeight="1">
      <c r="B60" s="1"/>
      <c r="C60" s="3" t="s">
        <v>250</v>
      </c>
      <c r="E60" s="3" t="s">
        <v>192</v>
      </c>
      <c r="F60" s="3" t="s">
        <v>275</v>
      </c>
      <c r="G60" s="3" t="s">
        <v>275</v>
      </c>
      <c r="H60" s="3" t="s">
        <v>256</v>
      </c>
    </row>
    <row r="61" spans="1:8">
      <c r="A61" s="2">
        <f>A52+1</f>
        <v>20</v>
      </c>
      <c r="B61" s="1"/>
      <c r="C61" t="s">
        <v>251</v>
      </c>
      <c r="E61" s="110">
        <f>F61+G61</f>
        <v>152604253.61173245</v>
      </c>
      <c r="F61" s="65">
        <v>0</v>
      </c>
      <c r="G61" s="113">
        <f>H86</f>
        <v>152604253.61173245</v>
      </c>
      <c r="H61" s="13" t="str">
        <f>"Line "&amp;A86&amp;", C4"</f>
        <v>Line 39, C4</v>
      </c>
    </row>
    <row r="62" spans="1:8">
      <c r="A62" s="2">
        <f>A61+1</f>
        <v>21</v>
      </c>
      <c r="B62" s="1"/>
      <c r="C62" t="s">
        <v>252</v>
      </c>
      <c r="E62" s="110">
        <f>F62+G62</f>
        <v>2756592235.1223397</v>
      </c>
      <c r="F62" s="65">
        <f>F26</f>
        <v>5894761.7546153832</v>
      </c>
      <c r="G62" s="113">
        <f>F86</f>
        <v>2750697473.3677244</v>
      </c>
      <c r="H62" s="13" t="str">
        <f>"Line "&amp;A26&amp;", C2, and Line "&amp;A86&amp;", C2"</f>
        <v>Line 1, C2, and Line 39, C2</v>
      </c>
    </row>
    <row r="63" spans="1:8">
      <c r="A63" s="2">
        <f>A62+1</f>
        <v>22</v>
      </c>
      <c r="B63" s="1"/>
      <c r="C63" s="12" t="s">
        <v>598</v>
      </c>
      <c r="E63" s="110">
        <f>F63+G63</f>
        <v>697660501.26822519</v>
      </c>
      <c r="F63" s="65">
        <f>F27</f>
        <v>0</v>
      </c>
      <c r="G63" s="113">
        <f>G86</f>
        <v>697660501.26822519</v>
      </c>
      <c r="H63" s="13" t="str">
        <f>"Line "&amp;A27&amp;", C2, and Line "&amp;A86&amp;", C3"</f>
        <v>Line 2, C2, and Line 39, C3</v>
      </c>
    </row>
    <row r="64" spans="1:8">
      <c r="A64" s="2">
        <f>A63+1</f>
        <v>23</v>
      </c>
      <c r="B64" s="1"/>
      <c r="C64" s="594" t="s">
        <v>561</v>
      </c>
      <c r="E64" s="103" t="s">
        <v>86</v>
      </c>
      <c r="F64" s="103" t="s">
        <v>86</v>
      </c>
      <c r="G64" s="103" t="s">
        <v>86</v>
      </c>
      <c r="H64" s="594" t="s">
        <v>561</v>
      </c>
    </row>
    <row r="65" spans="1:11">
      <c r="A65" s="2">
        <f>A64+1</f>
        <v>24</v>
      </c>
      <c r="B65" s="1"/>
      <c r="C65" s="201"/>
      <c r="E65" s="103"/>
      <c r="F65" s="103"/>
      <c r="G65" s="103"/>
      <c r="H65" s="13"/>
    </row>
    <row r="66" spans="1:11">
      <c r="A66" s="2">
        <f>A65+1</f>
        <v>25</v>
      </c>
      <c r="B66" s="1"/>
      <c r="D66" s="513" t="s">
        <v>1872</v>
      </c>
      <c r="E66" s="7">
        <f>SUM(E61:E63)</f>
        <v>3606856990.0022974</v>
      </c>
      <c r="H66" s="615" t="s">
        <v>1874</v>
      </c>
    </row>
    <row r="67" spans="1:11">
      <c r="A67" s="575"/>
      <c r="B67" s="1"/>
      <c r="D67" s="101"/>
      <c r="E67" s="7"/>
    </row>
    <row r="68" spans="1:11">
      <c r="C68" s="1" t="s">
        <v>1094</v>
      </c>
    </row>
    <row r="69" spans="1:11">
      <c r="E69" s="91" t="s">
        <v>391</v>
      </c>
      <c r="F69" s="91" t="s">
        <v>375</v>
      </c>
      <c r="G69" s="91" t="s">
        <v>376</v>
      </c>
      <c r="H69" s="91" t="s">
        <v>377</v>
      </c>
      <c r="I69" s="91" t="s">
        <v>378</v>
      </c>
      <c r="J69" s="91"/>
    </row>
    <row r="70" spans="1:11">
      <c r="C70" s="2" t="s">
        <v>587</v>
      </c>
      <c r="E70" s="2" t="s">
        <v>590</v>
      </c>
      <c r="F70" s="1004" t="str">
        <f>"L "&amp;A118&amp;" to L "&amp;A130&amp;", C3"</f>
        <v>L 54 to L 66, C3</v>
      </c>
      <c r="G70" s="1004" t="str">
        <f>"L "&amp;A158&amp;" to L "&amp;A170&amp;", C3"</f>
        <v>L 80 to L 92, C3</v>
      </c>
      <c r="H70" s="1004" t="str">
        <f>"L "&amp;A138&amp;" to L "&amp;A150&amp;", C3"</f>
        <v>L 67 to L 79, C3</v>
      </c>
      <c r="I70" s="104"/>
      <c r="K70" s="2"/>
    </row>
    <row r="71" spans="1:11">
      <c r="C71" s="2" t="s">
        <v>212</v>
      </c>
      <c r="E71" s="2" t="s">
        <v>591</v>
      </c>
      <c r="F71" s="14"/>
      <c r="G71" s="120" t="s">
        <v>373</v>
      </c>
      <c r="H71" s="120" t="s">
        <v>588</v>
      </c>
      <c r="I71" s="202"/>
      <c r="J71" s="384"/>
      <c r="K71" s="2"/>
    </row>
    <row r="72" spans="1:11">
      <c r="A72" s="53"/>
      <c r="C72" s="25" t="s">
        <v>211</v>
      </c>
      <c r="D72" s="25" t="s">
        <v>212</v>
      </c>
      <c r="E72" s="3" t="s">
        <v>3</v>
      </c>
      <c r="F72" s="134" t="s">
        <v>249</v>
      </c>
      <c r="G72" s="134" t="s">
        <v>374</v>
      </c>
      <c r="H72" s="134" t="s">
        <v>589</v>
      </c>
      <c r="I72" s="203"/>
      <c r="J72" s="3" t="s">
        <v>187</v>
      </c>
    </row>
    <row r="73" spans="1:11">
      <c r="A73" s="2">
        <f>A66+1</f>
        <v>26</v>
      </c>
      <c r="C73" s="20" t="s">
        <v>199</v>
      </c>
      <c r="D73" s="199">
        <v>2017</v>
      </c>
      <c r="E73" s="61">
        <f>SUM(F73:H73)</f>
        <v>3623644583.4649796</v>
      </c>
      <c r="F73" s="1042">
        <f>G118</f>
        <v>2761096353.8102016</v>
      </c>
      <c r="G73" s="1042">
        <f>G158</f>
        <v>707569233.3452605</v>
      </c>
      <c r="H73" s="1042">
        <f>G138</f>
        <v>154978996.30951726</v>
      </c>
      <c r="I73" s="384" t="s">
        <v>86</v>
      </c>
      <c r="J73" s="52" t="s">
        <v>1098</v>
      </c>
    </row>
    <row r="74" spans="1:11">
      <c r="A74" s="2">
        <f>A73+1</f>
        <v>27</v>
      </c>
      <c r="C74" s="20" t="s">
        <v>200</v>
      </c>
      <c r="D74" s="157">
        <v>2018</v>
      </c>
      <c r="E74" s="61">
        <f t="shared" ref="E74:E85" si="1">SUM(F74:H74)</f>
        <v>3615880494.7592592</v>
      </c>
      <c r="F74" s="1042">
        <f t="shared" ref="F74:F85" si="2">G119</f>
        <v>2755369096.2820368</v>
      </c>
      <c r="G74" s="1042">
        <f t="shared" ref="G74:G85" si="3">G159</f>
        <v>705927339.04713356</v>
      </c>
      <c r="H74" s="1042">
        <f t="shared" ref="H74:H85" si="4">G139</f>
        <v>154584059.43008918</v>
      </c>
      <c r="I74" s="384" t="s">
        <v>86</v>
      </c>
      <c r="J74" s="13" t="s">
        <v>1097</v>
      </c>
    </row>
    <row r="75" spans="1:11">
      <c r="A75" s="2">
        <f t="shared" ref="A75:A86" si="5">A74+1</f>
        <v>28</v>
      </c>
      <c r="C75" s="21" t="s">
        <v>201</v>
      </c>
      <c r="D75" s="157">
        <v>2018</v>
      </c>
      <c r="E75" s="61">
        <f t="shared" si="1"/>
        <v>3614032507.8598137</v>
      </c>
      <c r="F75" s="1042">
        <f t="shared" si="2"/>
        <v>2755580398.2908025</v>
      </c>
      <c r="G75" s="1042">
        <f t="shared" si="3"/>
        <v>704262987.01835036</v>
      </c>
      <c r="H75" s="1042">
        <f t="shared" si="4"/>
        <v>154189122.55066112</v>
      </c>
      <c r="I75" s="384" t="s">
        <v>86</v>
      </c>
      <c r="J75" s="384" t="s">
        <v>1096</v>
      </c>
      <c r="K75" s="2"/>
    </row>
    <row r="76" spans="1:11">
      <c r="A76" s="2">
        <f t="shared" si="5"/>
        <v>29</v>
      </c>
      <c r="C76" s="21" t="s">
        <v>214</v>
      </c>
      <c r="D76" s="157">
        <v>2018</v>
      </c>
      <c r="E76" s="61">
        <f t="shared" si="1"/>
        <v>3610703590.121047</v>
      </c>
      <c r="F76" s="1042">
        <f t="shared" si="2"/>
        <v>2754293880.9851642</v>
      </c>
      <c r="G76" s="1042">
        <f t="shared" si="3"/>
        <v>702621119.58465004</v>
      </c>
      <c r="H76" s="1042">
        <f t="shared" si="4"/>
        <v>153788589.55123302</v>
      </c>
      <c r="I76" s="384" t="s">
        <v>86</v>
      </c>
      <c r="J76" s="384"/>
      <c r="K76" s="2"/>
    </row>
    <row r="77" spans="1:11">
      <c r="A77" s="2">
        <f t="shared" si="5"/>
        <v>30</v>
      </c>
      <c r="C77" s="20" t="s">
        <v>202</v>
      </c>
      <c r="D77" s="157">
        <v>2018</v>
      </c>
      <c r="E77" s="61">
        <f t="shared" si="1"/>
        <v>3603732187.2109303</v>
      </c>
      <c r="F77" s="1042">
        <f t="shared" si="2"/>
        <v>2749366950.1302528</v>
      </c>
      <c r="G77" s="1042">
        <f t="shared" si="3"/>
        <v>700971572.61038721</v>
      </c>
      <c r="H77" s="1042">
        <f t="shared" si="4"/>
        <v>153393664.47029027</v>
      </c>
      <c r="I77" s="384" t="s">
        <v>86</v>
      </c>
      <c r="J77" s="384"/>
      <c r="K77" s="2"/>
    </row>
    <row r="78" spans="1:11">
      <c r="A78" s="2">
        <f t="shared" si="5"/>
        <v>31</v>
      </c>
      <c r="C78" s="21" t="s">
        <v>203</v>
      </c>
      <c r="D78" s="157">
        <v>2018</v>
      </c>
      <c r="E78" s="61">
        <f t="shared" si="1"/>
        <v>3617080146.8861885</v>
      </c>
      <c r="F78" s="1042">
        <f t="shared" si="2"/>
        <v>2764751667.296186</v>
      </c>
      <c r="G78" s="1042">
        <f t="shared" si="3"/>
        <v>699329740.20065498</v>
      </c>
      <c r="H78" s="1042">
        <f t="shared" si="4"/>
        <v>152998739.38934752</v>
      </c>
      <c r="I78" s="384" t="s">
        <v>86</v>
      </c>
      <c r="J78" s="384"/>
      <c r="K78" s="2"/>
    </row>
    <row r="79" spans="1:11">
      <c r="A79" s="2">
        <f t="shared" si="5"/>
        <v>32</v>
      </c>
      <c r="C79" s="21" t="s">
        <v>204</v>
      </c>
      <c r="D79" s="157">
        <v>2018</v>
      </c>
      <c r="E79" s="61">
        <f t="shared" si="1"/>
        <v>3611530160.2316108</v>
      </c>
      <c r="F79" s="1042">
        <f t="shared" si="2"/>
        <v>2761235317.0400362</v>
      </c>
      <c r="G79" s="1042">
        <f t="shared" si="3"/>
        <v>697691028.82316971</v>
      </c>
      <c r="H79" s="1042">
        <f t="shared" si="4"/>
        <v>152603814.36840478</v>
      </c>
      <c r="I79" s="384" t="s">
        <v>86</v>
      </c>
      <c r="J79" s="384"/>
      <c r="K79" s="2"/>
    </row>
    <row r="80" spans="1:11">
      <c r="A80" s="2">
        <f t="shared" si="5"/>
        <v>33</v>
      </c>
      <c r="C80" s="20" t="s">
        <v>205</v>
      </c>
      <c r="D80" s="157">
        <v>2018</v>
      </c>
      <c r="E80" s="61">
        <f t="shared" si="1"/>
        <v>3604314876.9233866</v>
      </c>
      <c r="F80" s="1042">
        <f t="shared" si="2"/>
        <v>2756061325.125977</v>
      </c>
      <c r="G80" s="1042">
        <f t="shared" si="3"/>
        <v>696044662.47007406</v>
      </c>
      <c r="H80" s="1042">
        <f t="shared" si="4"/>
        <v>152208889.32733521</v>
      </c>
      <c r="I80" s="384" t="s">
        <v>86</v>
      </c>
      <c r="J80" s="384"/>
      <c r="K80" s="90"/>
    </row>
    <row r="81" spans="1:11">
      <c r="A81" s="2">
        <f t="shared" si="5"/>
        <v>34</v>
      </c>
      <c r="C81" s="21" t="s">
        <v>206</v>
      </c>
      <c r="D81" s="157">
        <v>2018</v>
      </c>
      <c r="E81" s="61">
        <f t="shared" si="1"/>
        <v>3597373680.8535147</v>
      </c>
      <c r="F81" s="1042">
        <f t="shared" si="2"/>
        <v>2751250376.9770298</v>
      </c>
      <c r="G81" s="1042">
        <f t="shared" si="3"/>
        <v>694311578.05030334</v>
      </c>
      <c r="H81" s="1042">
        <f t="shared" si="4"/>
        <v>151811725.82618162</v>
      </c>
      <c r="I81" s="384" t="s">
        <v>86</v>
      </c>
      <c r="J81" s="384"/>
      <c r="K81" s="2"/>
    </row>
    <row r="82" spans="1:11">
      <c r="A82" s="2">
        <f t="shared" si="5"/>
        <v>35</v>
      </c>
      <c r="C82" s="21" t="s">
        <v>207</v>
      </c>
      <c r="D82" s="157">
        <v>2018</v>
      </c>
      <c r="E82" s="61">
        <f t="shared" si="1"/>
        <v>3590313709.990726</v>
      </c>
      <c r="F82" s="1042">
        <f t="shared" si="2"/>
        <v>2746221604.1963224</v>
      </c>
      <c r="G82" s="1042">
        <f t="shared" si="3"/>
        <v>692675300.7317611</v>
      </c>
      <c r="H82" s="1042">
        <f t="shared" si="4"/>
        <v>151416805.06264254</v>
      </c>
      <c r="I82" s="384" t="s">
        <v>86</v>
      </c>
      <c r="J82" s="384"/>
      <c r="K82" s="2"/>
    </row>
    <row r="83" spans="1:11">
      <c r="A83" s="2">
        <f t="shared" si="5"/>
        <v>36</v>
      </c>
      <c r="C83" s="20" t="s">
        <v>208</v>
      </c>
      <c r="D83" s="157">
        <v>2018</v>
      </c>
      <c r="E83" s="61">
        <f t="shared" si="1"/>
        <v>3584010798.5742407</v>
      </c>
      <c r="F83" s="1042">
        <f t="shared" si="2"/>
        <v>2741953296.3629708</v>
      </c>
      <c r="G83" s="1042">
        <f t="shared" si="3"/>
        <v>691035617.90214503</v>
      </c>
      <c r="H83" s="1042">
        <f t="shared" si="4"/>
        <v>151021884.30912489</v>
      </c>
      <c r="I83" s="384" t="s">
        <v>86</v>
      </c>
      <c r="J83" s="384"/>
      <c r="K83" s="2"/>
    </row>
    <row r="84" spans="1:11">
      <c r="A84" s="2">
        <f t="shared" si="5"/>
        <v>37</v>
      </c>
      <c r="C84" s="20" t="s">
        <v>209</v>
      </c>
      <c r="D84" s="157">
        <v>2018</v>
      </c>
      <c r="E84" s="61">
        <f t="shared" si="1"/>
        <v>3573357571.0705538</v>
      </c>
      <c r="F84" s="1042">
        <f t="shared" si="2"/>
        <v>2733336610.7949824</v>
      </c>
      <c r="G84" s="1042">
        <f t="shared" si="3"/>
        <v>689393996.71996498</v>
      </c>
      <c r="H84" s="1042">
        <f t="shared" si="4"/>
        <v>150626963.55560637</v>
      </c>
      <c r="I84" s="384" t="s">
        <v>86</v>
      </c>
      <c r="J84" s="384"/>
      <c r="K84" s="2"/>
    </row>
    <row r="85" spans="1:11">
      <c r="A85" s="2">
        <f t="shared" si="5"/>
        <v>38</v>
      </c>
      <c r="C85" s="20" t="s">
        <v>199</v>
      </c>
      <c r="D85" s="157">
        <v>2018</v>
      </c>
      <c r="E85" s="60">
        <f t="shared" si="1"/>
        <v>3566534659.2736063</v>
      </c>
      <c r="F85" s="386">
        <f t="shared" si="2"/>
        <v>2728550276.4884458</v>
      </c>
      <c r="G85" s="386">
        <f t="shared" si="3"/>
        <v>687752339.98307264</v>
      </c>
      <c r="H85" s="386">
        <f t="shared" si="4"/>
        <v>150232042.80208787</v>
      </c>
      <c r="I85" s="384" t="s">
        <v>86</v>
      </c>
      <c r="J85" s="384"/>
      <c r="K85" s="2"/>
    </row>
    <row r="86" spans="1:11">
      <c r="A86" s="2">
        <f t="shared" si="5"/>
        <v>39</v>
      </c>
      <c r="C86" s="20"/>
      <c r="D86" s="205" t="s">
        <v>595</v>
      </c>
      <c r="E86" s="114">
        <f>SUM(E73:E85)/13</f>
        <v>3600962228.2476811</v>
      </c>
      <c r="F86" s="114">
        <f>SUM(F73:F85)/13</f>
        <v>2750697473.3677244</v>
      </c>
      <c r="G86" s="114">
        <f>SUM(G73:G85)/13</f>
        <v>697660501.26822519</v>
      </c>
      <c r="H86" s="114">
        <f>SUM(H73:H85)/13</f>
        <v>152604253.61173245</v>
      </c>
      <c r="I86" s="45"/>
      <c r="J86" s="1"/>
      <c r="K86" s="2"/>
    </row>
    <row r="88" spans="1:11">
      <c r="A88" s="575"/>
      <c r="C88" s="576" t="s">
        <v>1740</v>
      </c>
      <c r="D88" s="577"/>
      <c r="E88" s="578"/>
      <c r="F88" s="578"/>
      <c r="G88" s="578"/>
      <c r="H88" s="578"/>
      <c r="I88" s="1"/>
      <c r="J88" s="1"/>
    </row>
    <row r="89" spans="1:11">
      <c r="A89" s="575"/>
      <c r="C89" s="576"/>
      <c r="D89" s="577"/>
      <c r="E89" s="91" t="s">
        <v>391</v>
      </c>
      <c r="F89" s="91" t="s">
        <v>375</v>
      </c>
      <c r="G89" s="91" t="s">
        <v>376</v>
      </c>
      <c r="H89" s="578"/>
      <c r="I89" s="1"/>
      <c r="J89" s="1"/>
    </row>
    <row r="90" spans="1:11">
      <c r="A90" s="575"/>
      <c r="C90" s="554"/>
      <c r="D90" s="577"/>
      <c r="G90" s="524" t="s">
        <v>1869</v>
      </c>
      <c r="H90" s="578"/>
      <c r="I90" s="1"/>
      <c r="J90" s="1"/>
    </row>
    <row r="91" spans="1:11">
      <c r="A91" s="575"/>
      <c r="C91" s="554"/>
      <c r="D91" s="577"/>
      <c r="E91" s="381" t="s">
        <v>479</v>
      </c>
      <c r="F91" s="578"/>
      <c r="G91" s="579" t="s">
        <v>1741</v>
      </c>
      <c r="H91" s="578"/>
      <c r="I91" s="1"/>
      <c r="J91" s="1"/>
    </row>
    <row r="92" spans="1:11">
      <c r="A92" s="575"/>
      <c r="C92" s="575" t="s">
        <v>587</v>
      </c>
      <c r="E92" s="381" t="s">
        <v>1742</v>
      </c>
      <c r="F92" s="381" t="s">
        <v>110</v>
      </c>
      <c r="G92" s="381" t="s">
        <v>1742</v>
      </c>
      <c r="H92" s="578"/>
      <c r="I92" s="1"/>
      <c r="J92" s="1"/>
    </row>
    <row r="93" spans="1:11">
      <c r="A93" s="575"/>
      <c r="C93" s="575" t="s">
        <v>212</v>
      </c>
      <c r="E93" s="381" t="s">
        <v>8</v>
      </c>
      <c r="F93" s="4" t="s">
        <v>1743</v>
      </c>
      <c r="G93" s="381" t="s">
        <v>8</v>
      </c>
      <c r="H93" s="578"/>
      <c r="I93" s="1"/>
      <c r="J93" s="1"/>
    </row>
    <row r="94" spans="1:11">
      <c r="A94" s="575"/>
      <c r="C94" s="25" t="s">
        <v>211</v>
      </c>
      <c r="D94" s="25" t="s">
        <v>212</v>
      </c>
      <c r="E94" s="382" t="s">
        <v>1744</v>
      </c>
      <c r="F94" s="3" t="s">
        <v>1745</v>
      </c>
      <c r="G94" s="382" t="s">
        <v>1744</v>
      </c>
      <c r="H94" s="382" t="s">
        <v>1746</v>
      </c>
      <c r="I94" s="1"/>
      <c r="J94" s="1"/>
    </row>
    <row r="95" spans="1:11" ht="12.75" customHeight="1">
      <c r="A95" s="575">
        <f>A86+1</f>
        <v>40</v>
      </c>
      <c r="C95" s="554" t="s">
        <v>199</v>
      </c>
      <c r="D95" s="199">
        <v>2017</v>
      </c>
      <c r="E95" s="7">
        <f t="shared" ref="E95:E107" si="6">H118+H138+H158+H177+H196+H215+H234+H253+H272+H291</f>
        <v>0</v>
      </c>
      <c r="F95" s="580">
        <v>0</v>
      </c>
      <c r="G95" s="578">
        <f>E95-F95</f>
        <v>0</v>
      </c>
      <c r="H95" s="585" t="s">
        <v>1756</v>
      </c>
      <c r="I95" s="1"/>
      <c r="J95" s="7"/>
    </row>
    <row r="96" spans="1:11">
      <c r="A96" s="575">
        <f>A95+1</f>
        <v>41</v>
      </c>
      <c r="C96" s="554" t="s">
        <v>200</v>
      </c>
      <c r="D96" s="157">
        <v>2018</v>
      </c>
      <c r="E96" s="7">
        <f t="shared" si="6"/>
        <v>637077.46000011265</v>
      </c>
      <c r="F96" s="580">
        <v>0</v>
      </c>
      <c r="G96" s="578">
        <f t="shared" ref="G96:G107" si="7">E96-F96</f>
        <v>637077.46000011265</v>
      </c>
      <c r="H96" s="585" t="s">
        <v>1755</v>
      </c>
      <c r="I96" s="80"/>
      <c r="J96" s="7"/>
    </row>
    <row r="97" spans="1:10">
      <c r="A97" s="575">
        <f t="shared" ref="A97:A108" si="8">A96+1</f>
        <v>42</v>
      </c>
      <c r="C97" s="552" t="s">
        <v>201</v>
      </c>
      <c r="D97" s="157">
        <v>2018</v>
      </c>
      <c r="E97" s="7">
        <f t="shared" si="6"/>
        <v>6682963.3300002217</v>
      </c>
      <c r="F97" s="580">
        <v>0</v>
      </c>
      <c r="G97" s="578">
        <f t="shared" si="7"/>
        <v>6682963.3300002217</v>
      </c>
      <c r="H97" s="585"/>
      <c r="I97" s="80"/>
      <c r="J97" s="7"/>
    </row>
    <row r="98" spans="1:10">
      <c r="A98" s="575">
        <f t="shared" si="8"/>
        <v>43</v>
      </c>
      <c r="C98" s="552" t="s">
        <v>214</v>
      </c>
      <c r="D98" s="157">
        <v>2018</v>
      </c>
      <c r="E98" s="7">
        <f t="shared" si="6"/>
        <v>5178669.0300000012</v>
      </c>
      <c r="F98" s="580">
        <v>0</v>
      </c>
      <c r="G98" s="578">
        <f t="shared" si="7"/>
        <v>5178669.0300000012</v>
      </c>
      <c r="H98" s="578"/>
      <c r="I98" s="80"/>
      <c r="J98" s="7"/>
    </row>
    <row r="99" spans="1:10">
      <c r="A99" s="575">
        <f t="shared" si="8"/>
        <v>44</v>
      </c>
      <c r="C99" s="554" t="s">
        <v>202</v>
      </c>
      <c r="D99" s="157">
        <v>2018</v>
      </c>
      <c r="E99" s="7">
        <f t="shared" si="6"/>
        <v>34083657.500000045</v>
      </c>
      <c r="F99" s="580">
        <v>0</v>
      </c>
      <c r="G99" s="578">
        <f t="shared" si="7"/>
        <v>34083657.500000045</v>
      </c>
      <c r="H99" s="578"/>
      <c r="I99" s="80"/>
      <c r="J99" s="7"/>
    </row>
    <row r="100" spans="1:10">
      <c r="A100" s="575">
        <f t="shared" si="8"/>
        <v>45</v>
      </c>
      <c r="C100" s="552" t="s">
        <v>203</v>
      </c>
      <c r="D100" s="157">
        <v>2018</v>
      </c>
      <c r="E100" s="7">
        <f t="shared" si="6"/>
        <v>21945098.959999681</v>
      </c>
      <c r="F100" s="580">
        <v>0</v>
      </c>
      <c r="G100" s="578">
        <f t="shared" si="7"/>
        <v>21945098.959999681</v>
      </c>
      <c r="H100" s="578"/>
      <c r="I100" s="80"/>
      <c r="J100" s="7"/>
    </row>
    <row r="101" spans="1:10">
      <c r="A101" s="575">
        <f t="shared" si="8"/>
        <v>46</v>
      </c>
      <c r="C101" s="552" t="s">
        <v>204</v>
      </c>
      <c r="D101" s="157">
        <v>2018</v>
      </c>
      <c r="E101" s="7">
        <f t="shared" si="6"/>
        <v>2931169.269999817</v>
      </c>
      <c r="F101" s="580">
        <v>0</v>
      </c>
      <c r="G101" s="578">
        <f t="shared" si="7"/>
        <v>2931169.269999817</v>
      </c>
      <c r="H101" s="578"/>
      <c r="I101" s="80"/>
      <c r="J101" s="7"/>
    </row>
    <row r="102" spans="1:10">
      <c r="A102" s="575">
        <f t="shared" si="8"/>
        <v>47</v>
      </c>
      <c r="C102" s="554" t="s">
        <v>205</v>
      </c>
      <c r="D102" s="157">
        <v>2018</v>
      </c>
      <c r="E102" s="7">
        <f t="shared" si="6"/>
        <v>1250328.3899995685</v>
      </c>
      <c r="F102" s="580">
        <v>0</v>
      </c>
      <c r="G102" s="578">
        <f t="shared" si="7"/>
        <v>1250328.3899995685</v>
      </c>
      <c r="H102" s="578"/>
      <c r="I102" s="80"/>
      <c r="J102" s="7"/>
    </row>
    <row r="103" spans="1:10">
      <c r="A103" s="575">
        <f t="shared" si="8"/>
        <v>48</v>
      </c>
      <c r="C103" s="552" t="s">
        <v>206</v>
      </c>
      <c r="D103" s="157">
        <v>2018</v>
      </c>
      <c r="E103" s="7">
        <f t="shared" si="6"/>
        <v>1528249.1200005263</v>
      </c>
      <c r="F103" s="580">
        <v>0</v>
      </c>
      <c r="G103" s="578">
        <f t="shared" si="7"/>
        <v>1528249.1200005263</v>
      </c>
      <c r="H103" s="578"/>
      <c r="I103" s="80"/>
      <c r="J103" s="7"/>
    </row>
    <row r="104" spans="1:10">
      <c r="A104" s="575">
        <f t="shared" si="8"/>
        <v>49</v>
      </c>
      <c r="C104" s="552" t="s">
        <v>207</v>
      </c>
      <c r="D104" s="157">
        <v>2018</v>
      </c>
      <c r="E104" s="7">
        <f t="shared" si="6"/>
        <v>1390223.3499999493</v>
      </c>
      <c r="F104" s="580">
        <v>0</v>
      </c>
      <c r="G104" s="578">
        <f t="shared" si="7"/>
        <v>1390223.3499999493</v>
      </c>
      <c r="H104" s="578"/>
      <c r="I104" s="80"/>
      <c r="J104" s="7"/>
    </row>
    <row r="105" spans="1:10">
      <c r="A105" s="575">
        <f t="shared" si="8"/>
        <v>50</v>
      </c>
      <c r="C105" s="554" t="s">
        <v>208</v>
      </c>
      <c r="D105" s="157">
        <v>2018</v>
      </c>
      <c r="E105" s="7">
        <f t="shared" si="6"/>
        <v>2916673.340000242</v>
      </c>
      <c r="F105" s="580">
        <v>0</v>
      </c>
      <c r="G105" s="578">
        <f t="shared" si="7"/>
        <v>2916673.340000242</v>
      </c>
      <c r="H105" s="578"/>
      <c r="I105" s="80"/>
      <c r="J105" s="7"/>
    </row>
    <row r="106" spans="1:10">
      <c r="A106" s="575">
        <f t="shared" si="8"/>
        <v>51</v>
      </c>
      <c r="C106" s="554" t="s">
        <v>209</v>
      </c>
      <c r="D106" s="157">
        <v>2018</v>
      </c>
      <c r="E106" s="7">
        <f t="shared" si="6"/>
        <v>-517602.32250000839</v>
      </c>
      <c r="F106" s="580">
        <v>0</v>
      </c>
      <c r="G106" s="578">
        <f t="shared" si="7"/>
        <v>-517602.32250000839</v>
      </c>
      <c r="H106" s="578"/>
      <c r="I106" s="80"/>
      <c r="J106" s="7"/>
    </row>
    <row r="107" spans="1:10">
      <c r="A107" s="575">
        <f t="shared" si="8"/>
        <v>52</v>
      </c>
      <c r="C107" s="554" t="s">
        <v>199</v>
      </c>
      <c r="D107" s="157">
        <v>2018</v>
      </c>
      <c r="E107" s="98">
        <f t="shared" si="6"/>
        <v>1650013.2699999809</v>
      </c>
      <c r="F107" s="435">
        <v>0</v>
      </c>
      <c r="G107" s="386">
        <f t="shared" si="7"/>
        <v>1650013.2699999809</v>
      </c>
      <c r="H107" s="578"/>
      <c r="I107" s="80"/>
      <c r="J107" s="7"/>
    </row>
    <row r="108" spans="1:10">
      <c r="A108" s="575">
        <f t="shared" si="8"/>
        <v>53</v>
      </c>
      <c r="C108" s="554" t="s">
        <v>215</v>
      </c>
      <c r="D108" s="565"/>
      <c r="E108" s="65">
        <f>SUM(E95:E107)</f>
        <v>79676520.697500139</v>
      </c>
      <c r="F108" s="65">
        <f t="shared" ref="F108:G108" si="9">SUM(F95:F107)</f>
        <v>0</v>
      </c>
      <c r="G108" s="65">
        <f t="shared" si="9"/>
        <v>79676520.697500139</v>
      </c>
      <c r="H108" s="578"/>
      <c r="I108" s="80"/>
      <c r="J108" s="1"/>
    </row>
    <row r="109" spans="1:10">
      <c r="A109" s="575"/>
      <c r="C109" s="554"/>
      <c r="D109" s="565"/>
      <c r="E109" s="65"/>
      <c r="F109" s="578"/>
      <c r="G109" s="578"/>
      <c r="H109" s="578"/>
      <c r="I109" s="80"/>
      <c r="J109" s="1"/>
    </row>
    <row r="111" spans="1:10">
      <c r="C111" s="204" t="s">
        <v>1747</v>
      </c>
    </row>
    <row r="113" spans="1:9">
      <c r="C113" s="1" t="s">
        <v>1748</v>
      </c>
      <c r="E113" s="91" t="s">
        <v>391</v>
      </c>
      <c r="F113" s="91" t="s">
        <v>375</v>
      </c>
      <c r="G113" s="91" t="s">
        <v>376</v>
      </c>
      <c r="H113" s="91" t="s">
        <v>377</v>
      </c>
    </row>
    <row r="114" spans="1:9">
      <c r="G114" s="524" t="s">
        <v>1869</v>
      </c>
      <c r="H114" s="524" t="s">
        <v>1870</v>
      </c>
    </row>
    <row r="115" spans="1:9">
      <c r="C115" s="575" t="s">
        <v>587</v>
      </c>
      <c r="H115" s="516" t="s">
        <v>1871</v>
      </c>
    </row>
    <row r="116" spans="1:9">
      <c r="C116" s="575" t="s">
        <v>212</v>
      </c>
      <c r="E116" s="575" t="s">
        <v>411</v>
      </c>
      <c r="F116" s="575" t="s">
        <v>1749</v>
      </c>
      <c r="G116" s="575" t="s">
        <v>1087</v>
      </c>
      <c r="H116" s="575" t="s">
        <v>1243</v>
      </c>
    </row>
    <row r="117" spans="1:9">
      <c r="C117" s="25" t="s">
        <v>211</v>
      </c>
      <c r="D117" s="25" t="s">
        <v>212</v>
      </c>
      <c r="E117" s="3" t="s">
        <v>1750</v>
      </c>
      <c r="F117" s="3" t="s">
        <v>1197</v>
      </c>
      <c r="G117" s="3" t="s">
        <v>3</v>
      </c>
      <c r="H117" s="3" t="s">
        <v>1745</v>
      </c>
    </row>
    <row r="118" spans="1:9">
      <c r="A118" s="575">
        <f>A108+1</f>
        <v>54</v>
      </c>
      <c r="C118" s="554" t="s">
        <v>199</v>
      </c>
      <c r="D118" s="199">
        <v>2017</v>
      </c>
      <c r="E118" s="116">
        <v>2998641929.7072148</v>
      </c>
      <c r="F118" s="116">
        <v>237545575.89701298</v>
      </c>
      <c r="G118" s="7">
        <f t="shared" ref="G118:G130" si="10">E118-F118</f>
        <v>2761096353.8102016</v>
      </c>
      <c r="H118" s="7">
        <f>E118-E118</f>
        <v>0</v>
      </c>
      <c r="I118" s="636"/>
    </row>
    <row r="119" spans="1:9">
      <c r="A119" s="575">
        <f>A118+1</f>
        <v>55</v>
      </c>
      <c r="C119" s="554" t="s">
        <v>200</v>
      </c>
      <c r="D119" s="157">
        <v>2018</v>
      </c>
      <c r="E119" s="116">
        <v>2999220786.6472149</v>
      </c>
      <c r="F119" s="116">
        <v>243851690.36517799</v>
      </c>
      <c r="G119" s="7">
        <f t="shared" si="10"/>
        <v>2755369096.2820368</v>
      </c>
      <c r="H119" s="7">
        <f>E119-E118</f>
        <v>578856.94000005722</v>
      </c>
    </row>
    <row r="120" spans="1:9">
      <c r="A120" s="575">
        <f t="shared" ref="A120:A130" si="11">A119+1</f>
        <v>56</v>
      </c>
      <c r="C120" s="552" t="s">
        <v>201</v>
      </c>
      <c r="D120" s="157">
        <v>2018</v>
      </c>
      <c r="E120" s="116">
        <v>3005739539.3072152</v>
      </c>
      <c r="F120" s="116">
        <v>250159141.01641271</v>
      </c>
      <c r="G120" s="7">
        <f t="shared" si="10"/>
        <v>2755580398.2908025</v>
      </c>
      <c r="H120" s="7">
        <f t="shared" ref="H120:H130" si="12">E120-E119</f>
        <v>6518752.6600003242</v>
      </c>
    </row>
    <row r="121" spans="1:9">
      <c r="A121" s="575">
        <f t="shared" si="11"/>
        <v>57</v>
      </c>
      <c r="C121" s="552" t="s">
        <v>214</v>
      </c>
      <c r="D121" s="157">
        <v>2018</v>
      </c>
      <c r="E121" s="116">
        <v>3010773105.487215</v>
      </c>
      <c r="F121" s="116">
        <v>256479224.50205076</v>
      </c>
      <c r="G121" s="7">
        <f t="shared" si="10"/>
        <v>2754293880.9851642</v>
      </c>
      <c r="H121" s="7">
        <f t="shared" si="12"/>
        <v>5033566.1799998283</v>
      </c>
    </row>
    <row r="122" spans="1:9">
      <c r="A122" s="575">
        <f t="shared" si="11"/>
        <v>58</v>
      </c>
      <c r="C122" s="554" t="s">
        <v>202</v>
      </c>
      <c r="D122" s="157">
        <v>2018</v>
      </c>
      <c r="E122" s="116">
        <v>3012180174.9272151</v>
      </c>
      <c r="F122" s="116">
        <v>262813224.79696241</v>
      </c>
      <c r="G122" s="7">
        <f t="shared" si="10"/>
        <v>2749366950.1302528</v>
      </c>
      <c r="H122" s="7">
        <f t="shared" si="12"/>
        <v>1407069.4400000572</v>
      </c>
    </row>
    <row r="123" spans="1:9">
      <c r="A123" s="575">
        <f t="shared" si="11"/>
        <v>59</v>
      </c>
      <c r="C123" s="552" t="s">
        <v>203</v>
      </c>
      <c r="D123" s="157">
        <v>2018</v>
      </c>
      <c r="E123" s="116">
        <v>3033901664.4172149</v>
      </c>
      <c r="F123" s="116">
        <v>269149997.12102902</v>
      </c>
      <c r="G123" s="7">
        <f t="shared" si="10"/>
        <v>2764751667.296186</v>
      </c>
      <c r="H123" s="7">
        <f t="shared" si="12"/>
        <v>21721489.489999771</v>
      </c>
    </row>
    <row r="124" spans="1:9">
      <c r="A124" s="575">
        <f t="shared" si="11"/>
        <v>60</v>
      </c>
      <c r="C124" s="552" t="s">
        <v>204</v>
      </c>
      <c r="D124" s="157">
        <v>2018</v>
      </c>
      <c r="E124" s="116">
        <v>3036761061.5772147</v>
      </c>
      <c r="F124" s="116">
        <v>275525744.53717864</v>
      </c>
      <c r="G124" s="7">
        <f t="shared" si="10"/>
        <v>2761235317.0400362</v>
      </c>
      <c r="H124" s="7">
        <f t="shared" si="12"/>
        <v>2859397.1599998474</v>
      </c>
    </row>
    <row r="125" spans="1:9">
      <c r="A125" s="575">
        <f t="shared" si="11"/>
        <v>61</v>
      </c>
      <c r="C125" s="554" t="s">
        <v>205</v>
      </c>
      <c r="D125" s="157">
        <v>2018</v>
      </c>
      <c r="E125" s="116">
        <v>3037969274.8272142</v>
      </c>
      <c r="F125" s="116">
        <v>281907949.70123726</v>
      </c>
      <c r="G125" s="7">
        <f t="shared" si="10"/>
        <v>2756061325.125977</v>
      </c>
      <c r="H125" s="7">
        <f t="shared" si="12"/>
        <v>1208213.2499995232</v>
      </c>
    </row>
    <row r="126" spans="1:9">
      <c r="A126" s="575">
        <f t="shared" si="11"/>
        <v>62</v>
      </c>
      <c r="C126" s="552" t="s">
        <v>206</v>
      </c>
      <c r="D126" s="157">
        <v>2018</v>
      </c>
      <c r="E126" s="116">
        <v>3039542946.4772148</v>
      </c>
      <c r="F126" s="116">
        <v>288292569.50018525</v>
      </c>
      <c r="G126" s="7">
        <f t="shared" si="10"/>
        <v>2751250376.9770298</v>
      </c>
      <c r="H126" s="7">
        <f t="shared" si="12"/>
        <v>1573671.6500005722</v>
      </c>
    </row>
    <row r="127" spans="1:9">
      <c r="A127" s="575">
        <f t="shared" si="11"/>
        <v>63</v>
      </c>
      <c r="C127" s="552" t="s">
        <v>207</v>
      </c>
      <c r="D127" s="157">
        <v>2018</v>
      </c>
      <c r="E127" s="116">
        <v>3040901421.0572147</v>
      </c>
      <c r="F127" s="116">
        <v>294679816.86089212</v>
      </c>
      <c r="G127" s="7">
        <f t="shared" si="10"/>
        <v>2746221604.1963224</v>
      </c>
      <c r="H127" s="7">
        <f t="shared" si="12"/>
        <v>1358474.5799999237</v>
      </c>
    </row>
    <row r="128" spans="1:9">
      <c r="A128" s="575">
        <f t="shared" si="11"/>
        <v>64</v>
      </c>
      <c r="C128" s="554" t="s">
        <v>208</v>
      </c>
      <c r="D128" s="157">
        <v>2018</v>
      </c>
      <c r="E128" s="116">
        <v>3043025002.1272149</v>
      </c>
      <c r="F128" s="116">
        <v>301071705.76424426</v>
      </c>
      <c r="G128" s="7">
        <f t="shared" si="10"/>
        <v>2741953296.3629708</v>
      </c>
      <c r="H128" s="7">
        <f t="shared" si="12"/>
        <v>2123581.0700001717</v>
      </c>
    </row>
    <row r="129" spans="1:8">
      <c r="A129" s="575">
        <f t="shared" si="11"/>
        <v>65</v>
      </c>
      <c r="C129" s="554" t="s">
        <v>209</v>
      </c>
      <c r="D129" s="157">
        <v>2018</v>
      </c>
      <c r="E129" s="116">
        <v>3040804626.797215</v>
      </c>
      <c r="F129" s="116">
        <v>307468016.00223261</v>
      </c>
      <c r="G129" s="7">
        <f t="shared" si="10"/>
        <v>2733336610.7949824</v>
      </c>
      <c r="H129" s="7">
        <f t="shared" si="12"/>
        <v>-2220375.3299999237</v>
      </c>
    </row>
    <row r="130" spans="1:8">
      <c r="A130" s="575">
        <f t="shared" si="11"/>
        <v>66</v>
      </c>
      <c r="C130" s="554" t="s">
        <v>199</v>
      </c>
      <c r="D130" s="157">
        <v>2018</v>
      </c>
      <c r="E130" s="116">
        <v>3042408307.8372149</v>
      </c>
      <c r="F130" s="116">
        <v>313858031.34876937</v>
      </c>
      <c r="G130" s="7">
        <f t="shared" si="10"/>
        <v>2728550276.4884458</v>
      </c>
      <c r="H130" s="7">
        <f t="shared" si="12"/>
        <v>1603681.0399999619</v>
      </c>
    </row>
    <row r="131" spans="1:8">
      <c r="A131" s="575"/>
      <c r="C131" s="554"/>
      <c r="D131" s="565"/>
    </row>
    <row r="133" spans="1:8">
      <c r="C133" s="204" t="s">
        <v>1751</v>
      </c>
      <c r="E133" s="91" t="s">
        <v>391</v>
      </c>
      <c r="F133" s="91" t="s">
        <v>375</v>
      </c>
      <c r="G133" s="91" t="s">
        <v>376</v>
      </c>
      <c r="H133" s="91" t="s">
        <v>377</v>
      </c>
    </row>
    <row r="134" spans="1:8">
      <c r="G134" s="524" t="s">
        <v>1869</v>
      </c>
      <c r="H134" s="524" t="s">
        <v>1870</v>
      </c>
    </row>
    <row r="135" spans="1:8">
      <c r="C135" s="575" t="s">
        <v>587</v>
      </c>
      <c r="H135" s="516" t="s">
        <v>1871</v>
      </c>
    </row>
    <row r="136" spans="1:8">
      <c r="C136" s="575" t="s">
        <v>212</v>
      </c>
      <c r="E136" s="575" t="s">
        <v>411</v>
      </c>
      <c r="F136" s="575" t="s">
        <v>1749</v>
      </c>
      <c r="G136" s="575" t="s">
        <v>1087</v>
      </c>
      <c r="H136" s="575" t="s">
        <v>1243</v>
      </c>
    </row>
    <row r="137" spans="1:8">
      <c r="C137" s="25" t="s">
        <v>211</v>
      </c>
      <c r="D137" s="25" t="s">
        <v>212</v>
      </c>
      <c r="E137" s="3" t="s">
        <v>1750</v>
      </c>
      <c r="F137" s="3" t="s">
        <v>1197</v>
      </c>
      <c r="G137" s="3" t="s">
        <v>3</v>
      </c>
      <c r="H137" s="3" t="s">
        <v>1745</v>
      </c>
    </row>
    <row r="138" spans="1:8">
      <c r="A138" s="575">
        <f>A130+1</f>
        <v>67</v>
      </c>
      <c r="C138" s="554" t="s">
        <v>199</v>
      </c>
      <c r="D138" s="199">
        <v>2017</v>
      </c>
      <c r="E138" s="116">
        <v>191508708.01999995</v>
      </c>
      <c r="F138" s="116">
        <v>36529711.710482672</v>
      </c>
      <c r="G138" s="7">
        <f>E138-F138</f>
        <v>154978996.30951726</v>
      </c>
      <c r="H138" s="7">
        <f>E138-E138</f>
        <v>0</v>
      </c>
    </row>
    <row r="139" spans="1:8">
      <c r="A139" s="575">
        <f>A138+1</f>
        <v>68</v>
      </c>
      <c r="C139" s="554" t="s">
        <v>200</v>
      </c>
      <c r="D139" s="157">
        <v>2018</v>
      </c>
      <c r="E139" s="116">
        <v>191508708.01999995</v>
      </c>
      <c r="F139" s="116">
        <v>36924648.589910761</v>
      </c>
      <c r="G139" s="7">
        <f t="shared" ref="G139:G150" si="13">E139-F139</f>
        <v>154584059.43008918</v>
      </c>
      <c r="H139" s="7">
        <f>E139-E138</f>
        <v>0</v>
      </c>
    </row>
    <row r="140" spans="1:8">
      <c r="A140" s="575">
        <f t="shared" ref="A140:A150" si="14">A139+1</f>
        <v>69</v>
      </c>
      <c r="C140" s="552" t="s">
        <v>201</v>
      </c>
      <c r="D140" s="157">
        <v>2018</v>
      </c>
      <c r="E140" s="116">
        <v>191508708.01999995</v>
      </c>
      <c r="F140" s="116">
        <v>37319585.469338842</v>
      </c>
      <c r="G140" s="7">
        <f t="shared" si="13"/>
        <v>154189122.55066112</v>
      </c>
      <c r="H140" s="7">
        <f t="shared" ref="H140:H150" si="15">E140-E139</f>
        <v>0</v>
      </c>
    </row>
    <row r="141" spans="1:8">
      <c r="A141" s="575">
        <f t="shared" si="14"/>
        <v>70</v>
      </c>
      <c r="C141" s="552" t="s">
        <v>214</v>
      </c>
      <c r="D141" s="157">
        <v>2018</v>
      </c>
      <c r="E141" s="116">
        <v>191503111.89999995</v>
      </c>
      <c r="F141" s="116">
        <v>37714522.348766923</v>
      </c>
      <c r="G141" s="7">
        <f t="shared" si="13"/>
        <v>153788589.55123302</v>
      </c>
      <c r="H141" s="7">
        <f t="shared" si="15"/>
        <v>-5596.1200000047684</v>
      </c>
    </row>
    <row r="142" spans="1:8">
      <c r="A142" s="575">
        <f t="shared" si="14"/>
        <v>71</v>
      </c>
      <c r="C142" s="554" t="s">
        <v>202</v>
      </c>
      <c r="D142" s="157">
        <v>2018</v>
      </c>
      <c r="E142" s="116">
        <v>191503111.89999995</v>
      </c>
      <c r="F142" s="116">
        <v>38109447.429709665</v>
      </c>
      <c r="G142" s="7">
        <f t="shared" si="13"/>
        <v>153393664.47029027</v>
      </c>
      <c r="H142" s="7">
        <f t="shared" si="15"/>
        <v>0</v>
      </c>
    </row>
    <row r="143" spans="1:8">
      <c r="A143" s="575">
        <f t="shared" si="14"/>
        <v>72</v>
      </c>
      <c r="C143" s="552" t="s">
        <v>203</v>
      </c>
      <c r="D143" s="157">
        <v>2018</v>
      </c>
      <c r="E143" s="116">
        <v>191503111.89999995</v>
      </c>
      <c r="F143" s="116">
        <v>38504372.510652423</v>
      </c>
      <c r="G143" s="7">
        <f t="shared" si="13"/>
        <v>152998739.38934752</v>
      </c>
      <c r="H143" s="7">
        <f t="shared" si="15"/>
        <v>0</v>
      </c>
    </row>
    <row r="144" spans="1:8">
      <c r="A144" s="575">
        <f t="shared" si="14"/>
        <v>73</v>
      </c>
      <c r="C144" s="552" t="s">
        <v>204</v>
      </c>
      <c r="D144" s="157">
        <v>2018</v>
      </c>
      <c r="E144" s="116">
        <v>191503111.95999995</v>
      </c>
      <c r="F144" s="116">
        <v>38899297.59159518</v>
      </c>
      <c r="G144" s="7">
        <f t="shared" si="13"/>
        <v>152603814.36840478</v>
      </c>
      <c r="H144" s="7">
        <f t="shared" si="15"/>
        <v>6.0000002384185791E-2</v>
      </c>
    </row>
    <row r="145" spans="1:8">
      <c r="A145" s="575">
        <f t="shared" si="14"/>
        <v>74</v>
      </c>
      <c r="C145" s="554" t="s">
        <v>205</v>
      </c>
      <c r="D145" s="157">
        <v>2018</v>
      </c>
      <c r="E145" s="116">
        <v>191503111.99999997</v>
      </c>
      <c r="F145" s="116">
        <v>39294222.672664762</v>
      </c>
      <c r="G145" s="7">
        <f t="shared" si="13"/>
        <v>152208889.32733521</v>
      </c>
      <c r="H145" s="7">
        <f t="shared" si="15"/>
        <v>4.0000021457672119E-2</v>
      </c>
    </row>
    <row r="146" spans="1:8">
      <c r="A146" s="575">
        <f t="shared" si="14"/>
        <v>75</v>
      </c>
      <c r="C146" s="552" t="s">
        <v>206</v>
      </c>
      <c r="D146" s="157">
        <v>2018</v>
      </c>
      <c r="E146" s="116">
        <v>191500873.57999995</v>
      </c>
      <c r="F146" s="116">
        <v>39689147.753818341</v>
      </c>
      <c r="G146" s="7">
        <f t="shared" si="13"/>
        <v>151811725.82618162</v>
      </c>
      <c r="H146" s="7">
        <f t="shared" si="15"/>
        <v>-2238.4200000166893</v>
      </c>
    </row>
    <row r="147" spans="1:8">
      <c r="A147" s="575">
        <f t="shared" si="14"/>
        <v>76</v>
      </c>
      <c r="C147" s="552" t="s">
        <v>207</v>
      </c>
      <c r="D147" s="157">
        <v>2018</v>
      </c>
      <c r="E147" s="116">
        <v>191500873.56999996</v>
      </c>
      <c r="F147" s="116">
        <v>40084068.507357426</v>
      </c>
      <c r="G147" s="7">
        <f t="shared" si="13"/>
        <v>151416805.06264254</v>
      </c>
      <c r="H147" s="7">
        <f t="shared" si="15"/>
        <v>-9.9999904632568359E-3</v>
      </c>
    </row>
    <row r="148" spans="1:8">
      <c r="A148" s="575">
        <f t="shared" si="14"/>
        <v>77</v>
      </c>
      <c r="C148" s="554" t="s">
        <v>208</v>
      </c>
      <c r="D148" s="157">
        <v>2018</v>
      </c>
      <c r="E148" s="116">
        <v>191500873.56999996</v>
      </c>
      <c r="F148" s="116">
        <v>40478989.260875091</v>
      </c>
      <c r="G148" s="7">
        <f t="shared" si="13"/>
        <v>151021884.30912489</v>
      </c>
      <c r="H148" s="7">
        <f t="shared" si="15"/>
        <v>0</v>
      </c>
    </row>
    <row r="149" spans="1:8">
      <c r="A149" s="575">
        <f t="shared" si="14"/>
        <v>78</v>
      </c>
      <c r="C149" s="554" t="s">
        <v>209</v>
      </c>
      <c r="D149" s="157">
        <v>2018</v>
      </c>
      <c r="E149" s="116">
        <v>191500873.56999996</v>
      </c>
      <c r="F149" s="116">
        <v>40873910.01439359</v>
      </c>
      <c r="G149" s="7">
        <f t="shared" si="13"/>
        <v>150626963.55560637</v>
      </c>
      <c r="H149" s="7">
        <f t="shared" si="15"/>
        <v>0</v>
      </c>
    </row>
    <row r="150" spans="1:8">
      <c r="A150" s="575">
        <f t="shared" si="14"/>
        <v>79</v>
      </c>
      <c r="C150" s="554" t="s">
        <v>199</v>
      </c>
      <c r="D150" s="157">
        <v>2018</v>
      </c>
      <c r="E150" s="116">
        <v>191500873.56999996</v>
      </c>
      <c r="F150" s="116">
        <v>41268830.76791209</v>
      </c>
      <c r="G150" s="7">
        <f t="shared" si="13"/>
        <v>150232042.80208787</v>
      </c>
      <c r="H150" s="7">
        <f t="shared" si="15"/>
        <v>0</v>
      </c>
    </row>
    <row r="151" spans="1:8">
      <c r="A151" s="575"/>
    </row>
    <row r="152" spans="1:8" ht="12.75" customHeight="1"/>
    <row r="153" spans="1:8">
      <c r="C153" s="204" t="s">
        <v>1752</v>
      </c>
      <c r="E153" s="91" t="s">
        <v>391</v>
      </c>
      <c r="F153" s="91" t="s">
        <v>375</v>
      </c>
      <c r="G153" s="91" t="s">
        <v>376</v>
      </c>
      <c r="H153" s="91" t="s">
        <v>377</v>
      </c>
    </row>
    <row r="154" spans="1:8">
      <c r="G154" s="524" t="s">
        <v>1869</v>
      </c>
      <c r="H154" s="524" t="s">
        <v>1870</v>
      </c>
    </row>
    <row r="155" spans="1:8">
      <c r="C155" s="575" t="s">
        <v>587</v>
      </c>
      <c r="H155" s="516" t="s">
        <v>1871</v>
      </c>
    </row>
    <row r="156" spans="1:8">
      <c r="C156" s="575" t="s">
        <v>212</v>
      </c>
      <c r="E156" s="575" t="s">
        <v>411</v>
      </c>
      <c r="F156" s="575" t="s">
        <v>1749</v>
      </c>
      <c r="G156" s="575" t="s">
        <v>1087</v>
      </c>
      <c r="H156" s="575" t="s">
        <v>1243</v>
      </c>
    </row>
    <row r="157" spans="1:8">
      <c r="C157" s="25" t="s">
        <v>211</v>
      </c>
      <c r="D157" s="25" t="s">
        <v>212</v>
      </c>
      <c r="E157" s="3" t="s">
        <v>1750</v>
      </c>
      <c r="F157" s="3" t="s">
        <v>1197</v>
      </c>
      <c r="G157" s="3" t="s">
        <v>3</v>
      </c>
      <c r="H157" s="3" t="s">
        <v>1745</v>
      </c>
    </row>
    <row r="158" spans="1:8">
      <c r="A158" s="575">
        <f>A150+1</f>
        <v>80</v>
      </c>
      <c r="C158" s="554" t="s">
        <v>199</v>
      </c>
      <c r="D158" s="199">
        <v>2017</v>
      </c>
      <c r="E158" s="116">
        <v>773686036.61000001</v>
      </c>
      <c r="F158" s="116">
        <v>66116803.264739498</v>
      </c>
      <c r="G158" s="7">
        <f t="shared" ref="G158:G170" si="16">E158-F158</f>
        <v>707569233.3452605</v>
      </c>
      <c r="H158" s="7">
        <f>E158-E158</f>
        <v>0</v>
      </c>
    </row>
    <row r="159" spans="1:8">
      <c r="A159" s="575">
        <f>A158+1</f>
        <v>81</v>
      </c>
      <c r="C159" s="554" t="s">
        <v>200</v>
      </c>
      <c r="D159" s="157">
        <v>2018</v>
      </c>
      <c r="E159" s="116">
        <v>773686036.81000006</v>
      </c>
      <c r="F159" s="116">
        <v>67758697.762866497</v>
      </c>
      <c r="G159" s="7">
        <f t="shared" si="16"/>
        <v>705927339.04713356</v>
      </c>
      <c r="H159" s="7">
        <f>E159-E158</f>
        <v>0.20000004768371582</v>
      </c>
    </row>
    <row r="160" spans="1:8">
      <c r="A160" s="575">
        <f t="shared" ref="A160:A170" si="17">A159+1</f>
        <v>82</v>
      </c>
      <c r="C160" s="552" t="s">
        <v>201</v>
      </c>
      <c r="D160" s="157">
        <v>2018</v>
      </c>
      <c r="E160" s="116">
        <v>773663579.27999997</v>
      </c>
      <c r="F160" s="116">
        <v>69400592.261649579</v>
      </c>
      <c r="G160" s="7">
        <f t="shared" si="16"/>
        <v>704262987.01835036</v>
      </c>
      <c r="H160" s="7">
        <f t="shared" ref="H160:H170" si="18">E160-E159</f>
        <v>-22457.530000090599</v>
      </c>
    </row>
    <row r="161" spans="1:8">
      <c r="A161" s="575">
        <f t="shared" si="17"/>
        <v>83</v>
      </c>
      <c r="C161" s="552" t="s">
        <v>214</v>
      </c>
      <c r="D161" s="157">
        <v>2018</v>
      </c>
      <c r="E161" s="116">
        <v>773663560.12000012</v>
      </c>
      <c r="F161" s="116">
        <v>71042440.535350055</v>
      </c>
      <c r="G161" s="7">
        <f t="shared" si="16"/>
        <v>702621119.58465004</v>
      </c>
      <c r="H161" s="7">
        <f t="shared" si="18"/>
        <v>-19.159999847412109</v>
      </c>
    </row>
    <row r="162" spans="1:8">
      <c r="A162" s="575">
        <f t="shared" si="17"/>
        <v>84</v>
      </c>
      <c r="C162" s="554" t="s">
        <v>202</v>
      </c>
      <c r="D162" s="157">
        <v>2018</v>
      </c>
      <c r="E162" s="116">
        <v>773655861.38000011</v>
      </c>
      <c r="F162" s="116">
        <v>72684288.769612908</v>
      </c>
      <c r="G162" s="7">
        <f t="shared" si="16"/>
        <v>700971572.61038721</v>
      </c>
      <c r="H162" s="7">
        <f t="shared" si="18"/>
        <v>-7698.7400000095367</v>
      </c>
    </row>
    <row r="163" spans="1:8">
      <c r="A163" s="575">
        <f t="shared" si="17"/>
        <v>85</v>
      </c>
      <c r="C163" s="552" t="s">
        <v>203</v>
      </c>
      <c r="D163" s="157">
        <v>2018</v>
      </c>
      <c r="E163" s="116">
        <v>773655861.36000001</v>
      </c>
      <c r="F163" s="116">
        <v>74326121.159345075</v>
      </c>
      <c r="G163" s="7">
        <f t="shared" si="16"/>
        <v>699329740.20065498</v>
      </c>
      <c r="H163" s="7">
        <f t="shared" si="18"/>
        <v>-2.0000100135803223E-2</v>
      </c>
    </row>
    <row r="164" spans="1:8">
      <c r="A164" s="575">
        <f t="shared" si="17"/>
        <v>86</v>
      </c>
      <c r="C164" s="552" t="s">
        <v>204</v>
      </c>
      <c r="D164" s="157">
        <v>2018</v>
      </c>
      <c r="E164" s="116">
        <v>773658982.37</v>
      </c>
      <c r="F164" s="116">
        <v>75967953.546830252</v>
      </c>
      <c r="G164" s="7">
        <f t="shared" si="16"/>
        <v>697691028.82316971</v>
      </c>
      <c r="H164" s="7">
        <f t="shared" si="18"/>
        <v>3121.0099999904633</v>
      </c>
    </row>
    <row r="165" spans="1:8">
      <c r="A165" s="575">
        <f t="shared" si="17"/>
        <v>87</v>
      </c>
      <c r="C165" s="554" t="s">
        <v>205</v>
      </c>
      <c r="D165" s="157">
        <v>2018</v>
      </c>
      <c r="E165" s="116">
        <v>773654454.84000003</v>
      </c>
      <c r="F165" s="116">
        <v>77609792.369925976</v>
      </c>
      <c r="G165" s="7">
        <f t="shared" si="16"/>
        <v>696044662.47007406</v>
      </c>
      <c r="H165" s="7">
        <f t="shared" si="18"/>
        <v>-4527.5299999713898</v>
      </c>
    </row>
    <row r="166" spans="1:8">
      <c r="A166" s="575">
        <f t="shared" si="17"/>
        <v>88</v>
      </c>
      <c r="C166" s="552" t="s">
        <v>206</v>
      </c>
      <c r="D166" s="157">
        <v>2018</v>
      </c>
      <c r="E166" s="116">
        <v>773563195.36000001</v>
      </c>
      <c r="F166" s="116">
        <v>79251617.30969663</v>
      </c>
      <c r="G166" s="7">
        <f t="shared" si="16"/>
        <v>694311578.05030334</v>
      </c>
      <c r="H166" s="7">
        <f t="shared" si="18"/>
        <v>-91259.480000019073</v>
      </c>
    </row>
    <row r="167" spans="1:8">
      <c r="A167" s="575">
        <f t="shared" si="17"/>
        <v>89</v>
      </c>
      <c r="C167" s="552" t="s">
        <v>207</v>
      </c>
      <c r="D167" s="157">
        <v>2018</v>
      </c>
      <c r="E167" s="116">
        <v>773568549</v>
      </c>
      <c r="F167" s="116">
        <v>80893248.268238902</v>
      </c>
      <c r="G167" s="7">
        <f t="shared" si="16"/>
        <v>692675300.7317611</v>
      </c>
      <c r="H167" s="7">
        <f t="shared" si="18"/>
        <v>5353.6399999856949</v>
      </c>
    </row>
    <row r="168" spans="1:8">
      <c r="A168" s="575">
        <f t="shared" si="17"/>
        <v>90</v>
      </c>
      <c r="C168" s="554" t="s">
        <v>208</v>
      </c>
      <c r="D168" s="157">
        <v>2018</v>
      </c>
      <c r="E168" s="116">
        <v>773570518.29000008</v>
      </c>
      <c r="F168" s="116">
        <v>82534900.387855068</v>
      </c>
      <c r="G168" s="7">
        <f t="shared" si="16"/>
        <v>691035617.90214503</v>
      </c>
      <c r="H168" s="7">
        <f t="shared" si="18"/>
        <v>1969.2900000810623</v>
      </c>
    </row>
    <row r="169" spans="1:8">
      <c r="A169" s="575">
        <f t="shared" si="17"/>
        <v>91</v>
      </c>
      <c r="C169" s="554" t="s">
        <v>209</v>
      </c>
      <c r="D169" s="157">
        <v>2018</v>
      </c>
      <c r="E169" s="116">
        <v>773570553.75</v>
      </c>
      <c r="F169" s="116">
        <v>84176557.030034974</v>
      </c>
      <c r="G169" s="7">
        <f t="shared" si="16"/>
        <v>689393996.71996498</v>
      </c>
      <c r="H169" s="7">
        <f t="shared" si="18"/>
        <v>35.459999918937683</v>
      </c>
    </row>
    <row r="170" spans="1:8">
      <c r="A170" s="575">
        <f t="shared" si="17"/>
        <v>92</v>
      </c>
      <c r="C170" s="554" t="s">
        <v>199</v>
      </c>
      <c r="D170" s="157">
        <v>2018</v>
      </c>
      <c r="E170" s="116">
        <v>773570553.75</v>
      </c>
      <c r="F170" s="116">
        <v>85818213.766927391</v>
      </c>
      <c r="G170" s="7">
        <f t="shared" si="16"/>
        <v>687752339.98307264</v>
      </c>
      <c r="H170" s="7">
        <f t="shared" si="18"/>
        <v>0</v>
      </c>
    </row>
    <row r="172" spans="1:8">
      <c r="C172" s="1336" t="s">
        <v>2955</v>
      </c>
      <c r="E172" s="91" t="s">
        <v>391</v>
      </c>
      <c r="F172" s="91" t="s">
        <v>375</v>
      </c>
      <c r="G172" s="91" t="s">
        <v>376</v>
      </c>
      <c r="H172" s="91" t="s">
        <v>377</v>
      </c>
    </row>
    <row r="173" spans="1:8">
      <c r="G173" s="524" t="s">
        <v>1869</v>
      </c>
      <c r="H173" s="524" t="s">
        <v>1870</v>
      </c>
    </row>
    <row r="174" spans="1:8">
      <c r="C174" s="575" t="s">
        <v>587</v>
      </c>
      <c r="H174" s="516" t="s">
        <v>1871</v>
      </c>
    </row>
    <row r="175" spans="1:8">
      <c r="C175" s="575" t="s">
        <v>212</v>
      </c>
      <c r="E175" s="575" t="s">
        <v>411</v>
      </c>
      <c r="F175" s="575" t="s">
        <v>1749</v>
      </c>
      <c r="G175" s="575" t="s">
        <v>1087</v>
      </c>
      <c r="H175" s="575" t="s">
        <v>1243</v>
      </c>
    </row>
    <row r="176" spans="1:8">
      <c r="C176" s="25" t="s">
        <v>211</v>
      </c>
      <c r="D176" s="25" t="s">
        <v>212</v>
      </c>
      <c r="E176" s="3" t="s">
        <v>1750</v>
      </c>
      <c r="F176" s="3" t="s">
        <v>1197</v>
      </c>
      <c r="G176" s="3" t="s">
        <v>3</v>
      </c>
      <c r="H176" s="3" t="s">
        <v>1745</v>
      </c>
    </row>
    <row r="177" spans="1:8">
      <c r="A177" s="575">
        <f>A170+1</f>
        <v>93</v>
      </c>
      <c r="C177" s="554" t="s">
        <v>199</v>
      </c>
      <c r="D177" s="199">
        <v>2017</v>
      </c>
      <c r="E177" s="116">
        <v>0</v>
      </c>
      <c r="F177" s="116">
        <v>0</v>
      </c>
      <c r="G177" s="7">
        <f t="shared" ref="G177:G189" si="19">E177-F177</f>
        <v>0</v>
      </c>
      <c r="H177" s="7">
        <f>E177-E177</f>
        <v>0</v>
      </c>
    </row>
    <row r="178" spans="1:8">
      <c r="A178" s="575">
        <f>A177+1</f>
        <v>94</v>
      </c>
      <c r="C178" s="554" t="s">
        <v>200</v>
      </c>
      <c r="D178" s="157">
        <v>2018</v>
      </c>
      <c r="E178" s="116">
        <v>0</v>
      </c>
      <c r="F178" s="116">
        <v>0</v>
      </c>
      <c r="G178" s="7">
        <f t="shared" si="19"/>
        <v>0</v>
      </c>
      <c r="H178" s="7">
        <f>E178-E177</f>
        <v>0</v>
      </c>
    </row>
    <row r="179" spans="1:8">
      <c r="A179" s="575">
        <f t="shared" ref="A179:A189" si="20">A178+1</f>
        <v>95</v>
      </c>
      <c r="C179" s="552" t="s">
        <v>201</v>
      </c>
      <c r="D179" s="157">
        <v>2018</v>
      </c>
      <c r="E179" s="116">
        <v>0</v>
      </c>
      <c r="F179" s="116">
        <v>0</v>
      </c>
      <c r="G179" s="7">
        <f t="shared" si="19"/>
        <v>0</v>
      </c>
      <c r="H179" s="7">
        <f t="shared" ref="H179:H189" si="21">E179-E178</f>
        <v>0</v>
      </c>
    </row>
    <row r="180" spans="1:8">
      <c r="A180" s="575">
        <f t="shared" si="20"/>
        <v>96</v>
      </c>
      <c r="C180" s="552" t="s">
        <v>214</v>
      </c>
      <c r="D180" s="157">
        <v>2018</v>
      </c>
      <c r="E180" s="116">
        <v>0</v>
      </c>
      <c r="F180" s="116">
        <v>0</v>
      </c>
      <c r="G180" s="7">
        <f t="shared" si="19"/>
        <v>0</v>
      </c>
      <c r="H180" s="7">
        <f t="shared" si="21"/>
        <v>0</v>
      </c>
    </row>
    <row r="181" spans="1:8">
      <c r="A181" s="575">
        <f t="shared" si="20"/>
        <v>97</v>
      </c>
      <c r="C181" s="554" t="s">
        <v>202</v>
      </c>
      <c r="D181" s="157">
        <v>2018</v>
      </c>
      <c r="E181" s="116">
        <v>0</v>
      </c>
      <c r="F181" s="116">
        <v>0</v>
      </c>
      <c r="G181" s="7">
        <f t="shared" si="19"/>
        <v>0</v>
      </c>
      <c r="H181" s="7">
        <f t="shared" si="21"/>
        <v>0</v>
      </c>
    </row>
    <row r="182" spans="1:8">
      <c r="A182" s="575">
        <f t="shared" si="20"/>
        <v>98</v>
      </c>
      <c r="C182" s="552" t="s">
        <v>203</v>
      </c>
      <c r="D182" s="157">
        <v>2018</v>
      </c>
      <c r="E182" s="116">
        <v>0</v>
      </c>
      <c r="F182" s="116">
        <v>0</v>
      </c>
      <c r="G182" s="7">
        <f t="shared" si="19"/>
        <v>0</v>
      </c>
      <c r="H182" s="7">
        <f t="shared" si="21"/>
        <v>0</v>
      </c>
    </row>
    <row r="183" spans="1:8">
      <c r="A183" s="575">
        <f t="shared" si="20"/>
        <v>99</v>
      </c>
      <c r="C183" s="552" t="s">
        <v>204</v>
      </c>
      <c r="D183" s="157">
        <v>2018</v>
      </c>
      <c r="E183" s="116">
        <v>0</v>
      </c>
      <c r="F183" s="116">
        <v>0</v>
      </c>
      <c r="G183" s="7">
        <f t="shared" si="19"/>
        <v>0</v>
      </c>
      <c r="H183" s="7">
        <f t="shared" si="21"/>
        <v>0</v>
      </c>
    </row>
    <row r="184" spans="1:8">
      <c r="A184" s="575">
        <f t="shared" si="20"/>
        <v>100</v>
      </c>
      <c r="C184" s="554" t="s">
        <v>205</v>
      </c>
      <c r="D184" s="157">
        <v>2018</v>
      </c>
      <c r="E184" s="116">
        <v>0</v>
      </c>
      <c r="F184" s="116">
        <v>0</v>
      </c>
      <c r="G184" s="7">
        <f t="shared" si="19"/>
        <v>0</v>
      </c>
      <c r="H184" s="7">
        <f t="shared" si="21"/>
        <v>0</v>
      </c>
    </row>
    <row r="185" spans="1:8">
      <c r="A185" s="575">
        <f t="shared" si="20"/>
        <v>101</v>
      </c>
      <c r="C185" s="552" t="s">
        <v>206</v>
      </c>
      <c r="D185" s="157">
        <v>2018</v>
      </c>
      <c r="E185" s="116">
        <v>0</v>
      </c>
      <c r="F185" s="116">
        <v>0</v>
      </c>
      <c r="G185" s="7">
        <f t="shared" si="19"/>
        <v>0</v>
      </c>
      <c r="H185" s="7">
        <f t="shared" si="21"/>
        <v>0</v>
      </c>
    </row>
    <row r="186" spans="1:8">
      <c r="A186" s="575">
        <f t="shared" si="20"/>
        <v>102</v>
      </c>
      <c r="C186" s="552" t="s">
        <v>207</v>
      </c>
      <c r="D186" s="157">
        <v>2018</v>
      </c>
      <c r="E186" s="116">
        <v>0</v>
      </c>
      <c r="F186" s="116">
        <v>0</v>
      </c>
      <c r="G186" s="7">
        <f t="shared" si="19"/>
        <v>0</v>
      </c>
      <c r="H186" s="7">
        <f t="shared" si="21"/>
        <v>0</v>
      </c>
    </row>
    <row r="187" spans="1:8">
      <c r="A187" s="575">
        <f t="shared" si="20"/>
        <v>103</v>
      </c>
      <c r="C187" s="554" t="s">
        <v>208</v>
      </c>
      <c r="D187" s="157">
        <v>2018</v>
      </c>
      <c r="E187" s="116">
        <v>0</v>
      </c>
      <c r="F187" s="116">
        <v>0</v>
      </c>
      <c r="G187" s="7">
        <f t="shared" si="19"/>
        <v>0</v>
      </c>
      <c r="H187" s="7">
        <f t="shared" si="21"/>
        <v>0</v>
      </c>
    </row>
    <row r="188" spans="1:8">
      <c r="A188" s="575">
        <f t="shared" si="20"/>
        <v>104</v>
      </c>
      <c r="C188" s="554" t="s">
        <v>209</v>
      </c>
      <c r="D188" s="157">
        <v>2018</v>
      </c>
      <c r="E188" s="116">
        <v>0</v>
      </c>
      <c r="F188" s="116">
        <v>0</v>
      </c>
      <c r="G188" s="7">
        <f t="shared" si="19"/>
        <v>0</v>
      </c>
      <c r="H188" s="7">
        <f t="shared" si="21"/>
        <v>0</v>
      </c>
    </row>
    <row r="189" spans="1:8">
      <c r="A189" s="575">
        <f t="shared" si="20"/>
        <v>105</v>
      </c>
      <c r="C189" s="554" t="s">
        <v>199</v>
      </c>
      <c r="D189" s="157">
        <v>2018</v>
      </c>
      <c r="E189" s="116">
        <v>0</v>
      </c>
      <c r="F189" s="116">
        <v>0</v>
      </c>
      <c r="G189" s="7">
        <f t="shared" si="19"/>
        <v>0</v>
      </c>
      <c r="H189" s="7">
        <f t="shared" si="21"/>
        <v>0</v>
      </c>
    </row>
    <row r="191" spans="1:8">
      <c r="C191" s="1336" t="s">
        <v>2956</v>
      </c>
      <c r="E191" s="91" t="s">
        <v>391</v>
      </c>
      <c r="F191" s="91" t="s">
        <v>375</v>
      </c>
      <c r="G191" s="91" t="s">
        <v>376</v>
      </c>
      <c r="H191" s="91" t="s">
        <v>377</v>
      </c>
    </row>
    <row r="192" spans="1:8">
      <c r="G192" s="524" t="s">
        <v>1869</v>
      </c>
      <c r="H192" s="524" t="s">
        <v>1870</v>
      </c>
    </row>
    <row r="193" spans="1:8">
      <c r="C193" s="575" t="s">
        <v>587</v>
      </c>
      <c r="H193" s="516" t="s">
        <v>1871</v>
      </c>
    </row>
    <row r="194" spans="1:8">
      <c r="C194" s="575" t="s">
        <v>212</v>
      </c>
      <c r="E194" s="575" t="s">
        <v>411</v>
      </c>
      <c r="F194" s="575" t="s">
        <v>1749</v>
      </c>
      <c r="G194" s="575" t="s">
        <v>1087</v>
      </c>
      <c r="H194" s="575" t="s">
        <v>1243</v>
      </c>
    </row>
    <row r="195" spans="1:8">
      <c r="C195" s="25" t="s">
        <v>211</v>
      </c>
      <c r="D195" s="25" t="s">
        <v>212</v>
      </c>
      <c r="E195" s="3" t="s">
        <v>1750</v>
      </c>
      <c r="F195" s="3" t="s">
        <v>1197</v>
      </c>
      <c r="G195" s="3" t="s">
        <v>3</v>
      </c>
      <c r="H195" s="3" t="s">
        <v>1745</v>
      </c>
    </row>
    <row r="196" spans="1:8">
      <c r="A196" s="575">
        <f>A189+1</f>
        <v>106</v>
      </c>
      <c r="C196" s="554" t="s">
        <v>199</v>
      </c>
      <c r="D196" s="199">
        <v>2017</v>
      </c>
      <c r="E196" s="116">
        <v>0</v>
      </c>
      <c r="F196" s="116">
        <v>0</v>
      </c>
      <c r="G196" s="7">
        <f t="shared" ref="G196:G208" si="22">E196-F196</f>
        <v>0</v>
      </c>
      <c r="H196" s="7">
        <f>E196-E196</f>
        <v>0</v>
      </c>
    </row>
    <row r="197" spans="1:8">
      <c r="A197" s="575">
        <f>A196+1</f>
        <v>107</v>
      </c>
      <c r="C197" s="554" t="s">
        <v>200</v>
      </c>
      <c r="D197" s="157">
        <v>2018</v>
      </c>
      <c r="E197" s="116">
        <v>0</v>
      </c>
      <c r="F197" s="116">
        <v>0</v>
      </c>
      <c r="G197" s="7">
        <f t="shared" si="22"/>
        <v>0</v>
      </c>
      <c r="H197" s="7">
        <f>E197-E196</f>
        <v>0</v>
      </c>
    </row>
    <row r="198" spans="1:8">
      <c r="A198" s="575">
        <f t="shared" ref="A198:A208" si="23">A197+1</f>
        <v>108</v>
      </c>
      <c r="C198" s="552" t="s">
        <v>201</v>
      </c>
      <c r="D198" s="157">
        <v>2018</v>
      </c>
      <c r="E198" s="116">
        <v>0</v>
      </c>
      <c r="F198" s="116">
        <v>0</v>
      </c>
      <c r="G198" s="7">
        <f t="shared" si="22"/>
        <v>0</v>
      </c>
      <c r="H198" s="7">
        <f t="shared" ref="H198:H208" si="24">E198-E197</f>
        <v>0</v>
      </c>
    </row>
    <row r="199" spans="1:8">
      <c r="A199" s="575">
        <f t="shared" si="23"/>
        <v>109</v>
      </c>
      <c r="C199" s="552" t="s">
        <v>214</v>
      </c>
      <c r="D199" s="157">
        <v>2018</v>
      </c>
      <c r="E199" s="116">
        <v>0</v>
      </c>
      <c r="F199" s="116">
        <v>0</v>
      </c>
      <c r="G199" s="7">
        <f t="shared" si="22"/>
        <v>0</v>
      </c>
      <c r="H199" s="7">
        <f t="shared" si="24"/>
        <v>0</v>
      </c>
    </row>
    <row r="200" spans="1:8">
      <c r="A200" s="575">
        <f t="shared" si="23"/>
        <v>110</v>
      </c>
      <c r="C200" s="554" t="s">
        <v>202</v>
      </c>
      <c r="D200" s="157">
        <v>2018</v>
      </c>
      <c r="E200" s="116">
        <v>0</v>
      </c>
      <c r="F200" s="116">
        <v>0</v>
      </c>
      <c r="G200" s="7">
        <f t="shared" si="22"/>
        <v>0</v>
      </c>
      <c r="H200" s="7">
        <f t="shared" si="24"/>
        <v>0</v>
      </c>
    </row>
    <row r="201" spans="1:8">
      <c r="A201" s="575">
        <f t="shared" si="23"/>
        <v>111</v>
      </c>
      <c r="C201" s="552" t="s">
        <v>203</v>
      </c>
      <c r="D201" s="157">
        <v>2018</v>
      </c>
      <c r="E201" s="116">
        <v>0</v>
      </c>
      <c r="F201" s="116">
        <v>0</v>
      </c>
      <c r="G201" s="7">
        <f t="shared" si="22"/>
        <v>0</v>
      </c>
      <c r="H201" s="7">
        <f t="shared" si="24"/>
        <v>0</v>
      </c>
    </row>
    <row r="202" spans="1:8">
      <c r="A202" s="575">
        <f t="shared" si="23"/>
        <v>112</v>
      </c>
      <c r="C202" s="552" t="s">
        <v>204</v>
      </c>
      <c r="D202" s="157">
        <v>2018</v>
      </c>
      <c r="E202" s="116">
        <v>0</v>
      </c>
      <c r="F202" s="116">
        <v>0</v>
      </c>
      <c r="G202" s="7">
        <f t="shared" si="22"/>
        <v>0</v>
      </c>
      <c r="H202" s="7">
        <f t="shared" si="24"/>
        <v>0</v>
      </c>
    </row>
    <row r="203" spans="1:8">
      <c r="A203" s="575">
        <f t="shared" si="23"/>
        <v>113</v>
      </c>
      <c r="C203" s="554" t="s">
        <v>205</v>
      </c>
      <c r="D203" s="157">
        <v>2018</v>
      </c>
      <c r="E203" s="116">
        <v>0</v>
      </c>
      <c r="F203" s="116">
        <v>0</v>
      </c>
      <c r="G203" s="7">
        <f t="shared" si="22"/>
        <v>0</v>
      </c>
      <c r="H203" s="7">
        <f t="shared" si="24"/>
        <v>0</v>
      </c>
    </row>
    <row r="204" spans="1:8">
      <c r="A204" s="575">
        <f t="shared" si="23"/>
        <v>114</v>
      </c>
      <c r="C204" s="552" t="s">
        <v>206</v>
      </c>
      <c r="D204" s="157">
        <v>2018</v>
      </c>
      <c r="E204" s="116">
        <v>0</v>
      </c>
      <c r="F204" s="116">
        <v>0</v>
      </c>
      <c r="G204" s="7">
        <f t="shared" si="22"/>
        <v>0</v>
      </c>
      <c r="H204" s="7">
        <f t="shared" si="24"/>
        <v>0</v>
      </c>
    </row>
    <row r="205" spans="1:8">
      <c r="A205" s="575">
        <f t="shared" si="23"/>
        <v>115</v>
      </c>
      <c r="C205" s="552" t="s">
        <v>207</v>
      </c>
      <c r="D205" s="157">
        <v>2018</v>
      </c>
      <c r="E205" s="116">
        <v>0</v>
      </c>
      <c r="F205" s="116">
        <v>0</v>
      </c>
      <c r="G205" s="7">
        <f t="shared" si="22"/>
        <v>0</v>
      </c>
      <c r="H205" s="7">
        <f t="shared" si="24"/>
        <v>0</v>
      </c>
    </row>
    <row r="206" spans="1:8">
      <c r="A206" s="575">
        <f t="shared" si="23"/>
        <v>116</v>
      </c>
      <c r="C206" s="554" t="s">
        <v>208</v>
      </c>
      <c r="D206" s="157">
        <v>2018</v>
      </c>
      <c r="E206" s="116">
        <v>0</v>
      </c>
      <c r="F206" s="116">
        <v>0</v>
      </c>
      <c r="G206" s="7">
        <f t="shared" si="22"/>
        <v>0</v>
      </c>
      <c r="H206" s="7">
        <f t="shared" si="24"/>
        <v>0</v>
      </c>
    </row>
    <row r="207" spans="1:8">
      <c r="A207" s="575">
        <f t="shared" si="23"/>
        <v>117</v>
      </c>
      <c r="C207" s="554" t="s">
        <v>209</v>
      </c>
      <c r="D207" s="157">
        <v>2018</v>
      </c>
      <c r="E207" s="116">
        <v>0</v>
      </c>
      <c r="F207" s="116">
        <v>0</v>
      </c>
      <c r="G207" s="7">
        <f t="shared" si="22"/>
        <v>0</v>
      </c>
      <c r="H207" s="7">
        <f t="shared" si="24"/>
        <v>0</v>
      </c>
    </row>
    <row r="208" spans="1:8">
      <c r="A208" s="575">
        <f t="shared" si="23"/>
        <v>118</v>
      </c>
      <c r="C208" s="554" t="s">
        <v>199</v>
      </c>
      <c r="D208" s="157">
        <v>2018</v>
      </c>
      <c r="E208" s="116">
        <v>0</v>
      </c>
      <c r="F208" s="116">
        <v>0</v>
      </c>
      <c r="G208" s="7">
        <f t="shared" si="22"/>
        <v>0</v>
      </c>
      <c r="H208" s="7">
        <f t="shared" si="24"/>
        <v>0</v>
      </c>
    </row>
    <row r="210" spans="1:8">
      <c r="C210" s="204" t="s">
        <v>1753</v>
      </c>
      <c r="E210" s="91" t="s">
        <v>391</v>
      </c>
      <c r="F210" s="91" t="s">
        <v>375</v>
      </c>
      <c r="G210" s="91" t="s">
        <v>376</v>
      </c>
      <c r="H210" s="91" t="s">
        <v>377</v>
      </c>
    </row>
    <row r="211" spans="1:8">
      <c r="G211" s="524" t="s">
        <v>1869</v>
      </c>
      <c r="H211" s="524" t="s">
        <v>1870</v>
      </c>
    </row>
    <row r="212" spans="1:8">
      <c r="C212" s="575" t="s">
        <v>587</v>
      </c>
      <c r="H212" s="516" t="s">
        <v>1871</v>
      </c>
    </row>
    <row r="213" spans="1:8">
      <c r="C213" s="575" t="s">
        <v>212</v>
      </c>
      <c r="E213" s="575" t="s">
        <v>411</v>
      </c>
      <c r="F213" s="575" t="s">
        <v>1749</v>
      </c>
      <c r="G213" s="575" t="s">
        <v>1087</v>
      </c>
      <c r="H213" s="575" t="s">
        <v>1243</v>
      </c>
    </row>
    <row r="214" spans="1:8">
      <c r="C214" s="25" t="s">
        <v>211</v>
      </c>
      <c r="D214" s="25" t="s">
        <v>212</v>
      </c>
      <c r="E214" s="3" t="s">
        <v>1750</v>
      </c>
      <c r="F214" s="3" t="s">
        <v>1197</v>
      </c>
      <c r="G214" s="3" t="s">
        <v>3</v>
      </c>
      <c r="H214" s="3" t="s">
        <v>1745</v>
      </c>
    </row>
    <row r="215" spans="1:8">
      <c r="A215" s="575">
        <f>A208+1</f>
        <v>119</v>
      </c>
      <c r="C215" s="554" t="s">
        <v>199</v>
      </c>
      <c r="D215" s="199">
        <v>2017</v>
      </c>
      <c r="E215" s="116">
        <v>235590583.02999994</v>
      </c>
      <c r="F215" s="116">
        <v>19587100.488371003</v>
      </c>
      <c r="G215" s="7">
        <f t="shared" ref="G215:G227" si="25">E215-F215</f>
        <v>216003482.54162893</v>
      </c>
      <c r="H215" s="7">
        <f>E215-E215</f>
        <v>0</v>
      </c>
    </row>
    <row r="216" spans="1:8">
      <c r="A216" s="575">
        <f>A215+1</f>
        <v>120</v>
      </c>
      <c r="C216" s="554" t="s">
        <v>200</v>
      </c>
      <c r="D216" s="157">
        <v>2018</v>
      </c>
      <c r="E216" s="116">
        <v>235590583.02999994</v>
      </c>
      <c r="F216" s="116">
        <v>20083715.634848166</v>
      </c>
      <c r="G216" s="7">
        <f t="shared" si="25"/>
        <v>215506867.39515176</v>
      </c>
      <c r="H216" s="7">
        <f>E216-E215</f>
        <v>0</v>
      </c>
    </row>
    <row r="217" spans="1:8">
      <c r="A217" s="575">
        <f t="shared" ref="A217:A227" si="26">A216+1</f>
        <v>121</v>
      </c>
      <c r="C217" s="552" t="s">
        <v>201</v>
      </c>
      <c r="D217" s="157">
        <v>2018</v>
      </c>
      <c r="E217" s="116">
        <v>235596527.09999993</v>
      </c>
      <c r="F217" s="116">
        <v>20580330.98648617</v>
      </c>
      <c r="G217" s="7">
        <f t="shared" si="25"/>
        <v>215016196.11351377</v>
      </c>
      <c r="H217" s="7">
        <f t="shared" ref="H217:H227" si="27">E217-E216</f>
        <v>5944.0699999928474</v>
      </c>
    </row>
    <row r="218" spans="1:8">
      <c r="A218" s="575">
        <f t="shared" si="26"/>
        <v>122</v>
      </c>
      <c r="C218" s="552" t="s">
        <v>214</v>
      </c>
      <c r="D218" s="157">
        <v>2018</v>
      </c>
      <c r="E218" s="116">
        <v>235599878.20999995</v>
      </c>
      <c r="F218" s="116">
        <v>21076959.068340749</v>
      </c>
      <c r="G218" s="7">
        <f t="shared" si="25"/>
        <v>214522919.1416592</v>
      </c>
      <c r="H218" s="7">
        <f t="shared" si="27"/>
        <v>3351.1100000143051</v>
      </c>
    </row>
    <row r="219" spans="1:8">
      <c r="A219" s="575">
        <f t="shared" si="26"/>
        <v>123</v>
      </c>
      <c r="C219" s="554" t="s">
        <v>202</v>
      </c>
      <c r="D219" s="157">
        <v>2018</v>
      </c>
      <c r="E219" s="116">
        <v>235602997.14999995</v>
      </c>
      <c r="F219" s="116">
        <v>21573594.327155914</v>
      </c>
      <c r="G219" s="7">
        <f t="shared" si="25"/>
        <v>214029402.82284403</v>
      </c>
      <c r="H219" s="7">
        <f t="shared" si="27"/>
        <v>3118.9399999976158</v>
      </c>
    </row>
    <row r="220" spans="1:8">
      <c r="A220" s="575">
        <f t="shared" si="26"/>
        <v>124</v>
      </c>
      <c r="C220" s="552" t="s">
        <v>203</v>
      </c>
      <c r="D220" s="157">
        <v>2018</v>
      </c>
      <c r="E220" s="116">
        <v>235602997.14999995</v>
      </c>
      <c r="F220" s="116">
        <v>22070236.265700914</v>
      </c>
      <c r="G220" s="7">
        <f t="shared" si="25"/>
        <v>213532760.88429904</v>
      </c>
      <c r="H220" s="7">
        <f t="shared" si="27"/>
        <v>0</v>
      </c>
    </row>
    <row r="221" spans="1:8">
      <c r="A221" s="575">
        <f t="shared" si="26"/>
        <v>125</v>
      </c>
      <c r="C221" s="552" t="s">
        <v>204</v>
      </c>
      <c r="D221" s="157">
        <v>2018</v>
      </c>
      <c r="E221" s="116">
        <v>235604617.73999992</v>
      </c>
      <c r="F221" s="116">
        <v>22566878.204245914</v>
      </c>
      <c r="G221" s="7">
        <f t="shared" si="25"/>
        <v>213037739.535754</v>
      </c>
      <c r="H221" s="7">
        <f t="shared" si="27"/>
        <v>1620.589999973774</v>
      </c>
    </row>
    <row r="222" spans="1:8">
      <c r="A222" s="575">
        <f t="shared" si="26"/>
        <v>126</v>
      </c>
      <c r="C222" s="554" t="s">
        <v>205</v>
      </c>
      <c r="D222" s="157">
        <v>2018</v>
      </c>
      <c r="E222" s="116">
        <v>235604617.67999992</v>
      </c>
      <c r="F222" s="116">
        <v>23063523.568534493</v>
      </c>
      <c r="G222" s="7">
        <f t="shared" si="25"/>
        <v>212541094.11146542</v>
      </c>
      <c r="H222" s="7">
        <f t="shared" si="27"/>
        <v>-6.0000002384185791E-2</v>
      </c>
    </row>
    <row r="223" spans="1:8">
      <c r="A223" s="575">
        <f t="shared" si="26"/>
        <v>127</v>
      </c>
      <c r="C223" s="552" t="s">
        <v>206</v>
      </c>
      <c r="D223" s="157">
        <v>2018</v>
      </c>
      <c r="E223" s="116">
        <v>235604617.67999992</v>
      </c>
      <c r="F223" s="116">
        <v>23560168.97771458</v>
      </c>
      <c r="G223" s="7">
        <f t="shared" si="25"/>
        <v>212044448.70228535</v>
      </c>
      <c r="H223" s="7">
        <f t="shared" si="27"/>
        <v>0</v>
      </c>
    </row>
    <row r="224" spans="1:8">
      <c r="A224" s="575">
        <f t="shared" si="26"/>
        <v>128</v>
      </c>
      <c r="C224" s="552" t="s">
        <v>207</v>
      </c>
      <c r="D224" s="157">
        <v>2018</v>
      </c>
      <c r="E224" s="116">
        <v>235604617.68999994</v>
      </c>
      <c r="F224" s="116">
        <v>24056814.386894658</v>
      </c>
      <c r="G224" s="7">
        <f t="shared" si="25"/>
        <v>211547803.30310529</v>
      </c>
      <c r="H224" s="7">
        <f t="shared" si="27"/>
        <v>1.0000020265579224E-2</v>
      </c>
    </row>
    <row r="225" spans="1:8">
      <c r="A225" s="575">
        <f t="shared" si="26"/>
        <v>129</v>
      </c>
      <c r="C225" s="554" t="s">
        <v>208</v>
      </c>
      <c r="D225" s="157">
        <v>2018</v>
      </c>
      <c r="E225" s="116">
        <v>235604617.68999994</v>
      </c>
      <c r="F225" s="116">
        <v>24553459.796096165</v>
      </c>
      <c r="G225" s="7">
        <f t="shared" si="25"/>
        <v>211051157.89390376</v>
      </c>
      <c r="H225" s="7">
        <f t="shared" si="27"/>
        <v>0</v>
      </c>
    </row>
    <row r="226" spans="1:8">
      <c r="A226" s="575">
        <f t="shared" si="26"/>
        <v>130</v>
      </c>
      <c r="C226" s="554" t="s">
        <v>209</v>
      </c>
      <c r="D226" s="157">
        <v>2018</v>
      </c>
      <c r="E226" s="116">
        <v>235653735.35999992</v>
      </c>
      <c r="F226" s="116">
        <v>25050105.20529766</v>
      </c>
      <c r="G226" s="7">
        <f t="shared" si="25"/>
        <v>210603630.15470228</v>
      </c>
      <c r="H226" s="7">
        <f t="shared" si="27"/>
        <v>49117.669999986887</v>
      </c>
    </row>
    <row r="227" spans="1:8">
      <c r="A227" s="575">
        <f t="shared" si="26"/>
        <v>131</v>
      </c>
      <c r="C227" s="554" t="s">
        <v>199</v>
      </c>
      <c r="D227" s="157">
        <v>2018</v>
      </c>
      <c r="E227" s="116">
        <v>235653723.16999993</v>
      </c>
      <c r="F227" s="116">
        <v>25546854.443795744</v>
      </c>
      <c r="G227" s="7">
        <f t="shared" si="25"/>
        <v>210106868.72620419</v>
      </c>
      <c r="H227" s="7">
        <f t="shared" si="27"/>
        <v>-12.189999997615814</v>
      </c>
    </row>
    <row r="229" spans="1:8">
      <c r="C229" s="204" t="s">
        <v>1792</v>
      </c>
      <c r="H229" s="91" t="s">
        <v>377</v>
      </c>
    </row>
    <row r="230" spans="1:8">
      <c r="E230" s="91" t="s">
        <v>391</v>
      </c>
      <c r="F230" s="91" t="s">
        <v>375</v>
      </c>
      <c r="G230" s="91" t="s">
        <v>376</v>
      </c>
      <c r="H230" s="524" t="s">
        <v>1870</v>
      </c>
    </row>
    <row r="231" spans="1:8">
      <c r="C231" s="575" t="s">
        <v>587</v>
      </c>
      <c r="G231" s="524" t="s">
        <v>1869</v>
      </c>
      <c r="H231" s="516" t="s">
        <v>1871</v>
      </c>
    </row>
    <row r="232" spans="1:8">
      <c r="C232" s="575" t="s">
        <v>212</v>
      </c>
      <c r="E232" s="575" t="s">
        <v>411</v>
      </c>
      <c r="F232" s="575" t="s">
        <v>1749</v>
      </c>
      <c r="G232" s="575" t="s">
        <v>1087</v>
      </c>
      <c r="H232" s="575" t="s">
        <v>1243</v>
      </c>
    </row>
    <row r="233" spans="1:8">
      <c r="C233" s="25" t="s">
        <v>211</v>
      </c>
      <c r="D233" s="25" t="s">
        <v>212</v>
      </c>
      <c r="E233" s="3" t="s">
        <v>1750</v>
      </c>
      <c r="F233" s="3" t="s">
        <v>1197</v>
      </c>
      <c r="G233" s="3" t="s">
        <v>3</v>
      </c>
      <c r="H233" s="3" t="s">
        <v>1745</v>
      </c>
    </row>
    <row r="234" spans="1:8">
      <c r="A234" s="575">
        <f>A227+1</f>
        <v>132</v>
      </c>
      <c r="C234" s="554" t="s">
        <v>199</v>
      </c>
      <c r="D234" s="199">
        <v>2017</v>
      </c>
      <c r="E234" s="116">
        <v>53627431.310000017</v>
      </c>
      <c r="F234" s="116">
        <v>3026415.3137713335</v>
      </c>
      <c r="G234" s="7">
        <f t="shared" ref="G234:G246" si="28">E234-F234</f>
        <v>50601015.99622868</v>
      </c>
      <c r="H234" s="7">
        <f>E234-E234</f>
        <v>0</v>
      </c>
    </row>
    <row r="235" spans="1:8">
      <c r="A235" s="575">
        <f>A234+1</f>
        <v>133</v>
      </c>
      <c r="C235" s="554" t="s">
        <v>200</v>
      </c>
      <c r="D235" s="157">
        <v>2018</v>
      </c>
      <c r="E235" s="116">
        <v>53627431.310000017</v>
      </c>
      <c r="F235" s="116">
        <v>3136881.4796327502</v>
      </c>
      <c r="G235" s="7">
        <f t="shared" si="28"/>
        <v>50490549.830367267</v>
      </c>
      <c r="H235" s="7">
        <f>E235-E234</f>
        <v>0</v>
      </c>
    </row>
    <row r="236" spans="1:8">
      <c r="A236" s="575">
        <f t="shared" ref="A236:A246" si="29">A235+1</f>
        <v>134</v>
      </c>
      <c r="C236" s="552" t="s">
        <v>201</v>
      </c>
      <c r="D236" s="157">
        <v>2018</v>
      </c>
      <c r="E236" s="116">
        <v>53627431.310000017</v>
      </c>
      <c r="F236" s="116">
        <v>3247347.7555716671</v>
      </c>
      <c r="G236" s="7">
        <f t="shared" si="28"/>
        <v>50380083.554428354</v>
      </c>
      <c r="H236" s="7">
        <f t="shared" ref="H236:H246" si="30">E236-E235</f>
        <v>0</v>
      </c>
    </row>
    <row r="237" spans="1:8">
      <c r="A237" s="575">
        <f t="shared" si="29"/>
        <v>135</v>
      </c>
      <c r="C237" s="552" t="s">
        <v>214</v>
      </c>
      <c r="D237" s="157">
        <v>2018</v>
      </c>
      <c r="E237" s="116">
        <v>53627431.310000017</v>
      </c>
      <c r="F237" s="116">
        <v>3357814.0315105836</v>
      </c>
      <c r="G237" s="7">
        <f t="shared" si="28"/>
        <v>50269617.278489433</v>
      </c>
      <c r="H237" s="7">
        <f t="shared" si="30"/>
        <v>0</v>
      </c>
    </row>
    <row r="238" spans="1:8">
      <c r="A238" s="575">
        <f t="shared" si="29"/>
        <v>136</v>
      </c>
      <c r="C238" s="554" t="s">
        <v>202</v>
      </c>
      <c r="D238" s="157">
        <v>2018</v>
      </c>
      <c r="E238" s="116">
        <v>86255712.190000027</v>
      </c>
      <c r="F238" s="116">
        <v>3468280.3074495001</v>
      </c>
      <c r="G238" s="7">
        <f t="shared" si="28"/>
        <v>82787431.882550523</v>
      </c>
      <c r="H238" s="7">
        <f t="shared" si="30"/>
        <v>32628280.88000001</v>
      </c>
    </row>
    <row r="239" spans="1:8">
      <c r="A239" s="575">
        <f t="shared" si="29"/>
        <v>137</v>
      </c>
      <c r="C239" s="552" t="s">
        <v>203</v>
      </c>
      <c r="D239" s="157">
        <v>2018</v>
      </c>
      <c r="E239" s="116">
        <v>86423086.630000025</v>
      </c>
      <c r="F239" s="116">
        <v>3645923.8967847503</v>
      </c>
      <c r="G239" s="7">
        <f t="shared" si="28"/>
        <v>82777162.733215272</v>
      </c>
      <c r="H239" s="7">
        <f t="shared" si="30"/>
        <v>167374.43999999762</v>
      </c>
    </row>
    <row r="240" spans="1:8">
      <c r="A240" s="575">
        <f t="shared" si="29"/>
        <v>138</v>
      </c>
      <c r="C240" s="552" t="s">
        <v>204</v>
      </c>
      <c r="D240" s="157">
        <v>2018</v>
      </c>
      <c r="E240" s="116">
        <v>86465217.470000029</v>
      </c>
      <c r="F240" s="116">
        <v>3823912.0879473337</v>
      </c>
      <c r="G240" s="7">
        <f t="shared" si="28"/>
        <v>82641305.38205269</v>
      </c>
      <c r="H240" s="7">
        <f t="shared" si="30"/>
        <v>42130.840000003576</v>
      </c>
    </row>
    <row r="241" spans="1:8">
      <c r="A241" s="575">
        <f t="shared" si="29"/>
        <v>139</v>
      </c>
      <c r="C241" s="554" t="s">
        <v>205</v>
      </c>
      <c r="D241" s="157">
        <v>2018</v>
      </c>
      <c r="E241" s="116">
        <v>86496127.450000033</v>
      </c>
      <c r="F241" s="116">
        <v>4001987.0209347503</v>
      </c>
      <c r="G241" s="7">
        <f t="shared" si="28"/>
        <v>82494140.429065287</v>
      </c>
      <c r="H241" s="7">
        <f t="shared" si="30"/>
        <v>30909.980000004172</v>
      </c>
    </row>
    <row r="242" spans="1:8">
      <c r="A242" s="575">
        <f t="shared" si="29"/>
        <v>140</v>
      </c>
      <c r="C242" s="552" t="s">
        <v>206</v>
      </c>
      <c r="D242" s="157">
        <v>2018</v>
      </c>
      <c r="E242" s="116">
        <v>86531254.020000026</v>
      </c>
      <c r="F242" s="116">
        <v>4180125.5934810005</v>
      </c>
      <c r="G242" s="7">
        <f t="shared" si="28"/>
        <v>82351128.426519021</v>
      </c>
      <c r="H242" s="7">
        <f t="shared" si="30"/>
        <v>35126.569999992847</v>
      </c>
    </row>
    <row r="243" spans="1:8">
      <c r="A243" s="575">
        <f t="shared" si="29"/>
        <v>141</v>
      </c>
      <c r="C243" s="552" t="s">
        <v>207</v>
      </c>
      <c r="D243" s="157">
        <v>2018</v>
      </c>
      <c r="E243" s="116">
        <v>86558719.780000031</v>
      </c>
      <c r="F243" s="116">
        <v>4358336.486987168</v>
      </c>
      <c r="G243" s="7">
        <f t="shared" si="28"/>
        <v>82200383.293012857</v>
      </c>
      <c r="H243" s="7">
        <f t="shared" si="30"/>
        <v>27465.760000005364</v>
      </c>
    </row>
    <row r="244" spans="1:8">
      <c r="A244" s="575">
        <f t="shared" si="29"/>
        <v>142</v>
      </c>
      <c r="C244" s="554" t="s">
        <v>208</v>
      </c>
      <c r="D244" s="157">
        <v>2018</v>
      </c>
      <c r="E244" s="116">
        <v>87524370.780000031</v>
      </c>
      <c r="F244" s="116">
        <v>4536603.9288593344</v>
      </c>
      <c r="G244" s="7">
        <f t="shared" si="28"/>
        <v>82987766.851140693</v>
      </c>
      <c r="H244" s="7">
        <f t="shared" si="30"/>
        <v>965651</v>
      </c>
    </row>
    <row r="245" spans="1:8">
      <c r="A245" s="575">
        <f t="shared" si="29"/>
        <v>143</v>
      </c>
      <c r="C245" s="554" t="s">
        <v>209</v>
      </c>
      <c r="D245" s="157">
        <v>2018</v>
      </c>
      <c r="E245" s="116">
        <v>87519888.160000026</v>
      </c>
      <c r="F245" s="116">
        <v>4716859.0158306677</v>
      </c>
      <c r="G245" s="7">
        <f t="shared" si="28"/>
        <v>82803029.14416936</v>
      </c>
      <c r="H245" s="7">
        <f t="shared" si="30"/>
        <v>-4482.6200000047684</v>
      </c>
    </row>
    <row r="246" spans="1:8">
      <c r="A246" s="575">
        <f t="shared" si="29"/>
        <v>144</v>
      </c>
      <c r="C246" s="554" t="s">
        <v>199</v>
      </c>
      <c r="D246" s="157">
        <v>2018</v>
      </c>
      <c r="E246" s="116">
        <v>87531655.490000039</v>
      </c>
      <c r="F246" s="116">
        <v>4897104.8798991675</v>
      </c>
      <c r="G246" s="7">
        <f t="shared" si="28"/>
        <v>82634550.610100865</v>
      </c>
      <c r="H246" s="7">
        <f t="shared" si="30"/>
        <v>11767.330000013113</v>
      </c>
    </row>
    <row r="248" spans="1:8">
      <c r="C248" s="204" t="s">
        <v>1793</v>
      </c>
      <c r="H248" s="91" t="s">
        <v>377</v>
      </c>
    </row>
    <row r="249" spans="1:8">
      <c r="E249" s="91" t="s">
        <v>391</v>
      </c>
      <c r="F249" s="91" t="s">
        <v>375</v>
      </c>
      <c r="G249" s="91" t="s">
        <v>376</v>
      </c>
      <c r="H249" s="524" t="s">
        <v>1870</v>
      </c>
    </row>
    <row r="250" spans="1:8">
      <c r="C250" s="575" t="s">
        <v>587</v>
      </c>
      <c r="G250" s="524" t="s">
        <v>1869</v>
      </c>
      <c r="H250" s="516" t="s">
        <v>1871</v>
      </c>
    </row>
    <row r="251" spans="1:8">
      <c r="C251" s="575" t="s">
        <v>212</v>
      </c>
      <c r="E251" s="575" t="s">
        <v>411</v>
      </c>
      <c r="F251" s="575" t="s">
        <v>1749</v>
      </c>
      <c r="G251" s="575" t="s">
        <v>1087</v>
      </c>
      <c r="H251" s="575" t="s">
        <v>1243</v>
      </c>
    </row>
    <row r="252" spans="1:8">
      <c r="C252" s="25" t="s">
        <v>211</v>
      </c>
      <c r="D252" s="25" t="s">
        <v>212</v>
      </c>
      <c r="E252" s="3" t="s">
        <v>1750</v>
      </c>
      <c r="F252" s="3" t="s">
        <v>1197</v>
      </c>
      <c r="G252" s="3" t="s">
        <v>3</v>
      </c>
      <c r="H252" s="3" t="s">
        <v>1745</v>
      </c>
    </row>
    <row r="253" spans="1:8">
      <c r="A253" s="575">
        <f>A246+1</f>
        <v>145</v>
      </c>
      <c r="C253" s="554" t="s">
        <v>199</v>
      </c>
      <c r="D253" s="199">
        <v>2017</v>
      </c>
      <c r="E253" s="116">
        <v>71091079.070000023</v>
      </c>
      <c r="F253" s="116">
        <v>5992602.1445063334</v>
      </c>
      <c r="G253" s="7">
        <f t="shared" ref="G253:G265" si="31">E253-F253</f>
        <v>65098476.925493687</v>
      </c>
      <c r="H253" s="7">
        <f>E253-E253</f>
        <v>0</v>
      </c>
    </row>
    <row r="254" spans="1:8">
      <c r="A254" s="575">
        <f>A253+1</f>
        <v>146</v>
      </c>
      <c r="C254" s="554" t="s">
        <v>200</v>
      </c>
      <c r="D254" s="157">
        <v>2018</v>
      </c>
      <c r="E254" s="116">
        <v>71149299.39000003</v>
      </c>
      <c r="F254" s="116">
        <v>6139911.5234520845</v>
      </c>
      <c r="G254" s="7">
        <f t="shared" si="31"/>
        <v>65009387.866547942</v>
      </c>
      <c r="H254" s="7">
        <f>E254-E253</f>
        <v>58220.320000007749</v>
      </c>
    </row>
    <row r="255" spans="1:8">
      <c r="A255" s="575">
        <f t="shared" ref="A255:A265" si="32">A254+1</f>
        <v>147</v>
      </c>
      <c r="C255" s="552" t="s">
        <v>201</v>
      </c>
      <c r="D255" s="157">
        <v>2018</v>
      </c>
      <c r="E255" s="116">
        <v>71330023.520000026</v>
      </c>
      <c r="F255" s="116">
        <v>6287340.7392231673</v>
      </c>
      <c r="G255" s="7">
        <f t="shared" si="31"/>
        <v>65042682.780776858</v>
      </c>
      <c r="H255" s="7">
        <f t="shared" ref="H255:H265" si="33">E255-E254</f>
        <v>180724.12999999523</v>
      </c>
    </row>
    <row r="256" spans="1:8">
      <c r="A256" s="575">
        <f t="shared" si="32"/>
        <v>148</v>
      </c>
      <c r="C256" s="552" t="s">
        <v>214</v>
      </c>
      <c r="D256" s="157">
        <v>2018</v>
      </c>
      <c r="E256" s="116">
        <v>71477390.540000036</v>
      </c>
      <c r="F256" s="116">
        <v>6435141.9454593342</v>
      </c>
      <c r="G256" s="7">
        <f t="shared" si="31"/>
        <v>65042248.5945407</v>
      </c>
      <c r="H256" s="7">
        <f t="shared" si="33"/>
        <v>147367.02000001073</v>
      </c>
    </row>
    <row r="257" spans="1:8">
      <c r="A257" s="575">
        <f t="shared" si="32"/>
        <v>149</v>
      </c>
      <c r="C257" s="554" t="s">
        <v>202</v>
      </c>
      <c r="D257" s="157">
        <v>2018</v>
      </c>
      <c r="E257" s="116">
        <v>71530277.520000026</v>
      </c>
      <c r="F257" s="116">
        <v>6583246.4798025014</v>
      </c>
      <c r="G257" s="7">
        <f t="shared" si="31"/>
        <v>64947031.040197521</v>
      </c>
      <c r="H257" s="7">
        <f t="shared" si="33"/>
        <v>52886.979999989271</v>
      </c>
    </row>
    <row r="258" spans="1:8">
      <c r="A258" s="575">
        <f t="shared" si="32"/>
        <v>150</v>
      </c>
      <c r="C258" s="552" t="s">
        <v>203</v>
      </c>
      <c r="D258" s="157">
        <v>2018</v>
      </c>
      <c r="E258" s="116">
        <v>71586512.570000038</v>
      </c>
      <c r="F258" s="116">
        <v>6731459.8731803345</v>
      </c>
      <c r="G258" s="7">
        <f t="shared" si="31"/>
        <v>64855052.6968197</v>
      </c>
      <c r="H258" s="7">
        <f t="shared" si="33"/>
        <v>56235.050000011921</v>
      </c>
    </row>
    <row r="259" spans="1:8">
      <c r="A259" s="575">
        <f t="shared" si="32"/>
        <v>151</v>
      </c>
      <c r="C259" s="552" t="s">
        <v>204</v>
      </c>
      <c r="D259" s="157">
        <v>2018</v>
      </c>
      <c r="E259" s="116">
        <v>71611412.180000037</v>
      </c>
      <c r="F259" s="116">
        <v>6879789.0170352515</v>
      </c>
      <c r="G259" s="7">
        <f t="shared" si="31"/>
        <v>64731623.162964784</v>
      </c>
      <c r="H259" s="7">
        <f t="shared" si="33"/>
        <v>24899.609999999404</v>
      </c>
    </row>
    <row r="260" spans="1:8">
      <c r="A260" s="575">
        <f t="shared" si="32"/>
        <v>152</v>
      </c>
      <c r="C260" s="554" t="s">
        <v>205</v>
      </c>
      <c r="D260" s="157">
        <v>2018</v>
      </c>
      <c r="E260" s="116">
        <v>71627144.89000003</v>
      </c>
      <c r="F260" s="116">
        <v>7028169.4127015844</v>
      </c>
      <c r="G260" s="7">
        <f t="shared" si="31"/>
        <v>64598975.477298446</v>
      </c>
      <c r="H260" s="7">
        <f t="shared" si="33"/>
        <v>15732.709999993443</v>
      </c>
    </row>
    <row r="261" spans="1:8">
      <c r="A261" s="575">
        <f t="shared" si="32"/>
        <v>153</v>
      </c>
      <c r="C261" s="552" t="s">
        <v>206</v>
      </c>
      <c r="D261" s="157">
        <v>2018</v>
      </c>
      <c r="E261" s="116">
        <v>71640093.690000027</v>
      </c>
      <c r="F261" s="116">
        <v>7176582.1916110013</v>
      </c>
      <c r="G261" s="7">
        <f t="shared" si="31"/>
        <v>64463511.498389028</v>
      </c>
      <c r="H261" s="7">
        <f t="shared" si="33"/>
        <v>12948.79999999702</v>
      </c>
    </row>
    <row r="262" spans="1:8">
      <c r="A262" s="575">
        <f t="shared" si="32"/>
        <v>154</v>
      </c>
      <c r="C262" s="552" t="s">
        <v>207</v>
      </c>
      <c r="D262" s="157">
        <v>2018</v>
      </c>
      <c r="E262" s="116">
        <v>71639023.060000032</v>
      </c>
      <c r="F262" s="116">
        <v>7325021.6234637508</v>
      </c>
      <c r="G262" s="7">
        <f t="shared" si="31"/>
        <v>64314001.436536282</v>
      </c>
      <c r="H262" s="7">
        <f t="shared" si="33"/>
        <v>-1070.6299999952316</v>
      </c>
    </row>
    <row r="263" spans="1:8">
      <c r="A263" s="575">
        <f t="shared" si="32"/>
        <v>155</v>
      </c>
      <c r="C263" s="554" t="s">
        <v>208</v>
      </c>
      <c r="D263" s="157">
        <v>2018</v>
      </c>
      <c r="E263" s="116">
        <v>71464495.040000021</v>
      </c>
      <c r="F263" s="116">
        <v>7473458.8515880853</v>
      </c>
      <c r="G263" s="7">
        <f t="shared" si="31"/>
        <v>63991036.188411936</v>
      </c>
      <c r="H263" s="7">
        <f t="shared" si="33"/>
        <v>-174528.02000001073</v>
      </c>
    </row>
    <row r="264" spans="1:8">
      <c r="A264" s="575">
        <f t="shared" si="32"/>
        <v>156</v>
      </c>
      <c r="C264" s="554" t="s">
        <v>209</v>
      </c>
      <c r="D264" s="157">
        <v>2018</v>
      </c>
      <c r="E264" s="116">
        <v>71465329.650000036</v>
      </c>
      <c r="F264" s="116">
        <v>7621547.2439162508</v>
      </c>
      <c r="G264" s="7">
        <f t="shared" si="31"/>
        <v>63843782.406083785</v>
      </c>
      <c r="H264" s="7">
        <f t="shared" si="33"/>
        <v>834.61000001430511</v>
      </c>
    </row>
    <row r="265" spans="1:8">
      <c r="A265" s="575">
        <f t="shared" si="32"/>
        <v>157</v>
      </c>
      <c r="C265" s="554" t="s">
        <v>199</v>
      </c>
      <c r="D265" s="157">
        <v>2018</v>
      </c>
      <c r="E265" s="116">
        <v>71499906.740000039</v>
      </c>
      <c r="F265" s="116">
        <v>7769637.3541483358</v>
      </c>
      <c r="G265" s="7">
        <f t="shared" si="31"/>
        <v>63730269.385851704</v>
      </c>
      <c r="H265" s="7">
        <f t="shared" si="33"/>
        <v>34577.090000003576</v>
      </c>
    </row>
    <row r="267" spans="1:8">
      <c r="C267" s="1336" t="s">
        <v>2957</v>
      </c>
      <c r="E267" s="91" t="s">
        <v>391</v>
      </c>
      <c r="F267" s="91" t="s">
        <v>375</v>
      </c>
      <c r="G267" s="91" t="s">
        <v>376</v>
      </c>
      <c r="H267" s="91" t="s">
        <v>377</v>
      </c>
    </row>
    <row r="268" spans="1:8">
      <c r="G268" s="524" t="s">
        <v>1869</v>
      </c>
      <c r="H268" s="524" t="s">
        <v>1870</v>
      </c>
    </row>
    <row r="269" spans="1:8">
      <c r="C269" s="575" t="s">
        <v>587</v>
      </c>
      <c r="H269" s="516" t="s">
        <v>1871</v>
      </c>
    </row>
    <row r="270" spans="1:8">
      <c r="C270" s="575" t="s">
        <v>212</v>
      </c>
      <c r="E270" s="575" t="s">
        <v>411</v>
      </c>
      <c r="F270" s="575" t="s">
        <v>1749</v>
      </c>
      <c r="G270" s="575" t="s">
        <v>1087</v>
      </c>
      <c r="H270" s="575" t="s">
        <v>1243</v>
      </c>
    </row>
    <row r="271" spans="1:8">
      <c r="C271" s="25" t="s">
        <v>211</v>
      </c>
      <c r="D271" s="25" t="s">
        <v>212</v>
      </c>
      <c r="E271" s="3" t="s">
        <v>1750</v>
      </c>
      <c r="F271" s="3" t="s">
        <v>1197</v>
      </c>
      <c r="G271" s="3" t="s">
        <v>3</v>
      </c>
      <c r="H271" s="3" t="s">
        <v>1745</v>
      </c>
    </row>
    <row r="272" spans="1:8">
      <c r="A272" s="575">
        <f>A265+1</f>
        <v>158</v>
      </c>
      <c r="C272" s="554" t="s">
        <v>199</v>
      </c>
      <c r="D272" s="199">
        <v>2017</v>
      </c>
      <c r="E272" s="116">
        <v>0</v>
      </c>
      <c r="F272" s="116">
        <v>0</v>
      </c>
      <c r="G272" s="7">
        <f t="shared" ref="G272:G284" si="34">E272-F272</f>
        <v>0</v>
      </c>
      <c r="H272" s="7">
        <f>E272-E272</f>
        <v>0</v>
      </c>
    </row>
    <row r="273" spans="1:8">
      <c r="A273" s="575">
        <f>A272+1</f>
        <v>159</v>
      </c>
      <c r="C273" s="554" t="s">
        <v>200</v>
      </c>
      <c r="D273" s="157">
        <v>2018</v>
      </c>
      <c r="E273" s="116">
        <v>0</v>
      </c>
      <c r="F273" s="116">
        <v>0</v>
      </c>
      <c r="G273" s="7">
        <f t="shared" si="34"/>
        <v>0</v>
      </c>
      <c r="H273" s="7">
        <f>E273-E272</f>
        <v>0</v>
      </c>
    </row>
    <row r="274" spans="1:8">
      <c r="A274" s="575">
        <f t="shared" ref="A274:A284" si="35">A273+1</f>
        <v>160</v>
      </c>
      <c r="C274" s="552" t="s">
        <v>201</v>
      </c>
      <c r="D274" s="157">
        <v>2018</v>
      </c>
      <c r="E274" s="116">
        <v>0</v>
      </c>
      <c r="F274" s="116">
        <v>0</v>
      </c>
      <c r="G274" s="7">
        <f t="shared" si="34"/>
        <v>0</v>
      </c>
      <c r="H274" s="7">
        <f t="shared" ref="H274:H284" si="36">E274-E273</f>
        <v>0</v>
      </c>
    </row>
    <row r="275" spans="1:8">
      <c r="A275" s="575">
        <f t="shared" si="35"/>
        <v>161</v>
      </c>
      <c r="C275" s="552" t="s">
        <v>214</v>
      </c>
      <c r="D275" s="157">
        <v>2018</v>
      </c>
      <c r="E275" s="116">
        <v>0</v>
      </c>
      <c r="F275" s="116">
        <v>0</v>
      </c>
      <c r="G275" s="7">
        <f t="shared" si="34"/>
        <v>0</v>
      </c>
      <c r="H275" s="7">
        <f t="shared" si="36"/>
        <v>0</v>
      </c>
    </row>
    <row r="276" spans="1:8">
      <c r="A276" s="575">
        <f t="shared" si="35"/>
        <v>162</v>
      </c>
      <c r="C276" s="554" t="s">
        <v>202</v>
      </c>
      <c r="D276" s="157">
        <v>2018</v>
      </c>
      <c r="E276" s="116">
        <v>0</v>
      </c>
      <c r="F276" s="116">
        <v>0</v>
      </c>
      <c r="G276" s="7">
        <f t="shared" si="34"/>
        <v>0</v>
      </c>
      <c r="H276" s="7">
        <f t="shared" si="36"/>
        <v>0</v>
      </c>
    </row>
    <row r="277" spans="1:8">
      <c r="A277" s="575">
        <f t="shared" si="35"/>
        <v>163</v>
      </c>
      <c r="C277" s="552" t="s">
        <v>203</v>
      </c>
      <c r="D277" s="157">
        <v>2018</v>
      </c>
      <c r="E277" s="116">
        <v>0</v>
      </c>
      <c r="F277" s="116">
        <v>0</v>
      </c>
      <c r="G277" s="7">
        <f t="shared" si="34"/>
        <v>0</v>
      </c>
      <c r="H277" s="7">
        <f t="shared" si="36"/>
        <v>0</v>
      </c>
    </row>
    <row r="278" spans="1:8">
      <c r="A278" s="575">
        <f t="shared" si="35"/>
        <v>164</v>
      </c>
      <c r="C278" s="552" t="s">
        <v>204</v>
      </c>
      <c r="D278" s="157">
        <v>2018</v>
      </c>
      <c r="E278" s="116">
        <v>0</v>
      </c>
      <c r="F278" s="116">
        <v>0</v>
      </c>
      <c r="G278" s="7">
        <f t="shared" si="34"/>
        <v>0</v>
      </c>
      <c r="H278" s="7">
        <f t="shared" si="36"/>
        <v>0</v>
      </c>
    </row>
    <row r="279" spans="1:8">
      <c r="A279" s="575">
        <f t="shared" si="35"/>
        <v>165</v>
      </c>
      <c r="C279" s="554" t="s">
        <v>205</v>
      </c>
      <c r="D279" s="157">
        <v>2018</v>
      </c>
      <c r="E279" s="116">
        <v>0</v>
      </c>
      <c r="F279" s="116">
        <v>0</v>
      </c>
      <c r="G279" s="7">
        <f t="shared" si="34"/>
        <v>0</v>
      </c>
      <c r="H279" s="7">
        <f t="shared" si="36"/>
        <v>0</v>
      </c>
    </row>
    <row r="280" spans="1:8">
      <c r="A280" s="575">
        <f t="shared" si="35"/>
        <v>166</v>
      </c>
      <c r="C280" s="552" t="s">
        <v>206</v>
      </c>
      <c r="D280" s="157">
        <v>2018</v>
      </c>
      <c r="E280" s="116">
        <v>0</v>
      </c>
      <c r="F280" s="116">
        <v>0</v>
      </c>
      <c r="G280" s="7">
        <f t="shared" si="34"/>
        <v>0</v>
      </c>
      <c r="H280" s="7">
        <f t="shared" si="36"/>
        <v>0</v>
      </c>
    </row>
    <row r="281" spans="1:8">
      <c r="A281" s="575">
        <f t="shared" si="35"/>
        <v>167</v>
      </c>
      <c r="C281" s="552" t="s">
        <v>207</v>
      </c>
      <c r="D281" s="157">
        <v>2018</v>
      </c>
      <c r="E281" s="116">
        <v>0</v>
      </c>
      <c r="F281" s="116">
        <v>0</v>
      </c>
      <c r="G281" s="7">
        <f t="shared" si="34"/>
        <v>0</v>
      </c>
      <c r="H281" s="7">
        <f t="shared" si="36"/>
        <v>0</v>
      </c>
    </row>
    <row r="282" spans="1:8">
      <c r="A282" s="575">
        <f t="shared" si="35"/>
        <v>168</v>
      </c>
      <c r="C282" s="554" t="s">
        <v>208</v>
      </c>
      <c r="D282" s="157">
        <v>2018</v>
      </c>
      <c r="E282" s="116">
        <v>0</v>
      </c>
      <c r="F282" s="116">
        <v>0</v>
      </c>
      <c r="G282" s="7">
        <f t="shared" si="34"/>
        <v>0</v>
      </c>
      <c r="H282" s="7">
        <f t="shared" si="36"/>
        <v>0</v>
      </c>
    </row>
    <row r="283" spans="1:8">
      <c r="A283" s="575">
        <f t="shared" si="35"/>
        <v>169</v>
      </c>
      <c r="C283" s="554" t="s">
        <v>209</v>
      </c>
      <c r="D283" s="157">
        <v>2018</v>
      </c>
      <c r="E283" s="116">
        <v>1657267.8875</v>
      </c>
      <c r="F283" s="116">
        <v>0</v>
      </c>
      <c r="G283" s="7">
        <f t="shared" si="34"/>
        <v>1657267.8875</v>
      </c>
      <c r="H283" s="7">
        <f t="shared" si="36"/>
        <v>1657267.8875</v>
      </c>
    </row>
    <row r="284" spans="1:8">
      <c r="A284" s="575">
        <f t="shared" si="35"/>
        <v>170</v>
      </c>
      <c r="C284" s="554" t="s">
        <v>199</v>
      </c>
      <c r="D284" s="157">
        <v>2018</v>
      </c>
      <c r="E284" s="116">
        <v>1657267.8875</v>
      </c>
      <c r="F284" s="116">
        <v>0</v>
      </c>
      <c r="G284" s="7">
        <f t="shared" si="34"/>
        <v>1657267.8875</v>
      </c>
      <c r="H284" s="7">
        <f t="shared" si="36"/>
        <v>0</v>
      </c>
    </row>
    <row r="286" spans="1:8">
      <c r="C286" s="1336" t="s">
        <v>2958</v>
      </c>
      <c r="E286" s="91" t="s">
        <v>391</v>
      </c>
      <c r="F286" s="91" t="s">
        <v>375</v>
      </c>
      <c r="G286" s="91" t="s">
        <v>376</v>
      </c>
      <c r="H286" s="91" t="s">
        <v>377</v>
      </c>
    </row>
    <row r="287" spans="1:8">
      <c r="G287" s="524" t="s">
        <v>1869</v>
      </c>
      <c r="H287" s="524" t="s">
        <v>1870</v>
      </c>
    </row>
    <row r="288" spans="1:8">
      <c r="C288" s="575" t="s">
        <v>587</v>
      </c>
      <c r="H288" s="516" t="s">
        <v>1871</v>
      </c>
    </row>
    <row r="289" spans="1:8">
      <c r="C289" s="575" t="s">
        <v>212</v>
      </c>
      <c r="E289" s="575" t="s">
        <v>411</v>
      </c>
      <c r="F289" s="575" t="s">
        <v>1749</v>
      </c>
      <c r="G289" s="575" t="s">
        <v>1087</v>
      </c>
      <c r="H289" s="575" t="s">
        <v>1243</v>
      </c>
    </row>
    <row r="290" spans="1:8">
      <c r="C290" s="25" t="s">
        <v>211</v>
      </c>
      <c r="D290" s="25" t="s">
        <v>212</v>
      </c>
      <c r="E290" s="3" t="s">
        <v>1750</v>
      </c>
      <c r="F290" s="3" t="s">
        <v>1197</v>
      </c>
      <c r="G290" s="3" t="s">
        <v>3</v>
      </c>
      <c r="H290" s="3" t="s">
        <v>1745</v>
      </c>
    </row>
    <row r="291" spans="1:8">
      <c r="A291" s="575">
        <f>A284+1</f>
        <v>171</v>
      </c>
      <c r="C291" s="554" t="s">
        <v>199</v>
      </c>
      <c r="D291" s="199">
        <v>2017</v>
      </c>
      <c r="E291" s="116">
        <v>0</v>
      </c>
      <c r="F291" s="116">
        <v>0</v>
      </c>
      <c r="G291" s="7">
        <f t="shared" ref="G291:G303" si="37">E291-F291</f>
        <v>0</v>
      </c>
      <c r="H291" s="7">
        <f>E291-E291</f>
        <v>0</v>
      </c>
    </row>
    <row r="292" spans="1:8">
      <c r="A292" s="575">
        <f>A291+1</f>
        <v>172</v>
      </c>
      <c r="C292" s="554" t="s">
        <v>200</v>
      </c>
      <c r="D292" s="157">
        <v>2018</v>
      </c>
      <c r="E292" s="116">
        <v>0</v>
      </c>
      <c r="F292" s="116">
        <v>0</v>
      </c>
      <c r="G292" s="7">
        <f t="shared" si="37"/>
        <v>0</v>
      </c>
      <c r="H292" s="7">
        <f>E292-E291</f>
        <v>0</v>
      </c>
    </row>
    <row r="293" spans="1:8">
      <c r="A293" s="575">
        <f t="shared" ref="A293:A303" si="38">A292+1</f>
        <v>173</v>
      </c>
      <c r="C293" s="552" t="s">
        <v>201</v>
      </c>
      <c r="D293" s="157">
        <v>2018</v>
      </c>
      <c r="E293" s="116">
        <v>0</v>
      </c>
      <c r="F293" s="116">
        <v>0</v>
      </c>
      <c r="G293" s="7">
        <f t="shared" si="37"/>
        <v>0</v>
      </c>
      <c r="H293" s="7">
        <f t="shared" ref="H293:H303" si="39">E293-E292</f>
        <v>0</v>
      </c>
    </row>
    <row r="294" spans="1:8">
      <c r="A294" s="575">
        <f t="shared" si="38"/>
        <v>174</v>
      </c>
      <c r="C294" s="552" t="s">
        <v>214</v>
      </c>
      <c r="D294" s="157">
        <v>2018</v>
      </c>
      <c r="E294" s="116">
        <v>0</v>
      </c>
      <c r="F294" s="116">
        <v>0</v>
      </c>
      <c r="G294" s="7">
        <f t="shared" si="37"/>
        <v>0</v>
      </c>
      <c r="H294" s="7">
        <f t="shared" si="39"/>
        <v>0</v>
      </c>
    </row>
    <row r="295" spans="1:8">
      <c r="A295" s="575">
        <f t="shared" si="38"/>
        <v>175</v>
      </c>
      <c r="C295" s="554" t="s">
        <v>202</v>
      </c>
      <c r="D295" s="157">
        <v>2018</v>
      </c>
      <c r="E295" s="116">
        <v>0</v>
      </c>
      <c r="F295" s="116">
        <v>0</v>
      </c>
      <c r="G295" s="7">
        <f t="shared" si="37"/>
        <v>0</v>
      </c>
      <c r="H295" s="7">
        <f t="shared" si="39"/>
        <v>0</v>
      </c>
    </row>
    <row r="296" spans="1:8">
      <c r="A296" s="575">
        <f t="shared" si="38"/>
        <v>176</v>
      </c>
      <c r="C296" s="552" t="s">
        <v>203</v>
      </c>
      <c r="D296" s="157">
        <v>2018</v>
      </c>
      <c r="E296" s="116">
        <v>0</v>
      </c>
      <c r="F296" s="116">
        <v>0</v>
      </c>
      <c r="G296" s="7">
        <f t="shared" si="37"/>
        <v>0</v>
      </c>
      <c r="H296" s="7">
        <f t="shared" si="39"/>
        <v>0</v>
      </c>
    </row>
    <row r="297" spans="1:8">
      <c r="A297" s="575">
        <f t="shared" si="38"/>
        <v>177</v>
      </c>
      <c r="C297" s="552" t="s">
        <v>204</v>
      </c>
      <c r="D297" s="157">
        <v>2018</v>
      </c>
      <c r="E297" s="116">
        <v>0</v>
      </c>
      <c r="F297" s="116">
        <v>0</v>
      </c>
      <c r="G297" s="7">
        <f t="shared" si="37"/>
        <v>0</v>
      </c>
      <c r="H297" s="7">
        <f t="shared" si="39"/>
        <v>0</v>
      </c>
    </row>
    <row r="298" spans="1:8">
      <c r="A298" s="575">
        <f t="shared" si="38"/>
        <v>178</v>
      </c>
      <c r="C298" s="554" t="s">
        <v>205</v>
      </c>
      <c r="D298" s="157">
        <v>2018</v>
      </c>
      <c r="E298" s="116">
        <v>0</v>
      </c>
      <c r="F298" s="116">
        <v>0</v>
      </c>
      <c r="G298" s="7">
        <f t="shared" si="37"/>
        <v>0</v>
      </c>
      <c r="H298" s="7">
        <f t="shared" si="39"/>
        <v>0</v>
      </c>
    </row>
    <row r="299" spans="1:8">
      <c r="A299" s="575">
        <f t="shared" si="38"/>
        <v>179</v>
      </c>
      <c r="C299" s="552" t="s">
        <v>206</v>
      </c>
      <c r="D299" s="157">
        <v>2018</v>
      </c>
      <c r="E299" s="116">
        <v>0</v>
      </c>
      <c r="F299" s="116">
        <v>0</v>
      </c>
      <c r="G299" s="7">
        <f t="shared" si="37"/>
        <v>0</v>
      </c>
      <c r="H299" s="7">
        <f t="shared" si="39"/>
        <v>0</v>
      </c>
    </row>
    <row r="300" spans="1:8">
      <c r="A300" s="575">
        <f t="shared" si="38"/>
        <v>180</v>
      </c>
      <c r="C300" s="552" t="s">
        <v>207</v>
      </c>
      <c r="D300" s="157">
        <v>2018</v>
      </c>
      <c r="E300" s="116">
        <v>0</v>
      </c>
      <c r="F300" s="116">
        <v>0</v>
      </c>
      <c r="G300" s="7">
        <f t="shared" si="37"/>
        <v>0</v>
      </c>
      <c r="H300" s="7">
        <f t="shared" si="39"/>
        <v>0</v>
      </c>
    </row>
    <row r="301" spans="1:8">
      <c r="A301" s="575">
        <f t="shared" si="38"/>
        <v>181</v>
      </c>
      <c r="C301" s="554" t="s">
        <v>208</v>
      </c>
      <c r="D301" s="157">
        <v>2018</v>
      </c>
      <c r="E301" s="116">
        <v>0</v>
      </c>
      <c r="F301" s="116">
        <v>0</v>
      </c>
      <c r="G301" s="7">
        <f t="shared" si="37"/>
        <v>0</v>
      </c>
      <c r="H301" s="7">
        <f t="shared" si="39"/>
        <v>0</v>
      </c>
    </row>
    <row r="302" spans="1:8">
      <c r="A302" s="575">
        <f t="shared" si="38"/>
        <v>182</v>
      </c>
      <c r="C302" s="554" t="s">
        <v>209</v>
      </c>
      <c r="D302" s="157">
        <v>2018</v>
      </c>
      <c r="E302" s="116">
        <v>0</v>
      </c>
      <c r="F302" s="116">
        <v>0</v>
      </c>
      <c r="G302" s="7">
        <f t="shared" si="37"/>
        <v>0</v>
      </c>
      <c r="H302" s="7">
        <f t="shared" si="39"/>
        <v>0</v>
      </c>
    </row>
    <row r="303" spans="1:8">
      <c r="A303" s="575">
        <f t="shared" si="38"/>
        <v>183</v>
      </c>
      <c r="C303" s="554" t="s">
        <v>199</v>
      </c>
      <c r="D303" s="157">
        <v>2018</v>
      </c>
      <c r="E303" s="116">
        <v>0</v>
      </c>
      <c r="F303" s="116">
        <v>0</v>
      </c>
      <c r="G303" s="7">
        <f t="shared" si="37"/>
        <v>0</v>
      </c>
      <c r="H303" s="7">
        <f t="shared" si="39"/>
        <v>0</v>
      </c>
    </row>
    <row r="305" spans="1:8" s="1158" customFormat="1">
      <c r="C305" s="1337" t="s">
        <v>2967</v>
      </c>
      <c r="E305" s="91" t="s">
        <v>391</v>
      </c>
      <c r="F305" s="91" t="s">
        <v>375</v>
      </c>
      <c r="G305" s="91" t="s">
        <v>376</v>
      </c>
      <c r="H305" s="91" t="s">
        <v>377</v>
      </c>
    </row>
    <row r="306" spans="1:8" s="1158" customFormat="1">
      <c r="G306" s="524" t="s">
        <v>1869</v>
      </c>
      <c r="H306" s="524" t="s">
        <v>1870</v>
      </c>
    </row>
    <row r="307" spans="1:8" s="1158" customFormat="1">
      <c r="C307" s="635" t="s">
        <v>587</v>
      </c>
      <c r="H307" s="516" t="s">
        <v>1871</v>
      </c>
    </row>
    <row r="308" spans="1:8" s="1158" customFormat="1">
      <c r="C308" s="635" t="s">
        <v>212</v>
      </c>
      <c r="E308" s="635" t="s">
        <v>411</v>
      </c>
      <c r="F308" s="635" t="s">
        <v>1749</v>
      </c>
      <c r="G308" s="635" t="s">
        <v>1087</v>
      </c>
      <c r="H308" s="635" t="s">
        <v>1243</v>
      </c>
    </row>
    <row r="309" spans="1:8" s="1158" customFormat="1">
      <c r="C309" s="698" t="s">
        <v>211</v>
      </c>
      <c r="D309" s="698" t="s">
        <v>212</v>
      </c>
      <c r="E309" s="3" t="s">
        <v>1750</v>
      </c>
      <c r="F309" s="3" t="s">
        <v>1197</v>
      </c>
      <c r="G309" s="3" t="s">
        <v>3</v>
      </c>
      <c r="H309" s="3" t="s">
        <v>1745</v>
      </c>
    </row>
    <row r="310" spans="1:8" s="1158" customFormat="1">
      <c r="A310" s="635">
        <f>A303+1</f>
        <v>184</v>
      </c>
      <c r="C310" s="699" t="s">
        <v>199</v>
      </c>
      <c r="D310" s="1338">
        <v>2017</v>
      </c>
      <c r="E310" s="1185">
        <v>0</v>
      </c>
      <c r="F310" s="1185">
        <v>0</v>
      </c>
      <c r="G310" s="7">
        <f t="shared" ref="G310:G322" si="40">E310-F310</f>
        <v>0</v>
      </c>
      <c r="H310" s="7">
        <f>E310-E310</f>
        <v>0</v>
      </c>
    </row>
    <row r="311" spans="1:8" s="1158" customFormat="1">
      <c r="A311" s="635">
        <f>A310+1</f>
        <v>185</v>
      </c>
      <c r="C311" s="699" t="s">
        <v>200</v>
      </c>
      <c r="D311" s="700">
        <v>2018</v>
      </c>
      <c r="E311" s="1185">
        <v>0</v>
      </c>
      <c r="F311" s="1185">
        <v>0</v>
      </c>
      <c r="G311" s="7">
        <f t="shared" si="40"/>
        <v>0</v>
      </c>
      <c r="H311" s="7">
        <f>E311-E310</f>
        <v>0</v>
      </c>
    </row>
    <row r="312" spans="1:8" s="1158" customFormat="1">
      <c r="A312" s="635">
        <f t="shared" ref="A312:A322" si="41">A311+1</f>
        <v>186</v>
      </c>
      <c r="C312" s="702" t="s">
        <v>201</v>
      </c>
      <c r="D312" s="700">
        <v>2018</v>
      </c>
      <c r="E312" s="1185">
        <v>0</v>
      </c>
      <c r="F312" s="1185">
        <v>0</v>
      </c>
      <c r="G312" s="7">
        <f t="shared" si="40"/>
        <v>0</v>
      </c>
      <c r="H312" s="7">
        <f t="shared" ref="H312:H322" si="42">E312-E311</f>
        <v>0</v>
      </c>
    </row>
    <row r="313" spans="1:8" s="1158" customFormat="1">
      <c r="A313" s="635">
        <f t="shared" si="41"/>
        <v>187</v>
      </c>
      <c r="C313" s="702" t="s">
        <v>214</v>
      </c>
      <c r="D313" s="700">
        <v>2018</v>
      </c>
      <c r="E313" s="1185">
        <v>0</v>
      </c>
      <c r="F313" s="1185">
        <v>0</v>
      </c>
      <c r="G313" s="7">
        <f t="shared" si="40"/>
        <v>0</v>
      </c>
      <c r="H313" s="7">
        <f t="shared" si="42"/>
        <v>0</v>
      </c>
    </row>
    <row r="314" spans="1:8" s="1158" customFormat="1">
      <c r="A314" s="635">
        <f t="shared" si="41"/>
        <v>188</v>
      </c>
      <c r="C314" s="699" t="s">
        <v>202</v>
      </c>
      <c r="D314" s="700">
        <v>2018</v>
      </c>
      <c r="E314" s="1185">
        <v>0</v>
      </c>
      <c r="F314" s="1185">
        <v>0</v>
      </c>
      <c r="G314" s="7">
        <f t="shared" si="40"/>
        <v>0</v>
      </c>
      <c r="H314" s="7">
        <f t="shared" si="42"/>
        <v>0</v>
      </c>
    </row>
    <row r="315" spans="1:8" s="1158" customFormat="1">
      <c r="A315" s="635">
        <f t="shared" si="41"/>
        <v>189</v>
      </c>
      <c r="C315" s="702" t="s">
        <v>203</v>
      </c>
      <c r="D315" s="700">
        <v>2018</v>
      </c>
      <c r="E315" s="1185">
        <v>0</v>
      </c>
      <c r="F315" s="1185">
        <v>0</v>
      </c>
      <c r="G315" s="7">
        <f t="shared" si="40"/>
        <v>0</v>
      </c>
      <c r="H315" s="7">
        <f t="shared" si="42"/>
        <v>0</v>
      </c>
    </row>
    <row r="316" spans="1:8" s="1158" customFormat="1">
      <c r="A316" s="635">
        <f t="shared" si="41"/>
        <v>190</v>
      </c>
      <c r="C316" s="702" t="s">
        <v>204</v>
      </c>
      <c r="D316" s="700">
        <v>2018</v>
      </c>
      <c r="E316" s="1185">
        <v>0</v>
      </c>
      <c r="F316" s="1185">
        <v>0</v>
      </c>
      <c r="G316" s="7">
        <f t="shared" si="40"/>
        <v>0</v>
      </c>
      <c r="H316" s="7">
        <f t="shared" si="42"/>
        <v>0</v>
      </c>
    </row>
    <row r="317" spans="1:8" s="1158" customFormat="1">
      <c r="A317" s="635">
        <f t="shared" si="41"/>
        <v>191</v>
      </c>
      <c r="C317" s="699" t="s">
        <v>205</v>
      </c>
      <c r="D317" s="700">
        <v>2018</v>
      </c>
      <c r="E317" s="1185">
        <v>0</v>
      </c>
      <c r="F317" s="1185">
        <v>0</v>
      </c>
      <c r="G317" s="7">
        <f t="shared" si="40"/>
        <v>0</v>
      </c>
      <c r="H317" s="7">
        <f t="shared" si="42"/>
        <v>0</v>
      </c>
    </row>
    <row r="318" spans="1:8" s="1158" customFormat="1">
      <c r="A318" s="635">
        <f t="shared" si="41"/>
        <v>192</v>
      </c>
      <c r="C318" s="702" t="s">
        <v>206</v>
      </c>
      <c r="D318" s="700">
        <v>2018</v>
      </c>
      <c r="E318" s="1185">
        <v>0</v>
      </c>
      <c r="F318" s="1185">
        <v>0</v>
      </c>
      <c r="G318" s="7">
        <f t="shared" si="40"/>
        <v>0</v>
      </c>
      <c r="H318" s="7">
        <f t="shared" si="42"/>
        <v>0</v>
      </c>
    </row>
    <row r="319" spans="1:8" s="1158" customFormat="1">
      <c r="A319" s="635">
        <f t="shared" si="41"/>
        <v>193</v>
      </c>
      <c r="C319" s="702" t="s">
        <v>207</v>
      </c>
      <c r="D319" s="700">
        <v>2018</v>
      </c>
      <c r="E319" s="1185">
        <v>0</v>
      </c>
      <c r="F319" s="1185">
        <v>0</v>
      </c>
      <c r="G319" s="7">
        <f t="shared" si="40"/>
        <v>0</v>
      </c>
      <c r="H319" s="7">
        <f t="shared" si="42"/>
        <v>0</v>
      </c>
    </row>
    <row r="320" spans="1:8" s="1158" customFormat="1">
      <c r="A320" s="635">
        <f t="shared" si="41"/>
        <v>194</v>
      </c>
      <c r="C320" s="699" t="s">
        <v>208</v>
      </c>
      <c r="D320" s="700">
        <v>2018</v>
      </c>
      <c r="E320" s="1185">
        <v>0</v>
      </c>
      <c r="F320" s="1185">
        <v>0</v>
      </c>
      <c r="G320" s="7">
        <f t="shared" si="40"/>
        <v>0</v>
      </c>
      <c r="H320" s="7">
        <f t="shared" si="42"/>
        <v>0</v>
      </c>
    </row>
    <row r="321" spans="1:10" s="1158" customFormat="1">
      <c r="A321" s="635">
        <f t="shared" si="41"/>
        <v>195</v>
      </c>
      <c r="C321" s="699" t="s">
        <v>209</v>
      </c>
      <c r="D321" s="700">
        <v>2018</v>
      </c>
      <c r="E321" s="1185">
        <v>0</v>
      </c>
      <c r="F321" s="1185">
        <v>0</v>
      </c>
      <c r="G321" s="7">
        <f t="shared" si="40"/>
        <v>0</v>
      </c>
      <c r="H321" s="7">
        <f t="shared" si="42"/>
        <v>0</v>
      </c>
    </row>
    <row r="322" spans="1:10" s="1158" customFormat="1">
      <c r="A322" s="635">
        <f t="shared" si="41"/>
        <v>196</v>
      </c>
      <c r="C322" s="699" t="s">
        <v>199</v>
      </c>
      <c r="D322" s="700">
        <v>2018</v>
      </c>
      <c r="E322" s="1185">
        <v>0</v>
      </c>
      <c r="F322" s="1185">
        <v>0</v>
      </c>
      <c r="G322" s="7">
        <f t="shared" si="40"/>
        <v>0</v>
      </c>
      <c r="H322" s="7">
        <f t="shared" si="42"/>
        <v>0</v>
      </c>
    </row>
    <row r="323" spans="1:10" s="14" customFormat="1">
      <c r="A323" s="120"/>
      <c r="C323" s="1339"/>
      <c r="D323" s="1340"/>
      <c r="E323" s="65"/>
      <c r="F323" s="65"/>
      <c r="G323" s="65"/>
      <c r="H323" s="65"/>
    </row>
    <row r="324" spans="1:10" s="14" customFormat="1">
      <c r="A324" s="120"/>
      <c r="C324" s="1339"/>
      <c r="D324" s="1340"/>
      <c r="E324" s="65"/>
      <c r="F324" s="65"/>
      <c r="G324" s="65"/>
      <c r="H324" s="65"/>
    </row>
    <row r="325" spans="1:10">
      <c r="B325" s="1"/>
      <c r="C325" s="1" t="s">
        <v>1754</v>
      </c>
      <c r="D325" s="513"/>
      <c r="E325" s="7"/>
    </row>
    <row r="326" spans="1:10">
      <c r="B326" s="1"/>
    </row>
    <row r="327" spans="1:10">
      <c r="C327" s="412" t="s">
        <v>1219</v>
      </c>
      <c r="D327" s="104"/>
      <c r="E327" s="104"/>
      <c r="F327" s="104"/>
      <c r="G327" s="203" t="s">
        <v>1221</v>
      </c>
      <c r="H327" s="104"/>
      <c r="I327" s="104"/>
      <c r="J327" s="104"/>
    </row>
    <row r="328" spans="1:10">
      <c r="A328" s="575">
        <f>A303+1</f>
        <v>184</v>
      </c>
      <c r="C328" s="581" t="s">
        <v>245</v>
      </c>
      <c r="D328" s="104"/>
      <c r="E328" s="413"/>
      <c r="F328" s="404" t="s">
        <v>246</v>
      </c>
      <c r="G328" s="525" t="s">
        <v>2699</v>
      </c>
      <c r="H328" s="104"/>
      <c r="I328" s="104"/>
      <c r="J328" s="104"/>
    </row>
    <row r="329" spans="1:10">
      <c r="A329" s="575">
        <f>A328+1</f>
        <v>185</v>
      </c>
      <c r="C329" s="403" t="s">
        <v>247</v>
      </c>
      <c r="D329" s="104"/>
      <c r="E329" s="414"/>
      <c r="F329" s="405">
        <v>7.4999999999999997E-3</v>
      </c>
      <c r="G329" s="525" t="s">
        <v>2700</v>
      </c>
      <c r="H329" s="104"/>
      <c r="I329" s="104"/>
      <c r="J329" s="104"/>
    </row>
    <row r="330" spans="1:10">
      <c r="A330" s="575">
        <f>A329+1</f>
        <v>186</v>
      </c>
      <c r="C330" s="403" t="s">
        <v>1218</v>
      </c>
      <c r="D330" s="104"/>
      <c r="E330" s="413"/>
      <c r="F330" s="404" t="s">
        <v>248</v>
      </c>
      <c r="G330" s="161" t="s">
        <v>2701</v>
      </c>
      <c r="H330" s="104"/>
      <c r="I330" s="104"/>
      <c r="J330" s="104"/>
    </row>
    <row r="331" spans="1:10">
      <c r="C331" s="104"/>
      <c r="D331" s="104"/>
      <c r="E331" s="413"/>
      <c r="F331" s="406"/>
      <c r="G331" s="104"/>
      <c r="H331" s="104"/>
      <c r="I331" s="104"/>
      <c r="J331" s="104"/>
    </row>
    <row r="332" spans="1:10">
      <c r="C332" s="412" t="s">
        <v>1220</v>
      </c>
      <c r="D332" s="104"/>
      <c r="E332" s="104"/>
      <c r="F332" s="406"/>
      <c r="G332" s="203" t="s">
        <v>1221</v>
      </c>
      <c r="H332" s="104"/>
      <c r="I332" s="104"/>
      <c r="J332" s="104"/>
    </row>
    <row r="333" spans="1:10">
      <c r="A333" s="575">
        <f>A330+1</f>
        <v>187</v>
      </c>
      <c r="C333" s="581" t="s">
        <v>245</v>
      </c>
      <c r="D333" s="104"/>
      <c r="E333" s="413"/>
      <c r="F333" s="404" t="s">
        <v>246</v>
      </c>
      <c r="G333" s="525" t="s">
        <v>2699</v>
      </c>
      <c r="H333" s="104"/>
      <c r="I333" s="104"/>
      <c r="J333" s="104"/>
    </row>
    <row r="334" spans="1:10">
      <c r="A334" s="575">
        <f>A333+1</f>
        <v>188</v>
      </c>
      <c r="C334" s="403" t="s">
        <v>247</v>
      </c>
      <c r="D334" s="104"/>
      <c r="E334" s="414"/>
      <c r="F334" s="405">
        <v>1.2500000000000001E-2</v>
      </c>
      <c r="G334" s="525" t="s">
        <v>2700</v>
      </c>
      <c r="H334" s="104"/>
      <c r="I334" s="104"/>
      <c r="J334" s="104"/>
    </row>
    <row r="335" spans="1:10">
      <c r="A335" s="575">
        <f>A334+1</f>
        <v>189</v>
      </c>
      <c r="C335" s="403" t="s">
        <v>1218</v>
      </c>
      <c r="D335" s="104"/>
      <c r="E335" s="413"/>
      <c r="F335" s="404" t="s">
        <v>246</v>
      </c>
      <c r="G335" s="525" t="s">
        <v>2702</v>
      </c>
      <c r="H335" s="104"/>
      <c r="I335" s="104"/>
      <c r="J335" s="104"/>
    </row>
    <row r="336" spans="1:10">
      <c r="C336" s="403"/>
      <c r="D336" s="104"/>
      <c r="E336" s="413"/>
      <c r="F336" s="404"/>
      <c r="G336" s="104"/>
      <c r="H336" s="104"/>
      <c r="I336" s="104"/>
      <c r="J336" s="104"/>
    </row>
    <row r="337" spans="1:10">
      <c r="C337" s="412" t="s">
        <v>1222</v>
      </c>
      <c r="D337" s="104"/>
      <c r="E337" s="525"/>
      <c r="F337" s="582"/>
      <c r="G337" s="203" t="s">
        <v>1221</v>
      </c>
      <c r="H337" s="104"/>
      <c r="I337" s="104"/>
      <c r="J337" s="104"/>
    </row>
    <row r="338" spans="1:10">
      <c r="A338" s="575">
        <f>A335+1</f>
        <v>190</v>
      </c>
      <c r="C338" s="581" t="s">
        <v>245</v>
      </c>
      <c r="D338" s="104"/>
      <c r="E338" s="413"/>
      <c r="F338" s="404" t="s">
        <v>246</v>
      </c>
      <c r="G338" s="525" t="s">
        <v>2699</v>
      </c>
      <c r="H338" s="104"/>
      <c r="I338" s="104"/>
      <c r="J338" s="104"/>
    </row>
    <row r="339" spans="1:10">
      <c r="A339" s="575">
        <f>A338+1</f>
        <v>191</v>
      </c>
      <c r="C339" s="403" t="s">
        <v>247</v>
      </c>
      <c r="D339" s="104"/>
      <c r="E339" s="414"/>
      <c r="F339" s="405">
        <v>0.01</v>
      </c>
      <c r="G339" s="525" t="s">
        <v>2703</v>
      </c>
      <c r="H339" s="104"/>
      <c r="I339" s="104"/>
      <c r="J339" s="104"/>
    </row>
    <row r="340" spans="1:10">
      <c r="A340" s="575">
        <f>A339+1</f>
        <v>192</v>
      </c>
      <c r="C340" s="403"/>
      <c r="D340" s="104"/>
      <c r="E340" s="414"/>
      <c r="F340" s="405"/>
      <c r="G340" s="525" t="s">
        <v>2704</v>
      </c>
      <c r="H340" s="104"/>
      <c r="I340" s="104"/>
      <c r="J340" s="104"/>
    </row>
    <row r="341" spans="1:10">
      <c r="A341" s="575">
        <f>A340+1</f>
        <v>193</v>
      </c>
      <c r="C341" s="403" t="s">
        <v>1218</v>
      </c>
      <c r="D341" s="104"/>
      <c r="E341" s="413"/>
      <c r="F341" s="404" t="s">
        <v>246</v>
      </c>
      <c r="G341" s="525" t="s">
        <v>2702</v>
      </c>
      <c r="H341" s="104"/>
      <c r="I341" s="104"/>
      <c r="J341" s="104"/>
    </row>
    <row r="342" spans="1:10">
      <c r="C342" s="403"/>
      <c r="D342" s="104"/>
      <c r="E342" s="413"/>
      <c r="F342" s="404"/>
      <c r="G342" s="104"/>
      <c r="H342" s="104"/>
      <c r="I342" s="104"/>
      <c r="J342" s="104"/>
    </row>
    <row r="343" spans="1:10">
      <c r="C343" s="412" t="s">
        <v>1223</v>
      </c>
      <c r="D343" s="104"/>
      <c r="E343" s="525"/>
      <c r="F343" s="582"/>
      <c r="G343" s="203" t="s">
        <v>1221</v>
      </c>
      <c r="H343" s="104"/>
      <c r="I343" s="104"/>
      <c r="J343" s="104"/>
    </row>
    <row r="344" spans="1:10">
      <c r="A344" s="575">
        <f>A341+1</f>
        <v>194</v>
      </c>
      <c r="C344" s="581" t="s">
        <v>245</v>
      </c>
      <c r="D344" s="104"/>
      <c r="E344" s="413"/>
      <c r="F344" s="1122" t="s">
        <v>248</v>
      </c>
      <c r="G344" s="525" t="s">
        <v>2705</v>
      </c>
      <c r="H344" s="104"/>
      <c r="I344" s="104"/>
      <c r="J344" s="104"/>
    </row>
    <row r="345" spans="1:10">
      <c r="A345" s="575">
        <f>A344+1</f>
        <v>195</v>
      </c>
      <c r="C345" s="581"/>
      <c r="D345" s="104"/>
      <c r="E345" s="413"/>
      <c r="F345" s="1122"/>
      <c r="G345" s="104" t="s">
        <v>2704</v>
      </c>
      <c r="H345" s="104"/>
      <c r="I345" s="104"/>
      <c r="J345" s="104"/>
    </row>
    <row r="346" spans="1:10">
      <c r="A346" s="575">
        <f>A345+1</f>
        <v>196</v>
      </c>
      <c r="C346" s="403" t="s">
        <v>247</v>
      </c>
      <c r="D346" s="104"/>
      <c r="E346" s="414"/>
      <c r="F346" s="1123">
        <v>0</v>
      </c>
      <c r="G346" s="525" t="s">
        <v>2706</v>
      </c>
      <c r="H346" s="104"/>
      <c r="I346" s="104"/>
      <c r="J346" s="104"/>
    </row>
    <row r="347" spans="1:10">
      <c r="A347" s="575">
        <f>A346+1</f>
        <v>197</v>
      </c>
      <c r="C347" s="403"/>
      <c r="D347" s="104"/>
      <c r="E347" s="414"/>
      <c r="F347" s="1123"/>
      <c r="G347" s="525" t="s">
        <v>2707</v>
      </c>
      <c r="H347" s="104"/>
      <c r="I347" s="104"/>
      <c r="J347" s="104"/>
    </row>
    <row r="348" spans="1:10">
      <c r="A348" s="575">
        <f>A347+1</f>
        <v>198</v>
      </c>
      <c r="C348" s="403" t="s">
        <v>1218</v>
      </c>
      <c r="D348" s="104"/>
      <c r="E348" s="413"/>
      <c r="F348" s="1122" t="s">
        <v>246</v>
      </c>
      <c r="G348" s="525" t="s">
        <v>2702</v>
      </c>
      <c r="H348" s="104"/>
      <c r="I348" s="104"/>
      <c r="J348" s="104"/>
    </row>
    <row r="349" spans="1:10">
      <c r="C349" s="403"/>
      <c r="D349" s="104"/>
      <c r="E349" s="413"/>
      <c r="F349" s="404"/>
      <c r="G349" s="104"/>
      <c r="H349" s="104"/>
      <c r="I349" s="104"/>
      <c r="J349" s="104"/>
    </row>
    <row r="350" spans="1:10">
      <c r="C350" s="412" t="s">
        <v>2959</v>
      </c>
      <c r="D350" s="104"/>
      <c r="E350" s="1160"/>
      <c r="F350" s="582"/>
      <c r="G350" s="203" t="s">
        <v>1221</v>
      </c>
      <c r="H350" s="104"/>
      <c r="I350" s="104"/>
      <c r="J350" s="104"/>
    </row>
    <row r="351" spans="1:10">
      <c r="A351" s="575">
        <f>A348+1</f>
        <v>199</v>
      </c>
      <c r="C351" s="581" t="s">
        <v>245</v>
      </c>
      <c r="D351" s="104"/>
      <c r="E351" s="413"/>
      <c r="F351" s="1131" t="s">
        <v>246</v>
      </c>
      <c r="G351" s="583" t="s">
        <v>2711</v>
      </c>
      <c r="H351" s="104"/>
      <c r="I351" s="104"/>
      <c r="J351" s="104"/>
    </row>
    <row r="352" spans="1:10">
      <c r="A352" s="575">
        <f>A351+1</f>
        <v>200</v>
      </c>
      <c r="C352" s="403" t="s">
        <v>247</v>
      </c>
      <c r="D352" s="104"/>
      <c r="E352" s="414"/>
      <c r="F352" s="1132">
        <v>0</v>
      </c>
      <c r="G352" s="1128" t="s">
        <v>86</v>
      </c>
      <c r="H352" s="104"/>
      <c r="I352" s="104"/>
      <c r="J352" s="104"/>
    </row>
    <row r="353" spans="1:10">
      <c r="A353" s="575">
        <f>A352+1</f>
        <v>201</v>
      </c>
      <c r="C353" s="403" t="s">
        <v>1218</v>
      </c>
      <c r="D353" s="104"/>
      <c r="E353" s="413"/>
      <c r="F353" s="1131" t="s">
        <v>246</v>
      </c>
      <c r="G353" s="583" t="s">
        <v>2711</v>
      </c>
      <c r="H353" s="104"/>
      <c r="I353" s="104"/>
      <c r="J353" s="104"/>
    </row>
    <row r="354" spans="1:10">
      <c r="C354" s="104"/>
      <c r="D354" s="104"/>
      <c r="E354" s="104"/>
      <c r="F354" s="1131"/>
      <c r="G354" s="104"/>
      <c r="H354" s="104"/>
      <c r="I354" s="104"/>
      <c r="J354" s="104"/>
    </row>
    <row r="355" spans="1:10">
      <c r="C355" s="412" t="s">
        <v>2960</v>
      </c>
      <c r="D355" s="104"/>
      <c r="E355" s="1160"/>
      <c r="F355" s="582"/>
      <c r="G355" s="203" t="s">
        <v>1221</v>
      </c>
      <c r="H355" s="104"/>
      <c r="I355" s="104"/>
      <c r="J355" s="104"/>
    </row>
    <row r="356" spans="1:10">
      <c r="A356" s="575">
        <f>A353+1</f>
        <v>202</v>
      </c>
      <c r="C356" s="581" t="s">
        <v>245</v>
      </c>
      <c r="D356" s="104"/>
      <c r="E356" s="413"/>
      <c r="F356" s="1131" t="s">
        <v>246</v>
      </c>
      <c r="G356" s="583" t="s">
        <v>2711</v>
      </c>
      <c r="H356" s="104"/>
      <c r="I356" s="525"/>
      <c r="J356" s="525"/>
    </row>
    <row r="357" spans="1:10">
      <c r="A357" s="575">
        <f>A356+1</f>
        <v>203</v>
      </c>
      <c r="C357" s="403" t="s">
        <v>247</v>
      </c>
      <c r="D357" s="104"/>
      <c r="E357" s="414"/>
      <c r="F357" s="1132">
        <v>0</v>
      </c>
      <c r="G357" s="1128" t="s">
        <v>86</v>
      </c>
      <c r="H357" s="104"/>
      <c r="I357" s="525"/>
      <c r="J357" s="525"/>
    </row>
    <row r="358" spans="1:10">
      <c r="A358" s="575">
        <f>A357+1</f>
        <v>204</v>
      </c>
      <c r="C358" s="403" t="s">
        <v>1218</v>
      </c>
      <c r="D358" s="104"/>
      <c r="E358" s="413"/>
      <c r="F358" s="1131" t="s">
        <v>246</v>
      </c>
      <c r="G358" s="583" t="s">
        <v>2711</v>
      </c>
      <c r="H358" s="104"/>
      <c r="I358" s="525"/>
      <c r="J358" s="525"/>
    </row>
    <row r="359" spans="1:10">
      <c r="C359" s="403"/>
      <c r="D359" s="104"/>
      <c r="E359" s="414"/>
      <c r="F359" s="405"/>
      <c r="G359" s="525"/>
      <c r="H359" s="104"/>
      <c r="I359" s="525"/>
      <c r="J359" s="525"/>
    </row>
    <row r="360" spans="1:10">
      <c r="C360" s="412" t="s">
        <v>1224</v>
      </c>
      <c r="D360" s="104"/>
      <c r="E360" s="525"/>
      <c r="F360" s="582"/>
      <c r="G360" s="203" t="s">
        <v>1221</v>
      </c>
      <c r="H360" s="104"/>
      <c r="I360" s="525"/>
      <c r="J360" s="525"/>
    </row>
    <row r="361" spans="1:10">
      <c r="A361" s="575">
        <f>A358+1</f>
        <v>205</v>
      </c>
      <c r="C361" s="581" t="s">
        <v>245</v>
      </c>
      <c r="D361" s="104"/>
      <c r="E361" s="413"/>
      <c r="F361" s="1124" t="s">
        <v>246</v>
      </c>
      <c r="G361" s="525" t="s">
        <v>2708</v>
      </c>
      <c r="H361" s="104"/>
      <c r="I361" s="525"/>
      <c r="J361" s="525"/>
    </row>
    <row r="362" spans="1:10">
      <c r="A362" s="575">
        <f>A361+1</f>
        <v>206</v>
      </c>
      <c r="C362" s="403" t="s">
        <v>247</v>
      </c>
      <c r="D362" s="104"/>
      <c r="E362" s="414"/>
      <c r="F362" s="1125">
        <v>0</v>
      </c>
      <c r="G362" s="525" t="s">
        <v>2709</v>
      </c>
      <c r="H362" s="104"/>
      <c r="I362" s="525"/>
      <c r="J362" s="525"/>
    </row>
    <row r="363" spans="1:10">
      <c r="A363" s="575">
        <f>A362+1</f>
        <v>207</v>
      </c>
      <c r="C363" s="403" t="s">
        <v>1218</v>
      </c>
      <c r="D363" s="104"/>
      <c r="E363" s="413"/>
      <c r="F363" s="1124" t="s">
        <v>246</v>
      </c>
      <c r="G363" s="525" t="s">
        <v>2710</v>
      </c>
      <c r="H363" s="104"/>
      <c r="I363" s="525"/>
      <c r="J363" s="525"/>
    </row>
    <row r="364" spans="1:10">
      <c r="C364" s="104"/>
      <c r="D364" s="104"/>
      <c r="E364" s="104"/>
      <c r="F364" s="404"/>
      <c r="G364" s="104"/>
      <c r="H364" s="104"/>
      <c r="I364" s="104"/>
      <c r="J364" s="104"/>
    </row>
    <row r="365" spans="1:10">
      <c r="C365" s="412" t="s">
        <v>1225</v>
      </c>
      <c r="D365" s="104"/>
      <c r="E365" s="525"/>
      <c r="F365" s="582"/>
      <c r="G365" s="203" t="s">
        <v>1221</v>
      </c>
      <c r="H365" s="104"/>
      <c r="I365" s="104"/>
      <c r="J365" s="104"/>
    </row>
    <row r="366" spans="1:10">
      <c r="A366" s="575">
        <f>A363+1</f>
        <v>208</v>
      </c>
      <c r="C366" s="581" t="s">
        <v>245</v>
      </c>
      <c r="D366" s="104"/>
      <c r="E366" s="413"/>
      <c r="F366" s="1126" t="s">
        <v>246</v>
      </c>
      <c r="G366" s="583" t="s">
        <v>2711</v>
      </c>
      <c r="H366" s="104"/>
      <c r="I366" s="104"/>
      <c r="J366" s="104"/>
    </row>
    <row r="367" spans="1:10">
      <c r="A367" s="575">
        <f>A366+1</f>
        <v>209</v>
      </c>
      <c r="C367" s="403" t="s">
        <v>247</v>
      </c>
      <c r="D367" s="104"/>
      <c r="E367" s="414"/>
      <c r="F367" s="1127">
        <v>0</v>
      </c>
      <c r="G367" s="1128" t="s">
        <v>86</v>
      </c>
      <c r="H367" s="104"/>
      <c r="I367" s="104"/>
      <c r="J367" s="104"/>
    </row>
    <row r="368" spans="1:10">
      <c r="A368" s="575">
        <f>A367+1</f>
        <v>210</v>
      </c>
      <c r="C368" s="403" t="s">
        <v>1218</v>
      </c>
      <c r="D368" s="104"/>
      <c r="E368" s="413"/>
      <c r="F368" s="1126" t="s">
        <v>246</v>
      </c>
      <c r="G368" s="583" t="s">
        <v>2711</v>
      </c>
      <c r="H368" s="104"/>
      <c r="I368" s="104"/>
      <c r="J368" s="104"/>
    </row>
    <row r="369" spans="1:10">
      <c r="C369" s="104"/>
      <c r="D369" s="104"/>
      <c r="E369" s="104"/>
      <c r="F369" s="404"/>
      <c r="G369" s="104"/>
      <c r="H369" s="104"/>
      <c r="I369" s="104"/>
      <c r="J369" s="104"/>
    </row>
    <row r="370" spans="1:10">
      <c r="C370" s="412" t="s">
        <v>1226</v>
      </c>
      <c r="D370" s="104"/>
      <c r="E370" s="525"/>
      <c r="F370" s="582"/>
      <c r="G370" s="203" t="s">
        <v>1221</v>
      </c>
      <c r="H370" s="104"/>
      <c r="I370" s="104"/>
      <c r="J370" s="104"/>
    </row>
    <row r="371" spans="1:10">
      <c r="A371" s="575">
        <f>A368+1</f>
        <v>211</v>
      </c>
      <c r="C371" s="581" t="s">
        <v>245</v>
      </c>
      <c r="D371" s="104"/>
      <c r="E371" s="413"/>
      <c r="F371" s="1129" t="s">
        <v>246</v>
      </c>
      <c r="G371" s="583" t="s">
        <v>2711</v>
      </c>
      <c r="H371" s="104"/>
      <c r="I371" s="104"/>
      <c r="J371" s="104"/>
    </row>
    <row r="372" spans="1:10">
      <c r="A372" s="575">
        <f>A371+1</f>
        <v>212</v>
      </c>
      <c r="C372" s="403" t="s">
        <v>247</v>
      </c>
      <c r="D372" s="104"/>
      <c r="E372" s="414"/>
      <c r="F372" s="1130">
        <v>0</v>
      </c>
      <c r="G372" s="1128" t="s">
        <v>86</v>
      </c>
      <c r="H372" s="104"/>
      <c r="I372" s="104"/>
      <c r="J372" s="104"/>
    </row>
    <row r="373" spans="1:10">
      <c r="A373" s="575">
        <f>A372+1</f>
        <v>213</v>
      </c>
      <c r="C373" s="403" t="s">
        <v>1218</v>
      </c>
      <c r="D373" s="104"/>
      <c r="E373" s="413"/>
      <c r="F373" s="1129" t="s">
        <v>246</v>
      </c>
      <c r="G373" s="583" t="s">
        <v>2711</v>
      </c>
      <c r="H373" s="104"/>
      <c r="I373" s="104"/>
      <c r="J373" s="104"/>
    </row>
    <row r="374" spans="1:10">
      <c r="C374" s="104"/>
      <c r="D374" s="104"/>
      <c r="E374" s="104"/>
      <c r="F374" s="404"/>
      <c r="G374" s="104"/>
      <c r="H374" s="104"/>
      <c r="I374" s="104"/>
      <c r="J374" s="104"/>
    </row>
    <row r="375" spans="1:10">
      <c r="C375" s="407" t="s">
        <v>2961</v>
      </c>
      <c r="D375" s="104"/>
      <c r="E375" s="104"/>
      <c r="F375" s="104"/>
      <c r="G375" s="203" t="s">
        <v>1221</v>
      </c>
      <c r="H375" s="104"/>
      <c r="I375" s="104"/>
      <c r="J375" s="104"/>
    </row>
    <row r="376" spans="1:10">
      <c r="A376" s="575">
        <f>A373+1</f>
        <v>214</v>
      </c>
      <c r="C376" s="581" t="s">
        <v>245</v>
      </c>
      <c r="D376" s="104"/>
      <c r="E376" s="104"/>
      <c r="F376" s="1160" t="s">
        <v>246</v>
      </c>
      <c r="G376" s="1160" t="s">
        <v>2962</v>
      </c>
      <c r="H376" s="104"/>
      <c r="I376" s="104"/>
      <c r="J376" s="104"/>
    </row>
    <row r="377" spans="1:10">
      <c r="A377" s="575">
        <f>A376+1</f>
        <v>215</v>
      </c>
      <c r="C377" s="403" t="s">
        <v>247</v>
      </c>
      <c r="D377" s="104"/>
      <c r="E377" s="104"/>
      <c r="F377" s="1132">
        <v>0</v>
      </c>
      <c r="G377" s="1128" t="s">
        <v>86</v>
      </c>
      <c r="H377" s="104"/>
      <c r="I377" s="104"/>
      <c r="J377" s="104"/>
    </row>
    <row r="378" spans="1:10">
      <c r="A378" s="575">
        <f>A377+1</f>
        <v>216</v>
      </c>
      <c r="C378" s="403" t="s">
        <v>1218</v>
      </c>
      <c r="D378" s="104"/>
      <c r="E378" s="104"/>
      <c r="F378" s="1160" t="s">
        <v>248</v>
      </c>
      <c r="G378" s="1128" t="s">
        <v>86</v>
      </c>
      <c r="H378" s="104"/>
      <c r="I378" s="104"/>
      <c r="J378" s="104"/>
    </row>
    <row r="379" spans="1:10">
      <c r="C379" s="104"/>
      <c r="D379" s="104"/>
      <c r="E379" s="104"/>
      <c r="F379" s="104"/>
      <c r="G379" s="104"/>
      <c r="H379" s="104"/>
      <c r="I379" s="104"/>
      <c r="J379" s="104"/>
    </row>
    <row r="380" spans="1:10">
      <c r="C380" s="407" t="s">
        <v>2963</v>
      </c>
      <c r="D380" s="104"/>
      <c r="E380" s="104"/>
      <c r="F380" s="104"/>
      <c r="G380" s="203" t="s">
        <v>1221</v>
      </c>
      <c r="H380" s="104"/>
      <c r="I380" s="104"/>
      <c r="J380" s="104"/>
    </row>
    <row r="381" spans="1:10">
      <c r="A381" s="575">
        <f>A378+1</f>
        <v>217</v>
      </c>
      <c r="C381" s="581" t="s">
        <v>245</v>
      </c>
      <c r="D381" s="104"/>
      <c r="E381" s="104"/>
      <c r="F381" s="1160" t="s">
        <v>246</v>
      </c>
      <c r="G381" s="1160" t="s">
        <v>2962</v>
      </c>
      <c r="H381" s="104"/>
      <c r="I381" s="104"/>
      <c r="J381" s="104"/>
    </row>
    <row r="382" spans="1:10">
      <c r="A382" s="575">
        <f>A381+1</f>
        <v>218</v>
      </c>
      <c r="C382" s="403" t="s">
        <v>247</v>
      </c>
      <c r="D382" s="104"/>
      <c r="E382" s="104"/>
      <c r="F382" s="1132">
        <v>0</v>
      </c>
      <c r="G382" s="1128" t="s">
        <v>86</v>
      </c>
      <c r="H382" s="104"/>
      <c r="I382" s="104"/>
      <c r="J382" s="104"/>
    </row>
    <row r="383" spans="1:10">
      <c r="A383" s="575">
        <f>A382+1</f>
        <v>219</v>
      </c>
      <c r="C383" s="403" t="s">
        <v>1218</v>
      </c>
      <c r="D383" s="104"/>
      <c r="E383" s="104"/>
      <c r="F383" s="1160" t="s">
        <v>246</v>
      </c>
      <c r="G383" s="1160" t="s">
        <v>2964</v>
      </c>
      <c r="H383" s="104"/>
      <c r="I383" s="104"/>
      <c r="J383" s="104"/>
    </row>
    <row r="384" spans="1:10">
      <c r="C384" s="104"/>
      <c r="D384" s="104"/>
      <c r="E384" s="104"/>
      <c r="F384" s="104"/>
      <c r="G384" s="104"/>
      <c r="H384" s="104"/>
      <c r="I384" s="104"/>
      <c r="J384" s="104"/>
    </row>
    <row r="385" spans="1:10" s="1158" customFormat="1">
      <c r="C385" s="407" t="s">
        <v>2965</v>
      </c>
      <c r="D385" s="104"/>
      <c r="E385" s="104"/>
      <c r="F385" s="104"/>
      <c r="G385" s="203" t="s">
        <v>1221</v>
      </c>
      <c r="H385" s="104"/>
      <c r="I385" s="104"/>
      <c r="J385" s="104"/>
    </row>
    <row r="386" spans="1:10" s="1158" customFormat="1">
      <c r="A386" s="635">
        <f>A383+1</f>
        <v>220</v>
      </c>
      <c r="C386" s="581" t="s">
        <v>245</v>
      </c>
      <c r="D386" s="104"/>
      <c r="E386" s="104"/>
      <c r="F386" s="1160" t="s">
        <v>246</v>
      </c>
      <c r="G386" s="1160" t="s">
        <v>2962</v>
      </c>
      <c r="H386" s="104"/>
      <c r="I386" s="104"/>
      <c r="J386" s="104"/>
    </row>
    <row r="387" spans="1:10" s="1158" customFormat="1">
      <c r="A387" s="635">
        <f>A386+1</f>
        <v>221</v>
      </c>
      <c r="C387" s="403" t="s">
        <v>247</v>
      </c>
      <c r="D387" s="104"/>
      <c r="E387" s="104"/>
      <c r="F387" s="1132">
        <v>0</v>
      </c>
      <c r="G387" s="1128" t="s">
        <v>86</v>
      </c>
      <c r="H387" s="104"/>
      <c r="I387" s="104"/>
      <c r="J387" s="104"/>
    </row>
    <row r="388" spans="1:10" s="1158" customFormat="1">
      <c r="A388" s="635">
        <f>A387+1</f>
        <v>222</v>
      </c>
      <c r="C388" s="403" t="s">
        <v>1218</v>
      </c>
      <c r="D388" s="104"/>
      <c r="E388" s="104"/>
      <c r="F388" s="1160" t="s">
        <v>246</v>
      </c>
      <c r="G388" s="1160" t="s">
        <v>2964</v>
      </c>
      <c r="H388" s="104"/>
      <c r="I388" s="104"/>
      <c r="J388" s="104"/>
    </row>
    <row r="389" spans="1:10" s="1158" customFormat="1">
      <c r="A389" s="635"/>
      <c r="C389" s="403"/>
      <c r="D389" s="104"/>
      <c r="E389" s="104"/>
      <c r="F389" s="1160"/>
      <c r="G389" s="1160"/>
      <c r="H389" s="104"/>
      <c r="I389" s="104"/>
      <c r="J389" s="104"/>
    </row>
    <row r="390" spans="1:10">
      <c r="C390" s="407" t="s">
        <v>2966</v>
      </c>
      <c r="D390" s="104"/>
      <c r="E390" s="104"/>
      <c r="F390" s="104"/>
      <c r="G390" s="203" t="s">
        <v>1221</v>
      </c>
      <c r="H390" s="104"/>
      <c r="I390" s="104"/>
      <c r="J390" s="104"/>
    </row>
    <row r="391" spans="1:10">
      <c r="A391" s="575">
        <f>A388+1</f>
        <v>223</v>
      </c>
      <c r="C391" s="581" t="s">
        <v>245</v>
      </c>
      <c r="D391" s="104"/>
      <c r="E391" s="104"/>
      <c r="F391" s="104"/>
      <c r="G391" s="104"/>
      <c r="H391" s="104"/>
      <c r="I391" s="104"/>
      <c r="J391" s="104"/>
    </row>
    <row r="392" spans="1:10">
      <c r="A392" s="575">
        <f>A391+1</f>
        <v>224</v>
      </c>
      <c r="C392" s="403" t="s">
        <v>247</v>
      </c>
      <c r="D392" s="104"/>
      <c r="E392" s="104"/>
      <c r="F392" s="104"/>
      <c r="G392" s="104"/>
      <c r="H392" s="104"/>
      <c r="I392" s="104"/>
      <c r="J392" s="104"/>
    </row>
    <row r="393" spans="1:10">
      <c r="A393" s="575">
        <f>A392+1</f>
        <v>225</v>
      </c>
      <c r="C393" s="403" t="s">
        <v>1218</v>
      </c>
      <c r="D393" s="104"/>
      <c r="E393" s="104"/>
      <c r="F393" s="104"/>
      <c r="G393" s="104"/>
      <c r="H393" s="104"/>
      <c r="I393" s="104"/>
      <c r="J393" s="104"/>
    </row>
    <row r="394" spans="1:10">
      <c r="C394" s="408" t="s">
        <v>561</v>
      </c>
    </row>
    <row r="396" spans="1:10">
      <c r="B396" s="409" t="s">
        <v>417</v>
      </c>
    </row>
    <row r="397" spans="1:10">
      <c r="C397" s="515" t="s">
        <v>1320</v>
      </c>
    </row>
    <row r="398" spans="1:10">
      <c r="C398" t="s">
        <v>1227</v>
      </c>
    </row>
  </sheetData>
  <phoneticPr fontId="23" type="noConversion"/>
  <pageMargins left="0.75" right="0.75" top="1" bottom="1" header="0.5" footer="0.5"/>
  <pageSetup scale="68" orientation="portrait" cellComments="asDisplayed" r:id="rId1"/>
  <headerFooter alignWithMargins="0">
    <oddHeader>&amp;CSchedule 14
Incentive Plant
&amp;RTO2019 Draft Annual Update
Attachment 5
TO13 True Up TRR</oddHeader>
    <oddFooter>&amp;R&amp;A</oddFooter>
  </headerFooter>
  <rowBreaks count="5" manualBreakCount="5">
    <brk id="67" max="16383" man="1"/>
    <brk id="132" max="16383" man="1"/>
    <brk id="190" max="16383" man="1"/>
    <brk id="247" max="16383" man="1"/>
    <brk id="3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167</v>
      </c>
      <c r="B1" s="1"/>
    </row>
    <row r="2" spans="1:9">
      <c r="A2" s="1"/>
      <c r="B2" s="1"/>
      <c r="G2" s="102" t="s">
        <v>272</v>
      </c>
      <c r="H2" s="102"/>
    </row>
    <row r="3" spans="1:9">
      <c r="A3" s="1"/>
      <c r="B3" s="12" t="s">
        <v>1072</v>
      </c>
    </row>
    <row r="4" spans="1:9">
      <c r="A4" s="1"/>
      <c r="B4" s="13" t="s">
        <v>1073</v>
      </c>
    </row>
    <row r="5" spans="1:9">
      <c r="A5" s="1"/>
      <c r="B5" s="519" t="s">
        <v>1686</v>
      </c>
    </row>
    <row r="7" spans="1:9" ht="13.5" customHeight="1">
      <c r="B7" s="1" t="s">
        <v>300</v>
      </c>
    </row>
    <row r="8" spans="1:9">
      <c r="A8" s="1"/>
      <c r="B8" s="1"/>
    </row>
    <row r="9" spans="1:9">
      <c r="A9" s="1"/>
      <c r="B9" s="1"/>
      <c r="C9" s="12" t="s">
        <v>326</v>
      </c>
    </row>
    <row r="10" spans="1:9">
      <c r="A10" s="1"/>
      <c r="B10" s="1"/>
      <c r="C10" s="12" t="s">
        <v>1240</v>
      </c>
    </row>
    <row r="11" spans="1:9">
      <c r="A11" s="1"/>
      <c r="B11" s="1"/>
      <c r="C11" s="12"/>
    </row>
    <row r="12" spans="1:9">
      <c r="A12" s="1"/>
      <c r="B12" s="1"/>
      <c r="C12" s="515" t="s">
        <v>1654</v>
      </c>
    </row>
    <row r="13" spans="1:9">
      <c r="A13" s="1"/>
      <c r="B13" s="1"/>
    </row>
    <row r="14" spans="1:9">
      <c r="A14" s="53" t="s">
        <v>360</v>
      </c>
      <c r="B14" s="1"/>
      <c r="C14" s="12" t="s">
        <v>396</v>
      </c>
      <c r="G14" s="128" t="s">
        <v>190</v>
      </c>
      <c r="I14" s="3" t="s">
        <v>198</v>
      </c>
    </row>
    <row r="15" spans="1:9">
      <c r="A15" s="120">
        <v>1</v>
      </c>
      <c r="B15" s="45"/>
      <c r="C15" s="47" t="s">
        <v>397</v>
      </c>
      <c r="D15" s="14"/>
      <c r="E15" s="14"/>
      <c r="F15" s="14"/>
      <c r="G15" s="72">
        <f>'1-BaseTRR'!K80</f>
        <v>0.48612884227830672</v>
      </c>
      <c r="H15" s="14"/>
      <c r="I15" s="15" t="str">
        <f>"1-BaseTRR, L "&amp;'1-BaseTRR'!A80&amp;""</f>
        <v>1-BaseTRR, L 46</v>
      </c>
    </row>
    <row r="16" spans="1:9">
      <c r="A16" s="120">
        <v>2</v>
      </c>
      <c r="B16" s="45"/>
      <c r="C16" s="47" t="s">
        <v>242</v>
      </c>
      <c r="D16" s="14"/>
      <c r="E16" s="14"/>
      <c r="F16" s="14"/>
      <c r="G16" s="72">
        <f>'1-BaseTRR'!K102</f>
        <v>0.40745999999999999</v>
      </c>
      <c r="H16" s="14"/>
      <c r="I16" s="15" t="str">
        <f>"1-BaseTRR, L "&amp;'1-BaseTRR'!A102&amp;""</f>
        <v>1-BaseTRR, L 58</v>
      </c>
    </row>
    <row r="17" spans="1:9">
      <c r="A17" s="120">
        <v>3</v>
      </c>
      <c r="B17" s="45"/>
      <c r="C17" s="14"/>
      <c r="D17" s="14"/>
      <c r="E17" s="14"/>
      <c r="F17" s="385" t="s">
        <v>542</v>
      </c>
      <c r="G17" s="65">
        <f>G15*(1/(1-G16))* 10000</f>
        <v>8204.1523319658863</v>
      </c>
      <c r="H17" s="14"/>
      <c r="I17" s="15" t="s">
        <v>398</v>
      </c>
    </row>
    <row r="18" spans="1:9">
      <c r="A18" s="14"/>
      <c r="B18" s="14"/>
      <c r="C18" s="14"/>
      <c r="D18" s="14"/>
      <c r="E18" s="14"/>
      <c r="F18" s="14"/>
      <c r="G18" s="14"/>
      <c r="H18" s="14"/>
      <c r="I18" s="14"/>
    </row>
    <row r="19" spans="1:9">
      <c r="A19" s="14"/>
      <c r="B19" s="45" t="s">
        <v>301</v>
      </c>
      <c r="C19" s="14"/>
      <c r="D19" s="14"/>
      <c r="E19" s="14"/>
      <c r="F19" s="14"/>
      <c r="G19" s="14"/>
      <c r="H19" s="14"/>
      <c r="I19" s="14"/>
    </row>
    <row r="20" spans="1:9">
      <c r="A20" s="45"/>
      <c r="B20" s="45"/>
      <c r="C20" s="15" t="s">
        <v>331</v>
      </c>
      <c r="D20" s="14"/>
      <c r="E20" s="14"/>
      <c r="F20" s="14"/>
      <c r="G20" s="14"/>
      <c r="H20" s="14"/>
      <c r="I20" s="14"/>
    </row>
    <row r="21" spans="1:9">
      <c r="A21" s="45"/>
      <c r="B21" s="45"/>
      <c r="C21" s="15" t="s">
        <v>543</v>
      </c>
      <c r="D21" s="14"/>
      <c r="E21" s="14"/>
      <c r="F21" s="14"/>
      <c r="G21" s="14"/>
      <c r="H21" s="14"/>
      <c r="I21" s="14"/>
    </row>
    <row r="22" spans="1:9">
      <c r="A22" s="45"/>
      <c r="B22" s="45"/>
      <c r="C22" s="14"/>
      <c r="D22" s="14"/>
      <c r="E22" s="14"/>
      <c r="F22" s="14"/>
      <c r="G22" s="14"/>
      <c r="H22" s="14"/>
      <c r="I22" s="14"/>
    </row>
    <row r="23" spans="1:9">
      <c r="A23" s="45"/>
      <c r="B23" s="45"/>
      <c r="C23" s="14"/>
      <c r="D23" s="14"/>
      <c r="E23" s="14"/>
      <c r="F23" s="120" t="s">
        <v>303</v>
      </c>
      <c r="G23" s="14"/>
      <c r="H23" s="14"/>
      <c r="I23" s="14"/>
    </row>
    <row r="24" spans="1:9">
      <c r="A24" s="998" t="s">
        <v>360</v>
      </c>
      <c r="B24" s="998"/>
      <c r="C24" s="14"/>
      <c r="D24" s="14"/>
      <c r="E24" s="134" t="s">
        <v>9</v>
      </c>
      <c r="F24" s="134" t="s">
        <v>36</v>
      </c>
      <c r="G24" s="134" t="s">
        <v>198</v>
      </c>
      <c r="H24" s="14"/>
      <c r="I24" s="14"/>
    </row>
    <row r="25" spans="1:9">
      <c r="A25" s="120">
        <f>A17+1</f>
        <v>4</v>
      </c>
      <c r="B25" s="120"/>
      <c r="C25" s="14" t="s">
        <v>251</v>
      </c>
      <c r="D25" s="14"/>
      <c r="E25" s="85">
        <f>'14-IncentivePlant'!F329</f>
        <v>7.4999999999999997E-3</v>
      </c>
      <c r="F25" s="1043">
        <f>E25/0.01</f>
        <v>0.75</v>
      </c>
      <c r="G25" s="47" t="str">
        <f>"14-IncentivePlant, L "&amp;'14-IncentivePlant'!A329&amp;""</f>
        <v>14-IncentivePlant, L 185</v>
      </c>
      <c r="H25" s="14"/>
      <c r="I25" s="14"/>
    </row>
    <row r="26" spans="1:9">
      <c r="A26" s="120">
        <f>A25+1</f>
        <v>5</v>
      </c>
      <c r="B26" s="120"/>
      <c r="C26" s="14" t="s">
        <v>252</v>
      </c>
      <c r="D26" s="14"/>
      <c r="E26" s="85">
        <f>'14-IncentivePlant'!F334</f>
        <v>1.2500000000000001E-2</v>
      </c>
      <c r="F26" s="1043">
        <f>E26/0.01</f>
        <v>1.25</v>
      </c>
      <c r="G26" s="47" t="str">
        <f>"14-IncentivePlant, L "&amp;'14-IncentivePlant'!A334&amp;""</f>
        <v>14-IncentivePlant, L 188</v>
      </c>
      <c r="H26" s="14"/>
      <c r="I26" s="14"/>
    </row>
    <row r="27" spans="1:9">
      <c r="A27" s="120">
        <f>A26+1</f>
        <v>6</v>
      </c>
      <c r="B27" s="120"/>
      <c r="C27" s="517" t="s">
        <v>2676</v>
      </c>
      <c r="D27" s="14"/>
      <c r="E27" s="85">
        <f>'14-IncentivePlant'!F339</f>
        <v>0.01</v>
      </c>
      <c r="F27" s="1043">
        <f>E27/0.01</f>
        <v>1</v>
      </c>
      <c r="G27" s="47" t="str">
        <f>"14-IncentivePlant, L "&amp;'14-IncentivePlant'!A339&amp;""</f>
        <v>14-IncentivePlant, L 191</v>
      </c>
      <c r="H27" s="14"/>
      <c r="I27" s="14"/>
    </row>
    <row r="28" spans="1:9">
      <c r="A28" s="2">
        <f>A27+1</f>
        <v>7</v>
      </c>
      <c r="B28" s="2"/>
      <c r="C28" s="125"/>
      <c r="D28" s="104"/>
      <c r="E28" s="43"/>
      <c r="F28" s="105"/>
    </row>
    <row r="29" spans="1:9">
      <c r="A29" s="2">
        <f>A28+1</f>
        <v>8</v>
      </c>
      <c r="B29" s="2"/>
      <c r="C29" s="201" t="s">
        <v>561</v>
      </c>
      <c r="E29" s="43"/>
      <c r="F29" s="105"/>
    </row>
    <row r="31" spans="1:9">
      <c r="B31" s="1" t="s">
        <v>302</v>
      </c>
    </row>
    <row r="32" spans="1:9">
      <c r="A32" s="1"/>
      <c r="B32" s="1"/>
      <c r="C32" s="12" t="s">
        <v>1603</v>
      </c>
    </row>
    <row r="33" spans="1:9">
      <c r="A33" s="1"/>
      <c r="B33" s="1"/>
      <c r="C33" s="12" t="s">
        <v>544</v>
      </c>
    </row>
    <row r="34" spans="1:9">
      <c r="A34" s="1"/>
      <c r="B34" s="1"/>
      <c r="C34" s="12" t="s">
        <v>545</v>
      </c>
    </row>
    <row r="35" spans="1:9">
      <c r="E35" s="2"/>
      <c r="G35" s="2"/>
    </row>
    <row r="36" spans="1:9">
      <c r="E36" s="2" t="s">
        <v>73</v>
      </c>
      <c r="G36" s="2" t="s">
        <v>73</v>
      </c>
    </row>
    <row r="37" spans="1:9">
      <c r="E37" s="2" t="s">
        <v>8</v>
      </c>
      <c r="F37" s="2" t="s">
        <v>303</v>
      </c>
      <c r="G37" s="2" t="s">
        <v>8</v>
      </c>
    </row>
    <row r="38" spans="1:9">
      <c r="A38" s="53" t="s">
        <v>360</v>
      </c>
      <c r="B38" s="53"/>
      <c r="E38" s="3" t="s">
        <v>192</v>
      </c>
      <c r="F38" s="3" t="s">
        <v>36</v>
      </c>
      <c r="G38" s="3" t="s">
        <v>304</v>
      </c>
      <c r="H38" s="3" t="s">
        <v>198</v>
      </c>
    </row>
    <row r="39" spans="1:9">
      <c r="A39" s="2">
        <f>A29+1</f>
        <v>9</v>
      </c>
      <c r="B39" s="2"/>
      <c r="C39" t="s">
        <v>251</v>
      </c>
      <c r="E39" s="7">
        <f>'14-IncentivePlant'!E47</f>
        <v>150232042.80208787</v>
      </c>
      <c r="F39" s="105">
        <f>F25</f>
        <v>0.75</v>
      </c>
      <c r="G39" s="7">
        <f>(E39/1000000)*(F39*$G$17)</f>
        <v>924394.92321806098</v>
      </c>
      <c r="H39" s="47" t="str">
        <f>"14-IncentivePlant, L "&amp;'14-IncentivePlant'!A47&amp;", Col. 1"</f>
        <v>14-IncentivePlant, L 14, Col. 1</v>
      </c>
    </row>
    <row r="40" spans="1:9">
      <c r="A40" s="2">
        <f>A39+1</f>
        <v>10</v>
      </c>
      <c r="B40" s="2"/>
      <c r="C40" t="s">
        <v>252</v>
      </c>
      <c r="E40" s="7">
        <f>'14-IncentivePlant'!E48</f>
        <v>2728701252.9784455</v>
      </c>
      <c r="F40" s="105">
        <f>F26</f>
        <v>1.25</v>
      </c>
      <c r="G40" s="7">
        <f>(E40/1000000)*(F40*$G$17)</f>
        <v>27983350.934826691</v>
      </c>
      <c r="H40" s="47" t="str">
        <f>"14-IncentivePlant, L "&amp;'14-IncentivePlant'!A48&amp;", Col. 1"</f>
        <v>14-IncentivePlant, L 15, Col. 1</v>
      </c>
    </row>
    <row r="41" spans="1:9">
      <c r="A41" s="2">
        <f>A40+1</f>
        <v>11</v>
      </c>
      <c r="B41" s="2"/>
      <c r="C41" s="515" t="s">
        <v>2676</v>
      </c>
      <c r="E41" s="7">
        <f>'14-IncentivePlant'!E49</f>
        <v>687752339.98307264</v>
      </c>
      <c r="F41" s="105">
        <f>F27</f>
        <v>1</v>
      </c>
      <c r="G41" s="7">
        <f>(E41/1000000)*(F41*$G$17)</f>
        <v>5642424.9638871206</v>
      </c>
      <c r="H41" s="47" t="str">
        <f>"14-IncentivePlant, L "&amp;'14-IncentivePlant'!A49&amp;", Col. 1"</f>
        <v>14-IncentivePlant, L 16, Col. 1</v>
      </c>
    </row>
    <row r="42" spans="1:9">
      <c r="A42" s="2">
        <f>A41+1</f>
        <v>12</v>
      </c>
      <c r="B42" s="2"/>
      <c r="C42" s="125"/>
      <c r="D42" s="104"/>
      <c r="H42" s="14"/>
    </row>
    <row r="43" spans="1:9">
      <c r="A43" s="2">
        <f>A42+1</f>
        <v>13</v>
      </c>
      <c r="B43" s="2"/>
      <c r="C43" s="201" t="s">
        <v>561</v>
      </c>
      <c r="H43" s="14"/>
    </row>
    <row r="44" spans="1:9">
      <c r="A44" s="2">
        <f>A43+1</f>
        <v>14</v>
      </c>
      <c r="F44" s="37" t="s">
        <v>88</v>
      </c>
      <c r="G44" s="7">
        <f>SUM(G39:G42)</f>
        <v>34550170.821931869</v>
      </c>
      <c r="H44" s="514" t="s">
        <v>1876</v>
      </c>
    </row>
    <row r="45" spans="1:9">
      <c r="H45" s="514" t="s">
        <v>1877</v>
      </c>
      <c r="I45" s="7"/>
    </row>
    <row r="46" spans="1:9">
      <c r="B46" s="1" t="s">
        <v>1638</v>
      </c>
      <c r="H46" s="14"/>
    </row>
    <row r="47" spans="1:9">
      <c r="A47" s="1"/>
      <c r="B47" s="1"/>
      <c r="C47" s="515" t="s">
        <v>1639</v>
      </c>
      <c r="H47" s="14"/>
    </row>
    <row r="48" spans="1:9">
      <c r="A48" s="1"/>
      <c r="B48" s="1"/>
      <c r="C48" s="515" t="s">
        <v>1687</v>
      </c>
      <c r="H48" s="14"/>
    </row>
    <row r="49" spans="1:9">
      <c r="A49" s="1"/>
      <c r="B49" s="1"/>
      <c r="C49" s="515" t="s">
        <v>1875</v>
      </c>
      <c r="H49" s="14"/>
    </row>
    <row r="50" spans="1:9">
      <c r="H50" s="14"/>
    </row>
    <row r="51" spans="1:9">
      <c r="E51" s="2" t="s">
        <v>0</v>
      </c>
      <c r="G51" s="2" t="s">
        <v>0</v>
      </c>
      <c r="H51" s="14"/>
    </row>
    <row r="52" spans="1:9">
      <c r="E52" s="2" t="s">
        <v>8</v>
      </c>
      <c r="F52" s="2" t="s">
        <v>303</v>
      </c>
      <c r="G52" s="2" t="s">
        <v>8</v>
      </c>
      <c r="H52" s="14"/>
    </row>
    <row r="53" spans="1:9">
      <c r="A53" s="53" t="s">
        <v>360</v>
      </c>
      <c r="B53" s="53"/>
      <c r="E53" s="3" t="s">
        <v>1087</v>
      </c>
      <c r="F53" s="3" t="s">
        <v>36</v>
      </c>
      <c r="G53" s="3" t="s">
        <v>304</v>
      </c>
      <c r="H53" s="134" t="s">
        <v>198</v>
      </c>
    </row>
    <row r="54" spans="1:9">
      <c r="A54" s="2">
        <f>A44+1</f>
        <v>15</v>
      </c>
      <c r="B54" s="2"/>
      <c r="C54" t="s">
        <v>251</v>
      </c>
      <c r="E54" s="7">
        <f>'14-IncentivePlant'!E61</f>
        <v>152604253.61173245</v>
      </c>
      <c r="F54" s="105">
        <f>F25</f>
        <v>0.75</v>
      </c>
      <c r="G54" s="7">
        <f>(E54/1000000)*(F54*$G$17)</f>
        <v>938991.40735245612</v>
      </c>
      <c r="H54" s="47" t="str">
        <f>"14-IncentivePlant, L "&amp;'14-IncentivePlant'!A61&amp;", Col. 1"</f>
        <v>14-IncentivePlant, L 20, Col. 1</v>
      </c>
    </row>
    <row r="55" spans="1:9">
      <c r="A55" s="2">
        <f>A54+1</f>
        <v>16</v>
      </c>
      <c r="B55" s="2"/>
      <c r="C55" t="s">
        <v>252</v>
      </c>
      <c r="E55" s="7">
        <f>'14-IncentivePlant'!E62</f>
        <v>2756592235.1223397</v>
      </c>
      <c r="F55" s="105">
        <f>F26</f>
        <v>1.25</v>
      </c>
      <c r="G55" s="7">
        <f>(E55/1000000)*(F55*$G$17)</f>
        <v>28269378.2675725</v>
      </c>
      <c r="H55" s="47" t="str">
        <f>"14-IncentivePlant, L "&amp;'14-IncentivePlant'!A62&amp;", Col. 1"</f>
        <v>14-IncentivePlant, L 21, Col. 1</v>
      </c>
    </row>
    <row r="56" spans="1:9">
      <c r="A56" s="2">
        <f>A55+1</f>
        <v>17</v>
      </c>
      <c r="B56" s="2"/>
      <c r="C56" s="515" t="s">
        <v>2676</v>
      </c>
      <c r="E56" s="7">
        <f>'14-IncentivePlant'!E63</f>
        <v>697660501.26822519</v>
      </c>
      <c r="F56" s="105">
        <f>F27</f>
        <v>1</v>
      </c>
      <c r="G56" s="7">
        <f>(E56/1000000)*(F56*$G$17)</f>
        <v>5723713.0284001986</v>
      </c>
      <c r="H56" s="47" t="str">
        <f>"14-IncentivePlant, L "&amp;'14-IncentivePlant'!A63&amp;", Col. 1"</f>
        <v>14-IncentivePlant, L 22, Col. 1</v>
      </c>
    </row>
    <row r="57" spans="1:9">
      <c r="A57" s="2">
        <f>A56+1</f>
        <v>18</v>
      </c>
      <c r="B57" s="2"/>
      <c r="C57" s="125"/>
      <c r="D57" s="104"/>
    </row>
    <row r="58" spans="1:9">
      <c r="A58" s="2">
        <f>A57+1</f>
        <v>19</v>
      </c>
      <c r="B58" s="2"/>
      <c r="C58" s="201" t="s">
        <v>561</v>
      </c>
    </row>
    <row r="59" spans="1:9">
      <c r="A59" s="2">
        <f>A58+1</f>
        <v>20</v>
      </c>
      <c r="F59" s="513" t="s">
        <v>1640</v>
      </c>
      <c r="G59" s="7">
        <f>SUM(G54:G57)</f>
        <v>34932082.703325152</v>
      </c>
      <c r="H59" s="519" t="s">
        <v>1876</v>
      </c>
    </row>
    <row r="60" spans="1:9">
      <c r="H60" s="519" t="s">
        <v>1877</v>
      </c>
      <c r="I60" s="7"/>
    </row>
    <row r="61" spans="1:9">
      <c r="B61" s="1" t="s">
        <v>1702</v>
      </c>
    </row>
    <row r="63" spans="1:9">
      <c r="C63" s="1" t="s">
        <v>1703</v>
      </c>
    </row>
    <row r="65" spans="1:7">
      <c r="E65" s="545" t="s">
        <v>10</v>
      </c>
    </row>
    <row r="66" spans="1:7">
      <c r="C66" s="545" t="s">
        <v>8</v>
      </c>
      <c r="E66" s="545" t="s">
        <v>329</v>
      </c>
    </row>
    <row r="67" spans="1:7">
      <c r="A67" s="53" t="s">
        <v>360</v>
      </c>
      <c r="C67" s="3" t="s">
        <v>250</v>
      </c>
      <c r="E67" s="3" t="s">
        <v>3</v>
      </c>
      <c r="F67" s="3" t="s">
        <v>198</v>
      </c>
    </row>
    <row r="68" spans="1:7">
      <c r="A68" s="545">
        <f>A59+1</f>
        <v>21</v>
      </c>
      <c r="C68" t="s">
        <v>251</v>
      </c>
      <c r="E68" s="7">
        <f>'14-IncentivePlant'!G61</f>
        <v>152604253.61173245</v>
      </c>
      <c r="F68" s="514" t="str">
        <f>"14-IncentivePlant, L "&amp;'14-IncentivePlant'!A61&amp;", Col. 3"</f>
        <v>14-IncentivePlant, L 20, Col. 3</v>
      </c>
      <c r="G68" s="14"/>
    </row>
    <row r="69" spans="1:7">
      <c r="A69" s="545">
        <f t="shared" ref="A69:A71" si="0">A68+1</f>
        <v>22</v>
      </c>
      <c r="C69" t="s">
        <v>252</v>
      </c>
      <c r="E69" s="7">
        <f>'14-IncentivePlant'!G62</f>
        <v>2750697473.3677244</v>
      </c>
      <c r="F69" s="514" t="str">
        <f>"14-IncentivePlant, L "&amp;'14-IncentivePlant'!A62&amp;", Col. 3"</f>
        <v>14-IncentivePlant, L 21, Col. 3</v>
      </c>
      <c r="G69" s="14"/>
    </row>
    <row r="70" spans="1:7">
      <c r="A70" s="545">
        <f t="shared" si="0"/>
        <v>23</v>
      </c>
      <c r="C70" s="515" t="s">
        <v>2676</v>
      </c>
      <c r="E70" s="7">
        <f>'14-IncentivePlant'!G63</f>
        <v>697660501.26822519</v>
      </c>
      <c r="F70" s="514" t="str">
        <f>"14-IncentivePlant, L "&amp;'14-IncentivePlant'!A63&amp;", Col. 3"</f>
        <v>14-IncentivePlant, L 22, Col. 3</v>
      </c>
      <c r="G70" s="14"/>
    </row>
    <row r="71" spans="1:7">
      <c r="A71" s="545">
        <f t="shared" si="0"/>
        <v>24</v>
      </c>
      <c r="C71" s="125"/>
      <c r="F71" s="514"/>
      <c r="G71" s="14"/>
    </row>
    <row r="72" spans="1:7">
      <c r="C72" s="546" t="s">
        <v>561</v>
      </c>
      <c r="F72" s="14"/>
      <c r="G72" s="14"/>
    </row>
    <row r="73" spans="1:7">
      <c r="C73" s="546"/>
      <c r="F73" s="14"/>
      <c r="G73" s="14"/>
    </row>
    <row r="74" spans="1:7">
      <c r="C74" s="1" t="s">
        <v>1704</v>
      </c>
      <c r="F74" s="14"/>
      <c r="G74" s="14"/>
    </row>
    <row r="75" spans="1:7">
      <c r="C75" s="1"/>
      <c r="F75" s="14"/>
      <c r="G75" s="14"/>
    </row>
    <row r="76" spans="1:7">
      <c r="E76" s="3" t="s">
        <v>391</v>
      </c>
      <c r="F76" s="134" t="s">
        <v>375</v>
      </c>
      <c r="G76" s="14"/>
    </row>
    <row r="77" spans="1:7">
      <c r="E77" s="3"/>
      <c r="F77" s="120" t="s">
        <v>1705</v>
      </c>
      <c r="G77" s="14"/>
    </row>
    <row r="78" spans="1:7">
      <c r="E78" s="545" t="s">
        <v>307</v>
      </c>
      <c r="F78" s="120" t="s">
        <v>307</v>
      </c>
      <c r="G78" s="14"/>
    </row>
    <row r="79" spans="1:7">
      <c r="C79" s="545" t="s">
        <v>8</v>
      </c>
      <c r="E79" s="545" t="s">
        <v>8</v>
      </c>
      <c r="F79" s="120" t="s">
        <v>8</v>
      </c>
      <c r="G79" s="14"/>
    </row>
    <row r="80" spans="1:7">
      <c r="A80" s="53" t="s">
        <v>360</v>
      </c>
      <c r="C80" s="3" t="s">
        <v>250</v>
      </c>
      <c r="E80" s="3" t="s">
        <v>304</v>
      </c>
      <c r="F80" s="134" t="s">
        <v>304</v>
      </c>
      <c r="G80" s="134" t="s">
        <v>198</v>
      </c>
    </row>
    <row r="81" spans="1:7">
      <c r="A81" s="545">
        <f>A71+1</f>
        <v>25</v>
      </c>
      <c r="C81" t="s">
        <v>251</v>
      </c>
      <c r="E81" s="7">
        <f>(E68/1000000)*(F54*$G$17)</f>
        <v>938991.40735245612</v>
      </c>
      <c r="F81" s="65">
        <f>E81*(1-$G$16)</f>
        <v>556389.96851262439</v>
      </c>
      <c r="G81" s="514" t="s">
        <v>236</v>
      </c>
    </row>
    <row r="82" spans="1:7">
      <c r="A82" s="545">
        <f t="shared" ref="A82:A86" si="1">A81+1</f>
        <v>26</v>
      </c>
      <c r="C82" t="s">
        <v>252</v>
      </c>
      <c r="E82" s="7">
        <f>(E69/1000000)*(F55*$G$17)</f>
        <v>28208926.36332811</v>
      </c>
      <c r="F82" s="65">
        <f>E82*(1-$G$16)</f>
        <v>16714917.22732644</v>
      </c>
      <c r="G82" s="514" t="s">
        <v>236</v>
      </c>
    </row>
    <row r="83" spans="1:7">
      <c r="A83" s="545">
        <f t="shared" si="1"/>
        <v>27</v>
      </c>
      <c r="C83" s="515" t="s">
        <v>2676</v>
      </c>
      <c r="E83" s="7">
        <f>(E70/1000000)*(F56*$G$17)</f>
        <v>5723713.0284001986</v>
      </c>
      <c r="F83" s="65">
        <f>E83*(1-$G$16)</f>
        <v>3391528.9178482541</v>
      </c>
      <c r="G83" s="514" t="s">
        <v>236</v>
      </c>
    </row>
    <row r="84" spans="1:7">
      <c r="A84" s="545">
        <f t="shared" si="1"/>
        <v>28</v>
      </c>
      <c r="C84" s="125"/>
      <c r="E84" s="7"/>
      <c r="F84" s="65"/>
      <c r="G84" s="514" t="s">
        <v>236</v>
      </c>
    </row>
    <row r="85" spans="1:7">
      <c r="A85" s="545">
        <f t="shared" si="1"/>
        <v>29</v>
      </c>
      <c r="C85" s="546" t="s">
        <v>561</v>
      </c>
      <c r="E85" s="7"/>
      <c r="F85" s="65"/>
      <c r="G85" s="14"/>
    </row>
    <row r="86" spans="1:7">
      <c r="A86" s="545">
        <f t="shared" si="1"/>
        <v>30</v>
      </c>
      <c r="E86" s="513" t="s">
        <v>4</v>
      </c>
      <c r="F86" s="65">
        <f>SUM(F81:F85)</f>
        <v>20662836.113687318</v>
      </c>
      <c r="G86" s="14"/>
    </row>
    <row r="87" spans="1:7">
      <c r="F87" s="14"/>
      <c r="G87" s="14"/>
    </row>
    <row r="88" spans="1:7">
      <c r="C88" s="1" t="s">
        <v>1706</v>
      </c>
      <c r="F88" s="14"/>
      <c r="G88" s="14"/>
    </row>
    <row r="89" spans="1:7">
      <c r="A89" s="53" t="s">
        <v>360</v>
      </c>
      <c r="F89" s="134" t="s">
        <v>194</v>
      </c>
      <c r="G89" s="134" t="s">
        <v>198</v>
      </c>
    </row>
    <row r="90" spans="1:7">
      <c r="A90" s="545">
        <f>A86+1</f>
        <v>31</v>
      </c>
      <c r="E90" s="513" t="s">
        <v>1707</v>
      </c>
      <c r="F90" s="65">
        <f>'4-TUTRR'!J29</f>
        <v>5419646618.4806652</v>
      </c>
      <c r="G90" s="514" t="str">
        <f>"4-TUTRR, Line "&amp;'4-TUTRR'!A29&amp;""</f>
        <v>4-TUTRR, Line 17</v>
      </c>
    </row>
    <row r="91" spans="1:7">
      <c r="A91" s="545">
        <f t="shared" ref="A91:A94" si="2">A90+1</f>
        <v>32</v>
      </c>
      <c r="E91" s="513" t="s">
        <v>1708</v>
      </c>
      <c r="F91" s="121">
        <f>'4-TUTRR'!J24</f>
        <v>106441482.78769231</v>
      </c>
      <c r="G91" s="514" t="str">
        <f>"4-TUTRR, Line "&amp;'4-TUTRR'!A24&amp;""</f>
        <v>4-TUTRR, Line 14</v>
      </c>
    </row>
    <row r="92" spans="1:7">
      <c r="A92" s="545">
        <f t="shared" si="2"/>
        <v>33</v>
      </c>
      <c r="E92" s="513" t="s">
        <v>1709</v>
      </c>
      <c r="F92" s="65">
        <f>F90-F91</f>
        <v>5313205135.6929731</v>
      </c>
      <c r="G92" s="123" t="str">
        <f>"Line "&amp;A90&amp;" - Line "&amp;A91&amp;""</f>
        <v>Line 31 - Line 32</v>
      </c>
    </row>
    <row r="93" spans="1:7">
      <c r="A93" s="545">
        <f t="shared" si="2"/>
        <v>34</v>
      </c>
      <c r="E93" s="513" t="s">
        <v>1710</v>
      </c>
      <c r="F93" s="72">
        <f>'1-BaseTRR'!K80</f>
        <v>0.48612884227830672</v>
      </c>
      <c r="G93" s="514" t="str">
        <f>"1-BaseTRR, Line "&amp;'1-BaseTRR'!A80&amp;""</f>
        <v>1-BaseTRR, Line 46</v>
      </c>
    </row>
    <row r="94" spans="1:7">
      <c r="A94" s="545">
        <f t="shared" si="2"/>
        <v>35</v>
      </c>
      <c r="E94" s="513" t="s">
        <v>1711</v>
      </c>
      <c r="F94" s="7">
        <f>F92*F93</f>
        <v>2582902261.4015784</v>
      </c>
      <c r="G94" s="16" t="str">
        <f>"Line "&amp;A92&amp;" * Line "&amp;A93&amp;""</f>
        <v>Line 33 * Line 34</v>
      </c>
    </row>
    <row r="96" spans="1:7">
      <c r="C96" s="1" t="s">
        <v>1712</v>
      </c>
    </row>
    <row r="97" spans="1:8">
      <c r="A97" s="53" t="s">
        <v>360</v>
      </c>
    </row>
    <row r="98" spans="1:8">
      <c r="A98" s="545">
        <f>A94+1</f>
        <v>36</v>
      </c>
      <c r="E98" s="513" t="s">
        <v>1713</v>
      </c>
      <c r="F98" s="43">
        <f>F86/F94</f>
        <v>7.9998521130547531E-3</v>
      </c>
      <c r="G98" s="123" t="str">
        <f>"Line "&amp;A86&amp;" / Line "&amp;A94&amp;""</f>
        <v>Line 30 / Line 35</v>
      </c>
      <c r="H98" s="14"/>
    </row>
    <row r="99" spans="1:8">
      <c r="A99" s="545">
        <f t="shared" ref="A99:A101" si="3">A98+1</f>
        <v>37</v>
      </c>
      <c r="E99" s="513" t="s">
        <v>1714</v>
      </c>
      <c r="G99" s="14"/>
      <c r="H99" s="14"/>
    </row>
    <row r="100" spans="1:8">
      <c r="A100" s="545">
        <f t="shared" si="3"/>
        <v>38</v>
      </c>
      <c r="E100" s="513" t="s">
        <v>1715</v>
      </c>
      <c r="F100" s="547">
        <f>'1-BaseTRR'!K85</f>
        <v>9.8000000000000004E-2</v>
      </c>
      <c r="G100" s="514" t="str">
        <f>"1-BaseTRR, Line "&amp;'1-BaseTRR'!A85&amp;""</f>
        <v>1-BaseTRR, Line 49</v>
      </c>
      <c r="H100" s="14"/>
    </row>
    <row r="101" spans="1:8">
      <c r="A101" s="545">
        <f t="shared" si="3"/>
        <v>39</v>
      </c>
      <c r="E101" s="513" t="s">
        <v>1716</v>
      </c>
      <c r="F101" s="43">
        <f>F98+F100</f>
        <v>0.10599985211305475</v>
      </c>
      <c r="G101" s="123" t="str">
        <f>"Line "&amp;A98&amp;" + Line "&amp;A100&amp;""</f>
        <v>Line 36 + Line 38</v>
      </c>
      <c r="H101" s="14"/>
    </row>
    <row r="103" spans="1:8">
      <c r="B103" s="1" t="s">
        <v>417</v>
      </c>
    </row>
    <row r="104" spans="1:8">
      <c r="B104" s="515" t="s">
        <v>585</v>
      </c>
    </row>
    <row r="105" spans="1:8">
      <c r="B105" s="515" t="s">
        <v>586</v>
      </c>
    </row>
    <row r="107" spans="1:8">
      <c r="B107" s="1" t="s">
        <v>256</v>
      </c>
    </row>
    <row r="108" spans="1:8">
      <c r="B108" s="515" t="str">
        <f>"1) Column 1: The True Up Incentive Adder for each Incentive Project equals the IREF on Line "&amp;A17&amp;","</f>
        <v>1) Column 1: The True Up Incentive Adder for each Incentive Project equals the IREF on Line 3,</v>
      </c>
    </row>
    <row r="109" spans="1:8">
      <c r="B109" s="515" t="str">
        <f>"times the applicable Multiplicative Factor on Lines "&amp;A54&amp;" to "&amp;A57&amp;", times the million $ of"</f>
        <v>times the applicable Multiplicative Factor on Lines 15 to 18, times the million $ of</v>
      </c>
    </row>
    <row r="110" spans="1:8">
      <c r="B110" s="515" t="str">
        <f>"TIP Net Plant In Service on Lines "&amp;A68&amp;" to "&amp;A71&amp;"."</f>
        <v>TIP Net Plant In Service on Lines 21 to 24.</v>
      </c>
    </row>
    <row r="111" spans="1:8">
      <c r="B111" s="515" t="s">
        <v>1717</v>
      </c>
    </row>
    <row r="112" spans="1:8">
      <c r="B112" s="515"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 xml:space="preserve">&amp;CSchedule 15
Incentive Adders
&amp;RTO2019 Draft Annual Update
Attachment 5
TO13 True Up TRR
</oddHeader>
    <oddFooter>&amp;R&amp;A</oddFooter>
  </headerFooter>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1250</v>
      </c>
      <c r="C1" s="1"/>
    </row>
    <row r="3" spans="1:4">
      <c r="B3" s="3" t="s">
        <v>1251</v>
      </c>
      <c r="C3" s="3" t="s">
        <v>1324</v>
      </c>
      <c r="D3" s="411" t="s">
        <v>577</v>
      </c>
    </row>
    <row r="4" spans="1:4">
      <c r="B4" s="394" t="s">
        <v>1195</v>
      </c>
      <c r="C4" s="63"/>
      <c r="D4" s="12" t="s">
        <v>1253</v>
      </c>
    </row>
    <row r="5" spans="1:4">
      <c r="B5" s="659" t="s">
        <v>1252</v>
      </c>
      <c r="C5" s="63">
        <v>1</v>
      </c>
      <c r="D5" s="515" t="s">
        <v>2671</v>
      </c>
    </row>
    <row r="6" spans="1:4">
      <c r="B6" s="659" t="s">
        <v>1206</v>
      </c>
      <c r="C6" s="63">
        <v>2</v>
      </c>
      <c r="D6" s="12" t="s">
        <v>1260</v>
      </c>
    </row>
    <row r="7" spans="1:4">
      <c r="B7" s="659" t="s">
        <v>1207</v>
      </c>
      <c r="C7" s="63">
        <v>3</v>
      </c>
      <c r="D7" s="12" t="s">
        <v>1261</v>
      </c>
    </row>
    <row r="8" spans="1:4">
      <c r="B8" s="659" t="s">
        <v>1676</v>
      </c>
      <c r="C8" s="63">
        <v>4</v>
      </c>
      <c r="D8" s="515" t="s">
        <v>1677</v>
      </c>
    </row>
    <row r="9" spans="1:4">
      <c r="B9" s="659" t="s">
        <v>1196</v>
      </c>
      <c r="C9" s="63">
        <v>5</v>
      </c>
      <c r="D9" s="12" t="s">
        <v>1254</v>
      </c>
    </row>
    <row r="10" spans="1:4">
      <c r="B10" s="659" t="s">
        <v>1199</v>
      </c>
      <c r="C10" s="63">
        <v>6</v>
      </c>
      <c r="D10" s="12" t="s">
        <v>1257</v>
      </c>
    </row>
    <row r="11" spans="1:4">
      <c r="B11" s="659" t="s">
        <v>1200</v>
      </c>
      <c r="C11" s="63">
        <v>7</v>
      </c>
      <c r="D11" s="12" t="s">
        <v>1615</v>
      </c>
    </row>
    <row r="12" spans="1:4">
      <c r="B12" s="659" t="s">
        <v>1209</v>
      </c>
      <c r="C12" s="63">
        <v>8</v>
      </c>
      <c r="D12" s="12" t="s">
        <v>1262</v>
      </c>
    </row>
    <row r="13" spans="1:4">
      <c r="B13" s="659" t="s">
        <v>220</v>
      </c>
      <c r="C13" s="63">
        <v>9</v>
      </c>
      <c r="D13" s="12" t="s">
        <v>109</v>
      </c>
    </row>
    <row r="14" spans="1:4">
      <c r="B14" s="659" t="s">
        <v>1</v>
      </c>
      <c r="C14" s="63">
        <v>10</v>
      </c>
      <c r="D14" s="515" t="s">
        <v>2672</v>
      </c>
    </row>
    <row r="15" spans="1:4">
      <c r="B15" s="659" t="s">
        <v>1201</v>
      </c>
      <c r="C15" s="63">
        <v>11</v>
      </c>
      <c r="D15" s="12" t="s">
        <v>1309</v>
      </c>
    </row>
    <row r="16" spans="1:4">
      <c r="B16" s="659" t="s">
        <v>1202</v>
      </c>
      <c r="C16" s="63">
        <v>12</v>
      </c>
      <c r="D16" s="12" t="s">
        <v>1258</v>
      </c>
    </row>
    <row r="17" spans="2:4">
      <c r="B17" s="659" t="s">
        <v>1208</v>
      </c>
      <c r="C17" s="63">
        <v>13</v>
      </c>
      <c r="D17" s="12" t="s">
        <v>1272</v>
      </c>
    </row>
    <row r="18" spans="2:4">
      <c r="B18" s="659" t="s">
        <v>1203</v>
      </c>
      <c r="C18" s="63">
        <v>14</v>
      </c>
      <c r="D18" s="12" t="s">
        <v>1259</v>
      </c>
    </row>
    <row r="19" spans="2:4">
      <c r="B19" s="659" t="s">
        <v>1204</v>
      </c>
      <c r="C19" s="63">
        <v>15</v>
      </c>
      <c r="D19" s="515" t="s">
        <v>1908</v>
      </c>
    </row>
    <row r="20" spans="2:4">
      <c r="B20" s="659" t="s">
        <v>1205</v>
      </c>
      <c r="C20" s="63">
        <v>16</v>
      </c>
      <c r="D20" s="12" t="s">
        <v>1317</v>
      </c>
    </row>
    <row r="21" spans="2:4">
      <c r="B21" s="659" t="s">
        <v>1197</v>
      </c>
      <c r="C21" s="63">
        <v>17</v>
      </c>
      <c r="D21" s="12" t="s">
        <v>1255</v>
      </c>
    </row>
    <row r="22" spans="2:4">
      <c r="B22" s="659" t="s">
        <v>1198</v>
      </c>
      <c r="C22" s="63">
        <v>18</v>
      </c>
      <c r="D22" s="12" t="s">
        <v>1256</v>
      </c>
    </row>
    <row r="23" spans="2:4">
      <c r="B23" s="659" t="s">
        <v>1210</v>
      </c>
      <c r="C23" s="63">
        <v>19</v>
      </c>
      <c r="D23" s="12" t="s">
        <v>1263</v>
      </c>
    </row>
    <row r="24" spans="2:4">
      <c r="B24" s="659" t="s">
        <v>1211</v>
      </c>
      <c r="C24" s="63">
        <v>20</v>
      </c>
      <c r="D24" s="515" t="s">
        <v>308</v>
      </c>
    </row>
    <row r="25" spans="2:4">
      <c r="B25" s="659" t="s">
        <v>1229</v>
      </c>
      <c r="C25" s="63">
        <v>21</v>
      </c>
      <c r="D25" s="12" t="s">
        <v>1264</v>
      </c>
    </row>
    <row r="26" spans="2:4">
      <c r="B26" s="659" t="s">
        <v>1230</v>
      </c>
      <c r="C26" s="63">
        <v>22</v>
      </c>
      <c r="D26" s="12" t="s">
        <v>1316</v>
      </c>
    </row>
    <row r="27" spans="2:4">
      <c r="B27" s="659" t="s">
        <v>1231</v>
      </c>
      <c r="C27" s="63">
        <v>23</v>
      </c>
      <c r="D27" s="12" t="s">
        <v>1265</v>
      </c>
    </row>
    <row r="28" spans="2:4" ht="12.75" customHeight="1">
      <c r="B28" s="659" t="s">
        <v>1597</v>
      </c>
      <c r="C28" s="63">
        <v>24</v>
      </c>
      <c r="D28" s="12" t="s">
        <v>1598</v>
      </c>
    </row>
    <row r="29" spans="2:4">
      <c r="B29" s="659" t="s">
        <v>1535</v>
      </c>
      <c r="C29" s="63">
        <v>25</v>
      </c>
      <c r="D29" s="12" t="s">
        <v>1536</v>
      </c>
    </row>
    <row r="30" spans="2:4">
      <c r="B30" s="659" t="s">
        <v>1234</v>
      </c>
      <c r="C30" s="63">
        <v>26</v>
      </c>
      <c r="D30" s="12" t="s">
        <v>1266</v>
      </c>
    </row>
    <row r="31" spans="2:4">
      <c r="B31" s="659" t="s">
        <v>1233</v>
      </c>
      <c r="C31" s="63">
        <v>27</v>
      </c>
      <c r="D31" s="12" t="s">
        <v>221</v>
      </c>
    </row>
    <row r="32" spans="2:4">
      <c r="B32" s="659" t="s">
        <v>1232</v>
      </c>
      <c r="C32" s="63">
        <v>28</v>
      </c>
      <c r="D32" s="12" t="s">
        <v>1267</v>
      </c>
    </row>
    <row r="33" spans="2:4">
      <c r="B33" s="659" t="s">
        <v>1235</v>
      </c>
      <c r="C33" s="63">
        <v>29</v>
      </c>
      <c r="D33" s="12" t="s">
        <v>1268</v>
      </c>
    </row>
    <row r="34" spans="2:4">
      <c r="B34" s="659" t="s">
        <v>1236</v>
      </c>
      <c r="C34" s="63">
        <v>30</v>
      </c>
      <c r="D34" s="12" t="s">
        <v>1318</v>
      </c>
    </row>
    <row r="35" spans="2:4">
      <c r="B35" s="659" t="s">
        <v>1237</v>
      </c>
      <c r="C35" s="63">
        <v>31</v>
      </c>
      <c r="D35" s="12" t="s">
        <v>1269</v>
      </c>
    </row>
    <row r="36" spans="2:4">
      <c r="B36" s="659" t="s">
        <v>1238</v>
      </c>
      <c r="C36" s="63">
        <v>32</v>
      </c>
      <c r="D36" s="12" t="s">
        <v>1270</v>
      </c>
    </row>
    <row r="37" spans="2:4">
      <c r="B37" s="659" t="s">
        <v>1239</v>
      </c>
      <c r="C37" s="502">
        <v>33</v>
      </c>
      <c r="D37" s="12" t="s">
        <v>1271</v>
      </c>
    </row>
    <row r="38" spans="2:4">
      <c r="B38" s="659" t="s">
        <v>2385</v>
      </c>
      <c r="C38" s="1004">
        <v>34</v>
      </c>
      <c r="D38" s="517" t="s">
        <v>2431</v>
      </c>
    </row>
    <row r="39" spans="2:4">
      <c r="B39" s="1003" t="s">
        <v>531</v>
      </c>
      <c r="C39" s="1004">
        <v>35</v>
      </c>
      <c r="D39" s="517" t="s">
        <v>2378</v>
      </c>
    </row>
    <row r="40" spans="2:4">
      <c r="B40" s="12"/>
    </row>
    <row r="41" spans="2:4">
      <c r="B41" s="12"/>
    </row>
    <row r="42" spans="2:4">
      <c r="B42" s="12"/>
    </row>
    <row r="43" spans="2:4">
      <c r="B43"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9" location="'35-PBOPs'!A1" display="PBOPs"/>
    <hyperlink ref="B38" location="'34-UnfundedReserves'!Print_Area" display="Unfunded Reserves"/>
  </hyperlinks>
  <pageMargins left="0.7" right="0.7" top="0.75" bottom="0.75" header="0.3" footer="0.3"/>
  <pageSetup scale="90" orientation="portrait" cellComments="asDisplayed" r:id="rId1"/>
  <headerFooter>
    <oddHeader>&amp;RTO2019 Draft Annual Update
Attachment 5
TO13 True Up TRR</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Normal="100" workbookViewId="0"/>
  </sheetViews>
  <sheetFormatPr defaultColWidth="9.140625" defaultRowHeight="12.75"/>
  <cols>
    <col min="1" max="1" width="4.7109375" style="708" customWidth="1"/>
    <col min="2" max="2" width="6" style="708" customWidth="1"/>
    <col min="3" max="3" width="15.7109375" style="708" customWidth="1"/>
    <col min="4" max="4" width="9.140625" style="708" customWidth="1"/>
    <col min="5" max="6" width="14.7109375" style="708" customWidth="1"/>
    <col min="7" max="7" width="16" style="708" bestFit="1" customWidth="1"/>
    <col min="8" max="8" width="18.28515625" style="708" customWidth="1"/>
    <col min="9" max="10" width="15.7109375" style="708" customWidth="1"/>
    <col min="11" max="11" width="16.85546875" style="708" customWidth="1"/>
    <col min="12" max="16" width="15.7109375" style="708" customWidth="1"/>
    <col min="17" max="17" width="2.85546875" style="708" customWidth="1"/>
    <col min="18" max="21" width="18.7109375" style="708" customWidth="1"/>
    <col min="22" max="22" width="15.7109375" style="708" customWidth="1"/>
    <col min="23" max="23" width="20.85546875" style="708" bestFit="1" customWidth="1"/>
    <col min="24" max="40" width="15.7109375" style="708" customWidth="1"/>
    <col min="41" max="16384" width="9.140625" style="708"/>
  </cols>
  <sheetData>
    <row r="1" spans="1:40">
      <c r="A1" s="672" t="s">
        <v>1604</v>
      </c>
    </row>
    <row r="2" spans="1:40">
      <c r="F2" s="709" t="s">
        <v>381</v>
      </c>
      <c r="G2" s="709"/>
    </row>
    <row r="3" spans="1:40">
      <c r="B3" s="673" t="s">
        <v>1605</v>
      </c>
    </row>
    <row r="4" spans="1:40">
      <c r="B4" s="673" t="s">
        <v>2338</v>
      </c>
    </row>
    <row r="5" spans="1:40">
      <c r="B5" s="673" t="s">
        <v>2339</v>
      </c>
    </row>
    <row r="6" spans="1:40">
      <c r="B6" s="673"/>
    </row>
    <row r="7" spans="1:40">
      <c r="B7" s="672" t="s">
        <v>2340</v>
      </c>
      <c r="H7" s="673"/>
      <c r="I7" s="673"/>
    </row>
    <row r="8" spans="1:40">
      <c r="B8" s="673"/>
      <c r="E8" s="710" t="s">
        <v>391</v>
      </c>
      <c r="F8" s="710" t="s">
        <v>375</v>
      </c>
      <c r="G8" s="710" t="s">
        <v>376</v>
      </c>
      <c r="H8" s="710" t="s">
        <v>377</v>
      </c>
      <c r="I8" s="710" t="s">
        <v>378</v>
      </c>
      <c r="J8" s="710" t="s">
        <v>379</v>
      </c>
      <c r="K8" s="710" t="s">
        <v>380</v>
      </c>
      <c r="L8" s="710" t="s">
        <v>593</v>
      </c>
      <c r="M8" s="710" t="s">
        <v>1040</v>
      </c>
      <c r="N8" s="710" t="s">
        <v>1056</v>
      </c>
      <c r="O8" s="710" t="s">
        <v>1059</v>
      </c>
      <c r="P8" s="710" t="s">
        <v>1077</v>
      </c>
      <c r="T8" s="710"/>
      <c r="U8" s="710"/>
      <c r="X8" s="711"/>
      <c r="Y8" s="711"/>
      <c r="Z8" s="711"/>
      <c r="AA8" s="711"/>
      <c r="AB8" s="711"/>
      <c r="AC8" s="711"/>
      <c r="AD8" s="711"/>
      <c r="AE8" s="711"/>
      <c r="AF8" s="711"/>
      <c r="AG8" s="711"/>
      <c r="AH8" s="711"/>
      <c r="AI8" s="711"/>
      <c r="AJ8" s="711"/>
      <c r="AK8" s="711"/>
      <c r="AL8" s="711"/>
      <c r="AM8" s="711"/>
      <c r="AN8" s="711"/>
    </row>
    <row r="9" spans="1:40">
      <c r="B9" s="673"/>
      <c r="E9" s="712" t="s">
        <v>235</v>
      </c>
      <c r="F9" s="712" t="s">
        <v>235</v>
      </c>
      <c r="G9" s="712" t="s">
        <v>235</v>
      </c>
      <c r="H9" s="712" t="s">
        <v>235</v>
      </c>
      <c r="I9" s="712" t="s">
        <v>235</v>
      </c>
      <c r="J9" s="712" t="s">
        <v>235</v>
      </c>
      <c r="K9" s="712" t="s">
        <v>235</v>
      </c>
      <c r="L9" s="712" t="s">
        <v>235</v>
      </c>
      <c r="M9" s="712" t="s">
        <v>235</v>
      </c>
      <c r="N9" s="712" t="s">
        <v>235</v>
      </c>
      <c r="O9" s="712" t="s">
        <v>235</v>
      </c>
      <c r="P9" s="712" t="s">
        <v>235</v>
      </c>
      <c r="Q9" s="714"/>
    </row>
    <row r="10" spans="1:40">
      <c r="C10" s="715" t="s">
        <v>217</v>
      </c>
      <c r="E10" s="715" t="s">
        <v>2305</v>
      </c>
      <c r="F10" s="715"/>
      <c r="G10" s="715"/>
      <c r="H10" s="716"/>
      <c r="I10" s="716" t="s">
        <v>2290</v>
      </c>
      <c r="J10" s="716"/>
      <c r="K10" s="716"/>
      <c r="L10" s="716"/>
      <c r="M10" s="716"/>
      <c r="O10" s="715" t="s">
        <v>2305</v>
      </c>
      <c r="P10" s="715" t="s">
        <v>2341</v>
      </c>
      <c r="T10" s="716"/>
      <c r="U10" s="716"/>
      <c r="X10" s="716"/>
      <c r="Y10" s="716"/>
      <c r="Z10" s="716"/>
      <c r="AA10" s="716"/>
      <c r="AB10" s="716"/>
      <c r="AC10" s="716"/>
      <c r="AD10" s="716"/>
      <c r="AE10" s="716"/>
      <c r="AF10" s="716"/>
      <c r="AG10" s="716"/>
      <c r="AH10" s="716"/>
      <c r="AI10" s="716"/>
      <c r="AJ10" s="716"/>
      <c r="AK10" s="716"/>
      <c r="AL10" s="716"/>
      <c r="AM10" s="716"/>
      <c r="AN10" s="716"/>
    </row>
    <row r="11" spans="1:40">
      <c r="B11" s="672"/>
      <c r="C11" s="715" t="s">
        <v>218</v>
      </c>
      <c r="E11" s="715" t="s">
        <v>215</v>
      </c>
      <c r="F11" s="715" t="s">
        <v>2307</v>
      </c>
      <c r="G11" s="716" t="s">
        <v>2308</v>
      </c>
      <c r="H11" s="716" t="s">
        <v>2291</v>
      </c>
      <c r="I11" s="716" t="s">
        <v>2342</v>
      </c>
      <c r="J11" s="716"/>
      <c r="K11" s="716" t="s">
        <v>327</v>
      </c>
      <c r="L11" s="716" t="s">
        <v>1197</v>
      </c>
      <c r="M11" s="716" t="s">
        <v>327</v>
      </c>
      <c r="O11" s="716" t="s">
        <v>1820</v>
      </c>
      <c r="P11" s="716" t="s">
        <v>1820</v>
      </c>
      <c r="T11" s="716"/>
      <c r="U11" s="716"/>
      <c r="X11" s="716"/>
      <c r="Y11" s="716"/>
      <c r="Z11" s="716"/>
      <c r="AA11" s="716"/>
      <c r="AB11" s="716"/>
      <c r="AC11" s="716"/>
      <c r="AD11" s="716"/>
      <c r="AE11" s="716"/>
      <c r="AF11" s="716"/>
      <c r="AG11" s="716"/>
      <c r="AH11" s="716"/>
      <c r="AI11" s="716"/>
      <c r="AJ11" s="716"/>
      <c r="AK11" s="716"/>
      <c r="AL11" s="716"/>
      <c r="AM11" s="716"/>
      <c r="AN11" s="716"/>
    </row>
    <row r="12" spans="1:40">
      <c r="A12" s="717" t="s">
        <v>360</v>
      </c>
      <c r="C12" s="698" t="s">
        <v>211</v>
      </c>
      <c r="D12" s="698" t="s">
        <v>212</v>
      </c>
      <c r="E12" s="711" t="s">
        <v>2311</v>
      </c>
      <c r="F12" s="711" t="s">
        <v>2312</v>
      </c>
      <c r="G12" s="718" t="s">
        <v>2313</v>
      </c>
      <c r="H12" s="718" t="s">
        <v>1109</v>
      </c>
      <c r="I12" s="718" t="s">
        <v>1095</v>
      </c>
      <c r="J12" s="718" t="s">
        <v>2290</v>
      </c>
      <c r="K12" s="718" t="s">
        <v>505</v>
      </c>
      <c r="L12" s="718" t="s">
        <v>2296</v>
      </c>
      <c r="M12" s="718" t="s">
        <v>1490</v>
      </c>
      <c r="N12" s="718" t="s">
        <v>1087</v>
      </c>
      <c r="O12" s="718" t="s">
        <v>1095</v>
      </c>
      <c r="P12" s="718" t="s">
        <v>1095</v>
      </c>
      <c r="T12" s="718"/>
      <c r="U12" s="718"/>
      <c r="V12" s="718"/>
      <c r="W12" s="718"/>
      <c r="X12" s="718"/>
      <c r="Y12" s="718"/>
      <c r="Z12" s="718"/>
      <c r="AA12" s="718"/>
      <c r="AB12" s="718"/>
      <c r="AC12" s="718"/>
      <c r="AD12" s="718"/>
      <c r="AE12" s="718"/>
      <c r="AF12" s="718"/>
      <c r="AG12" s="718"/>
      <c r="AH12" s="718"/>
      <c r="AI12" s="718"/>
      <c r="AJ12" s="718"/>
      <c r="AK12" s="718"/>
      <c r="AL12" s="718"/>
      <c r="AM12" s="718"/>
      <c r="AN12" s="718"/>
    </row>
    <row r="13" spans="1:40">
      <c r="A13" s="715">
        <v>1</v>
      </c>
      <c r="C13" s="708" t="str">
        <f>C45</f>
        <v>January</v>
      </c>
      <c r="D13" s="1002">
        <v>2018</v>
      </c>
      <c r="E13" s="670">
        <f t="shared" ref="E13:P13" si="0">E45+E76</f>
        <v>19115721.483348168</v>
      </c>
      <c r="F13" s="670">
        <f t="shared" si="0"/>
        <v>4132900.7188666994</v>
      </c>
      <c r="G13" s="670">
        <f t="shared" si="0"/>
        <v>1123711.5573361099</v>
      </c>
      <c r="H13" s="670">
        <f t="shared" si="0"/>
        <v>1207777.3530670062</v>
      </c>
      <c r="I13" s="670">
        <f t="shared" si="0"/>
        <v>13889439.56027057</v>
      </c>
      <c r="J13" s="670">
        <f t="shared" si="0"/>
        <v>416683.18680811708</v>
      </c>
      <c r="K13" s="670">
        <f t="shared" si="0"/>
        <v>19448338.874425389</v>
      </c>
      <c r="L13" s="670">
        <f t="shared" si="0"/>
        <v>0</v>
      </c>
      <c r="M13" s="670">
        <f t="shared" si="0"/>
        <v>0</v>
      </c>
      <c r="N13" s="670">
        <f t="shared" si="0"/>
        <v>19448338.874425389</v>
      </c>
      <c r="O13" s="670">
        <f t="shared" si="0"/>
        <v>548711.21166591009</v>
      </c>
      <c r="P13" s="670">
        <f t="shared" si="0"/>
        <v>557819.81777956418</v>
      </c>
      <c r="T13" s="719"/>
      <c r="U13" s="719"/>
      <c r="V13" s="720"/>
      <c r="W13" s="719"/>
      <c r="X13" s="721"/>
      <c r="Y13" s="527"/>
      <c r="Z13" s="719"/>
      <c r="AA13" s="719"/>
      <c r="AB13" s="719"/>
      <c r="AC13" s="719"/>
      <c r="AD13" s="719"/>
      <c r="AE13" s="719"/>
      <c r="AF13" s="719"/>
      <c r="AG13" s="719"/>
      <c r="AH13" s="719"/>
      <c r="AI13" s="719"/>
      <c r="AJ13" s="719"/>
      <c r="AK13" s="719"/>
      <c r="AL13" s="719"/>
      <c r="AM13" s="719"/>
      <c r="AN13" s="719"/>
    </row>
    <row r="14" spans="1:40">
      <c r="A14" s="715">
        <f>A13+1</f>
        <v>2</v>
      </c>
      <c r="C14" s="708" t="str">
        <f t="shared" ref="C14:C29" si="1">C46</f>
        <v>February</v>
      </c>
      <c r="D14" s="1002">
        <v>2018</v>
      </c>
      <c r="E14" s="670">
        <f t="shared" ref="E14:P14" si="2">E46+E77</f>
        <v>15694354.861748166</v>
      </c>
      <c r="F14" s="670">
        <f t="shared" si="2"/>
        <v>34483.771666699831</v>
      </c>
      <c r="G14" s="670">
        <f t="shared" si="2"/>
        <v>1174490.3317561098</v>
      </c>
      <c r="H14" s="670">
        <f t="shared" si="2"/>
        <v>1207777.3530670062</v>
      </c>
      <c r="I14" s="670">
        <f t="shared" si="2"/>
        <v>13889439.56027057</v>
      </c>
      <c r="J14" s="670">
        <f t="shared" si="2"/>
        <v>416683.18680811708</v>
      </c>
      <c r="K14" s="670">
        <f t="shared" si="2"/>
        <v>35526089.901670769</v>
      </c>
      <c r="L14" s="670">
        <f t="shared" si="2"/>
        <v>41172.18442295651</v>
      </c>
      <c r="M14" s="670">
        <f t="shared" si="2"/>
        <v>41172.18442295651</v>
      </c>
      <c r="N14" s="670">
        <f t="shared" si="2"/>
        <v>35484917.717247814</v>
      </c>
      <c r="O14" s="670">
        <f t="shared" si="2"/>
        <v>1097422.4233318202</v>
      </c>
      <c r="P14" s="670">
        <f t="shared" si="2"/>
        <v>1115639.6355591284</v>
      </c>
      <c r="T14" s="719"/>
      <c r="U14" s="719"/>
      <c r="V14" s="720"/>
      <c r="W14" s="719"/>
      <c r="X14" s="721"/>
      <c r="Y14" s="527"/>
      <c r="Z14" s="719"/>
      <c r="AA14" s="719"/>
      <c r="AB14" s="719"/>
      <c r="AC14" s="719"/>
      <c r="AD14" s="719"/>
      <c r="AE14" s="719"/>
      <c r="AF14" s="719"/>
      <c r="AG14" s="719"/>
      <c r="AH14" s="719"/>
      <c r="AI14" s="719"/>
      <c r="AJ14" s="719"/>
      <c r="AK14" s="719"/>
      <c r="AL14" s="719"/>
      <c r="AM14" s="719"/>
      <c r="AN14" s="719"/>
    </row>
    <row r="15" spans="1:40">
      <c r="A15" s="715">
        <f t="shared" ref="A15:A37" si="3">A14+1</f>
        <v>3</v>
      </c>
      <c r="C15" s="708" t="str">
        <f t="shared" si="1"/>
        <v>March</v>
      </c>
      <c r="D15" s="1002">
        <v>2018</v>
      </c>
      <c r="E15" s="670">
        <f t="shared" ref="E15:P15" si="4">E47+E78</f>
        <v>15102583.172948163</v>
      </c>
      <c r="F15" s="670">
        <f t="shared" si="4"/>
        <v>34483.771666699831</v>
      </c>
      <c r="G15" s="670">
        <f t="shared" si="4"/>
        <v>1130107.4550961098</v>
      </c>
      <c r="H15" s="670">
        <f t="shared" si="4"/>
        <v>1207777.353067006</v>
      </c>
      <c r="I15" s="670">
        <f t="shared" si="4"/>
        <v>13889439.560270566</v>
      </c>
      <c r="J15" s="670">
        <f t="shared" si="4"/>
        <v>416683.18680811697</v>
      </c>
      <c r="K15" s="670">
        <f t="shared" si="4"/>
        <v>50967686.363456152</v>
      </c>
      <c r="L15" s="670">
        <f t="shared" si="4"/>
        <v>75208.825530161776</v>
      </c>
      <c r="M15" s="670">
        <f t="shared" si="4"/>
        <v>116381.00995311828</v>
      </c>
      <c r="N15" s="670">
        <f t="shared" si="4"/>
        <v>50851305.353503034</v>
      </c>
      <c r="O15" s="670">
        <f t="shared" si="4"/>
        <v>1646133.6349977306</v>
      </c>
      <c r="P15" s="670">
        <f t="shared" si="4"/>
        <v>1673459.4533386929</v>
      </c>
      <c r="T15" s="719"/>
      <c r="U15" s="719"/>
      <c r="V15" s="720"/>
      <c r="W15" s="719"/>
      <c r="X15" s="721"/>
      <c r="Y15" s="527"/>
      <c r="Z15" s="719"/>
      <c r="AA15" s="719"/>
      <c r="AB15" s="719"/>
      <c r="AC15" s="719"/>
      <c r="AD15" s="719"/>
      <c r="AE15" s="719"/>
      <c r="AF15" s="719"/>
      <c r="AG15" s="719"/>
      <c r="AH15" s="719"/>
      <c r="AI15" s="719"/>
      <c r="AJ15" s="719"/>
      <c r="AK15" s="719"/>
      <c r="AL15" s="719"/>
      <c r="AM15" s="719"/>
      <c r="AN15" s="719"/>
    </row>
    <row r="16" spans="1:40">
      <c r="A16" s="715">
        <f t="shared" si="3"/>
        <v>4</v>
      </c>
      <c r="C16" s="708" t="str">
        <f t="shared" si="1"/>
        <v>April</v>
      </c>
      <c r="D16" s="1002">
        <v>2018</v>
      </c>
      <c r="E16" s="670">
        <f t="shared" ref="E16:P16" si="5">E48+E79</f>
        <v>17901937.221748173</v>
      </c>
      <c r="F16" s="670">
        <f t="shared" si="5"/>
        <v>2637999.5116667021</v>
      </c>
      <c r="G16" s="670">
        <f t="shared" si="5"/>
        <v>1144795.3282561102</v>
      </c>
      <c r="H16" s="670">
        <f t="shared" si="5"/>
        <v>1302700.7130670066</v>
      </c>
      <c r="I16" s="670">
        <f t="shared" si="5"/>
        <v>14981058.200270575</v>
      </c>
      <c r="J16" s="670">
        <f t="shared" si="5"/>
        <v>449431.74600811722</v>
      </c>
      <c r="K16" s="670">
        <f t="shared" si="5"/>
        <v>69161149.946401551</v>
      </c>
      <c r="L16" s="670">
        <f t="shared" si="5"/>
        <v>107898.72575323597</v>
      </c>
      <c r="M16" s="670">
        <f t="shared" si="5"/>
        <v>224279.73570635423</v>
      </c>
      <c r="N16" s="670">
        <f t="shared" si="5"/>
        <v>68936870.210695207</v>
      </c>
      <c r="O16" s="670">
        <f t="shared" si="5"/>
        <v>2194844.8466636403</v>
      </c>
      <c r="P16" s="670">
        <f t="shared" si="5"/>
        <v>2231279.2711182567</v>
      </c>
      <c r="T16" s="719"/>
      <c r="U16" s="719"/>
      <c r="V16" s="720"/>
      <c r="W16" s="719"/>
      <c r="X16" s="721"/>
      <c r="Y16" s="527"/>
      <c r="Z16" s="719"/>
      <c r="AA16" s="719"/>
      <c r="AB16" s="719"/>
      <c r="AC16" s="719"/>
      <c r="AD16" s="719"/>
      <c r="AE16" s="719"/>
      <c r="AF16" s="719"/>
      <c r="AG16" s="719"/>
      <c r="AH16" s="719"/>
      <c r="AI16" s="719"/>
      <c r="AJ16" s="719"/>
      <c r="AK16" s="719"/>
      <c r="AL16" s="719"/>
      <c r="AM16" s="719"/>
      <c r="AN16" s="719"/>
    </row>
    <row r="17" spans="1:40">
      <c r="A17" s="715">
        <f t="shared" si="3"/>
        <v>5</v>
      </c>
      <c r="C17" s="708" t="str">
        <f t="shared" si="1"/>
        <v>May</v>
      </c>
      <c r="D17" s="1002">
        <v>2018</v>
      </c>
      <c r="E17" s="670">
        <f t="shared" ref="E17:P17" si="6">E49+E80</f>
        <v>14864406.481748156</v>
      </c>
      <c r="F17" s="670">
        <f t="shared" si="6"/>
        <v>34483.771666699831</v>
      </c>
      <c r="G17" s="670">
        <f t="shared" si="6"/>
        <v>1112244.2032561093</v>
      </c>
      <c r="H17" s="670">
        <f t="shared" si="6"/>
        <v>1207777.3530670053</v>
      </c>
      <c r="I17" s="670">
        <f t="shared" si="6"/>
        <v>13889439.560270561</v>
      </c>
      <c r="J17" s="670">
        <f t="shared" si="6"/>
        <v>416683.18680811679</v>
      </c>
      <c r="K17" s="670">
        <f t="shared" si="6"/>
        <v>84346706.465146929</v>
      </c>
      <c r="L17" s="670">
        <f t="shared" si="6"/>
        <v>146414.33589176522</v>
      </c>
      <c r="M17" s="670">
        <f t="shared" si="6"/>
        <v>370694.07159811945</v>
      </c>
      <c r="N17" s="670">
        <f t="shared" si="6"/>
        <v>83976012.393548816</v>
      </c>
      <c r="O17" s="670">
        <f t="shared" si="6"/>
        <v>2743556.0583295505</v>
      </c>
      <c r="P17" s="670">
        <f t="shared" si="6"/>
        <v>2789099.0888978215</v>
      </c>
      <c r="T17" s="719"/>
      <c r="U17" s="719"/>
      <c r="V17" s="720"/>
      <c r="W17" s="719"/>
      <c r="X17" s="721"/>
      <c r="Y17" s="527"/>
      <c r="Z17" s="719"/>
      <c r="AA17" s="719"/>
      <c r="AB17" s="719"/>
      <c r="AC17" s="719"/>
      <c r="AD17" s="719"/>
      <c r="AE17" s="719"/>
      <c r="AF17" s="719"/>
      <c r="AG17" s="719"/>
      <c r="AH17" s="719"/>
      <c r="AI17" s="719"/>
      <c r="AJ17" s="719"/>
      <c r="AK17" s="719"/>
      <c r="AL17" s="719"/>
      <c r="AM17" s="719"/>
      <c r="AN17" s="719"/>
    </row>
    <row r="18" spans="1:40">
      <c r="A18" s="715">
        <f t="shared" si="3"/>
        <v>6</v>
      </c>
      <c r="C18" s="708" t="str">
        <f t="shared" si="1"/>
        <v xml:space="preserve">June </v>
      </c>
      <c r="D18" s="1002">
        <v>2018</v>
      </c>
      <c r="E18" s="670">
        <f t="shared" ref="E18:P18" si="7">E50+E81</f>
        <v>95174450.235248148</v>
      </c>
      <c r="F18" s="670">
        <f t="shared" si="7"/>
        <v>74323797.995166689</v>
      </c>
      <c r="G18" s="670">
        <f t="shared" si="7"/>
        <v>1563798.9180061091</v>
      </c>
      <c r="H18" s="670">
        <f t="shared" si="7"/>
        <v>1710354.262367005</v>
      </c>
      <c r="I18" s="670">
        <f t="shared" si="7"/>
        <v>19669074.017220557</v>
      </c>
      <c r="J18" s="670">
        <f t="shared" si="7"/>
        <v>590072.22051661671</v>
      </c>
      <c r="K18" s="670">
        <f t="shared" si="7"/>
        <v>179964673.57655081</v>
      </c>
      <c r="L18" s="670">
        <f t="shared" si="7"/>
        <v>178562.19888366235</v>
      </c>
      <c r="M18" s="670">
        <f t="shared" si="7"/>
        <v>549256.2704817818</v>
      </c>
      <c r="N18" s="670">
        <f t="shared" si="7"/>
        <v>179415417.30606902</v>
      </c>
      <c r="O18" s="670">
        <f t="shared" si="7"/>
        <v>4770684.5199954603</v>
      </c>
      <c r="P18" s="670">
        <f t="shared" si="7"/>
        <v>4849877.883027385</v>
      </c>
      <c r="T18" s="719"/>
      <c r="U18" s="719"/>
      <c r="V18" s="720"/>
      <c r="W18" s="719"/>
      <c r="X18" s="721"/>
      <c r="Y18" s="527"/>
      <c r="Z18" s="719"/>
      <c r="AA18" s="719"/>
      <c r="AB18" s="719"/>
      <c r="AC18" s="719"/>
      <c r="AD18" s="719"/>
      <c r="AE18" s="719"/>
      <c r="AF18" s="719"/>
      <c r="AG18" s="719"/>
      <c r="AH18" s="719"/>
      <c r="AI18" s="719"/>
      <c r="AJ18" s="719"/>
      <c r="AK18" s="719"/>
      <c r="AL18" s="719"/>
      <c r="AM18" s="719"/>
      <c r="AN18" s="719"/>
    </row>
    <row r="19" spans="1:40">
      <c r="A19" s="715">
        <f t="shared" si="3"/>
        <v>7</v>
      </c>
      <c r="C19" s="708" t="str">
        <f t="shared" si="1"/>
        <v>July</v>
      </c>
      <c r="D19" s="1002">
        <v>2018</v>
      </c>
      <c r="E19" s="670">
        <f t="shared" ref="E19:P19" si="8">E51+E82</f>
        <v>14713160.431748182</v>
      </c>
      <c r="F19" s="670">
        <f t="shared" si="8"/>
        <v>70911.721666699828</v>
      </c>
      <c r="G19" s="670">
        <f t="shared" si="8"/>
        <v>1098168.6532561111</v>
      </c>
      <c r="H19" s="670">
        <f t="shared" si="8"/>
        <v>1212077.3530670076</v>
      </c>
      <c r="I19" s="670">
        <f t="shared" si="8"/>
        <v>13938889.560270587</v>
      </c>
      <c r="J19" s="670">
        <f t="shared" si="8"/>
        <v>418166.68680811761</v>
      </c>
      <c r="K19" s="670">
        <f t="shared" si="8"/>
        <v>194982091.99529618</v>
      </c>
      <c r="L19" s="670">
        <f t="shared" si="8"/>
        <v>380985.6861273885</v>
      </c>
      <c r="M19" s="670">
        <f t="shared" si="8"/>
        <v>930241.9566091703</v>
      </c>
      <c r="N19" s="670">
        <f t="shared" si="8"/>
        <v>194051850.03868702</v>
      </c>
      <c r="O19" s="670">
        <f t="shared" si="8"/>
        <v>5319395.731661371</v>
      </c>
      <c r="P19" s="670">
        <f t="shared" si="8"/>
        <v>5407697.7008069502</v>
      </c>
      <c r="T19" s="719"/>
      <c r="U19" s="719"/>
      <c r="V19" s="720"/>
      <c r="W19" s="719"/>
      <c r="X19" s="721"/>
      <c r="Y19" s="527"/>
      <c r="Z19" s="719"/>
      <c r="AA19" s="719"/>
      <c r="AB19" s="719"/>
      <c r="AC19" s="719"/>
      <c r="AD19" s="719"/>
      <c r="AE19" s="719"/>
      <c r="AF19" s="719"/>
      <c r="AG19" s="719"/>
      <c r="AH19" s="719"/>
      <c r="AI19" s="719"/>
      <c r="AJ19" s="719"/>
      <c r="AK19" s="719"/>
      <c r="AL19" s="719"/>
      <c r="AM19" s="719"/>
      <c r="AN19" s="719"/>
    </row>
    <row r="20" spans="1:40">
      <c r="A20" s="715">
        <f t="shared" si="3"/>
        <v>8</v>
      </c>
      <c r="C20" s="708" t="str">
        <f t="shared" si="1"/>
        <v>August</v>
      </c>
      <c r="D20" s="1002">
        <v>2018</v>
      </c>
      <c r="E20" s="670">
        <f t="shared" ref="E20:P20" si="9">E52+E83</f>
        <v>14376069.481748164</v>
      </c>
      <c r="F20" s="670">
        <f t="shared" si="9"/>
        <v>34483.771666699831</v>
      </c>
      <c r="G20" s="670">
        <f t="shared" si="9"/>
        <v>1075618.9282561098</v>
      </c>
      <c r="H20" s="670">
        <f t="shared" si="9"/>
        <v>1207777.353067006</v>
      </c>
      <c r="I20" s="670">
        <f t="shared" si="9"/>
        <v>13889439.560270566</v>
      </c>
      <c r="J20" s="670">
        <f t="shared" si="9"/>
        <v>416683.18680811697</v>
      </c>
      <c r="K20" s="670">
        <f t="shared" si="9"/>
        <v>209642686.23904157</v>
      </c>
      <c r="L20" s="670">
        <f t="shared" si="9"/>
        <v>412777.60032044869</v>
      </c>
      <c r="M20" s="670">
        <f t="shared" si="9"/>
        <v>1343019.5569296188</v>
      </c>
      <c r="N20" s="670">
        <f t="shared" si="9"/>
        <v>208299666.68211195</v>
      </c>
      <c r="O20" s="670">
        <f t="shared" si="9"/>
        <v>5868106.9433272807</v>
      </c>
      <c r="P20" s="670">
        <f t="shared" si="9"/>
        <v>5965517.5185865136</v>
      </c>
      <c r="T20" s="719"/>
      <c r="U20" s="719"/>
      <c r="V20" s="720"/>
      <c r="W20" s="719"/>
      <c r="X20" s="721"/>
      <c r="Y20" s="527"/>
      <c r="Z20" s="719"/>
      <c r="AA20" s="719"/>
      <c r="AB20" s="719"/>
      <c r="AC20" s="719"/>
      <c r="AD20" s="719"/>
      <c r="AE20" s="719"/>
      <c r="AF20" s="719"/>
      <c r="AG20" s="719"/>
      <c r="AH20" s="719"/>
      <c r="AI20" s="719"/>
      <c r="AJ20" s="719"/>
      <c r="AK20" s="719"/>
      <c r="AL20" s="719"/>
      <c r="AM20" s="719"/>
      <c r="AN20" s="719"/>
    </row>
    <row r="21" spans="1:40">
      <c r="A21" s="715">
        <f t="shared" si="3"/>
        <v>9</v>
      </c>
      <c r="C21" s="708" t="str">
        <f t="shared" si="1"/>
        <v>September</v>
      </c>
      <c r="D21" s="1002">
        <v>2018</v>
      </c>
      <c r="E21" s="670">
        <f t="shared" ref="E21:P21" si="10">E53+E84</f>
        <v>14428377.481748134</v>
      </c>
      <c r="F21" s="670">
        <f t="shared" si="10"/>
        <v>34483.771666699831</v>
      </c>
      <c r="G21" s="670">
        <f t="shared" si="10"/>
        <v>1079542.0282561074</v>
      </c>
      <c r="H21" s="670">
        <f t="shared" si="10"/>
        <v>1207777.3530670034</v>
      </c>
      <c r="I21" s="670">
        <f t="shared" si="10"/>
        <v>13889439.560270539</v>
      </c>
      <c r="J21" s="670">
        <f t="shared" si="10"/>
        <v>416683.18680811615</v>
      </c>
      <c r="K21" s="670">
        <f t="shared" si="10"/>
        <v>224359511.58278695</v>
      </c>
      <c r="L21" s="670">
        <f t="shared" si="10"/>
        <v>443814.11679884908</v>
      </c>
      <c r="M21" s="670">
        <f t="shared" si="10"/>
        <v>1786833.6737284679</v>
      </c>
      <c r="N21" s="670">
        <f t="shared" si="10"/>
        <v>222572677.90905845</v>
      </c>
      <c r="O21" s="670">
        <f t="shared" si="10"/>
        <v>6416818.1549931904</v>
      </c>
      <c r="P21" s="670">
        <f t="shared" si="10"/>
        <v>6523337.3363660779</v>
      </c>
      <c r="T21" s="719"/>
      <c r="U21" s="719"/>
      <c r="V21" s="720"/>
      <c r="W21" s="719"/>
      <c r="X21" s="721"/>
      <c r="Y21" s="527"/>
      <c r="Z21" s="719"/>
      <c r="AA21" s="719"/>
      <c r="AB21" s="719"/>
      <c r="AC21" s="719"/>
      <c r="AD21" s="719"/>
      <c r="AE21" s="719"/>
      <c r="AF21" s="719"/>
      <c r="AG21" s="719"/>
      <c r="AH21" s="719"/>
      <c r="AI21" s="719"/>
      <c r="AJ21" s="719"/>
      <c r="AK21" s="719"/>
      <c r="AL21" s="719"/>
      <c r="AM21" s="719"/>
      <c r="AN21" s="719"/>
    </row>
    <row r="22" spans="1:40">
      <c r="A22" s="715">
        <f t="shared" si="3"/>
        <v>10</v>
      </c>
      <c r="C22" s="708" t="str">
        <f t="shared" si="1"/>
        <v xml:space="preserve">October </v>
      </c>
      <c r="D22" s="1002">
        <v>2018</v>
      </c>
      <c r="E22" s="670">
        <f t="shared" ref="E22:P22" si="11">E54+E85</f>
        <v>14727807.061748147</v>
      </c>
      <c r="F22" s="670">
        <f t="shared" si="11"/>
        <v>71265.351666699833</v>
      </c>
      <c r="G22" s="670">
        <f t="shared" si="11"/>
        <v>1099240.6282561086</v>
      </c>
      <c r="H22" s="670">
        <f t="shared" si="11"/>
        <v>1253782.7090670045</v>
      </c>
      <c r="I22" s="670">
        <f t="shared" si="11"/>
        <v>14418501.154270552</v>
      </c>
      <c r="J22" s="670">
        <f t="shared" si="11"/>
        <v>432555.03462811653</v>
      </c>
      <c r="K22" s="670">
        <f t="shared" si="11"/>
        <v>239365331.59835231</v>
      </c>
      <c r="L22" s="670">
        <f t="shared" si="11"/>
        <v>474969.67466348066</v>
      </c>
      <c r="M22" s="670">
        <f t="shared" si="11"/>
        <v>2261803.3483919483</v>
      </c>
      <c r="N22" s="670">
        <f t="shared" si="11"/>
        <v>237103528.24996036</v>
      </c>
      <c r="O22" s="670">
        <f t="shared" si="11"/>
        <v>7537256.9466591012</v>
      </c>
      <c r="P22" s="670">
        <f t="shared" si="11"/>
        <v>7662375.4119736422</v>
      </c>
      <c r="T22" s="719"/>
      <c r="U22" s="719"/>
      <c r="V22" s="720"/>
      <c r="W22" s="719"/>
      <c r="X22" s="721"/>
      <c r="Y22" s="527"/>
      <c r="Z22" s="719"/>
      <c r="AA22" s="719"/>
      <c r="AB22" s="719"/>
      <c r="AC22" s="719"/>
      <c r="AD22" s="719"/>
      <c r="AE22" s="719"/>
      <c r="AF22" s="719"/>
      <c r="AG22" s="719"/>
      <c r="AH22" s="719"/>
      <c r="AI22" s="719"/>
      <c r="AJ22" s="719"/>
      <c r="AK22" s="719"/>
      <c r="AL22" s="719"/>
      <c r="AM22" s="719"/>
      <c r="AN22" s="719"/>
    </row>
    <row r="23" spans="1:40">
      <c r="A23" s="715">
        <f t="shared" si="3"/>
        <v>11</v>
      </c>
      <c r="C23" s="708" t="str">
        <f t="shared" si="1"/>
        <v>November</v>
      </c>
      <c r="D23" s="1002">
        <v>2018</v>
      </c>
      <c r="E23" s="670">
        <f t="shared" ref="E23:P23" si="12">E55+E86</f>
        <v>14125406.481748164</v>
      </c>
      <c r="F23" s="670">
        <f t="shared" si="12"/>
        <v>34483.771666699831</v>
      </c>
      <c r="G23" s="670">
        <f t="shared" si="12"/>
        <v>1056819.2032561097</v>
      </c>
      <c r="H23" s="670">
        <f t="shared" si="12"/>
        <v>1207777.353067006</v>
      </c>
      <c r="I23" s="670">
        <f t="shared" si="12"/>
        <v>13889439.560270566</v>
      </c>
      <c r="J23" s="670">
        <f t="shared" si="12"/>
        <v>416683.18680811697</v>
      </c>
      <c r="K23" s="670">
        <f t="shared" si="12"/>
        <v>253756463.11709771</v>
      </c>
      <c r="L23" s="670">
        <f t="shared" si="12"/>
        <v>506737.03500657866</v>
      </c>
      <c r="M23" s="670">
        <f t="shared" si="12"/>
        <v>2768540.3833985273</v>
      </c>
      <c r="N23" s="670">
        <f t="shared" si="12"/>
        <v>250987922.73369917</v>
      </c>
      <c r="O23" s="670">
        <f t="shared" si="12"/>
        <v>8085968.1583250109</v>
      </c>
      <c r="P23" s="670">
        <f t="shared" si="12"/>
        <v>8220195.2297532065</v>
      </c>
      <c r="T23" s="719"/>
      <c r="U23" s="719"/>
      <c r="V23" s="720"/>
      <c r="W23" s="719"/>
      <c r="X23" s="721"/>
      <c r="Y23" s="527"/>
      <c r="Z23" s="719"/>
      <c r="AA23" s="719"/>
      <c r="AB23" s="719"/>
      <c r="AC23" s="719"/>
      <c r="AD23" s="719"/>
      <c r="AE23" s="719"/>
      <c r="AF23" s="719"/>
      <c r="AG23" s="719"/>
      <c r="AH23" s="719"/>
      <c r="AI23" s="719"/>
      <c r="AJ23" s="719"/>
      <c r="AK23" s="719"/>
      <c r="AL23" s="719"/>
      <c r="AM23" s="719"/>
      <c r="AN23" s="719"/>
    </row>
    <row r="24" spans="1:40">
      <c r="A24" s="715">
        <f t="shared" si="3"/>
        <v>12</v>
      </c>
      <c r="C24" s="708" t="str">
        <f t="shared" si="1"/>
        <v>December</v>
      </c>
      <c r="D24" s="1002">
        <v>2018</v>
      </c>
      <c r="E24" s="670">
        <f t="shared" ref="E24:P24" si="13">E56+E87</f>
        <v>139623546.89306825</v>
      </c>
      <c r="F24" s="670">
        <f t="shared" si="13"/>
        <v>53925791.862222716</v>
      </c>
      <c r="G24" s="670">
        <f t="shared" si="13"/>
        <v>6427331.6273134155</v>
      </c>
      <c r="H24" s="670">
        <f t="shared" si="13"/>
        <v>6323881.7358639492</v>
      </c>
      <c r="I24" s="670">
        <f t="shared" si="13"/>
        <v>72724639.962435409</v>
      </c>
      <c r="J24" s="670">
        <f t="shared" si="13"/>
        <v>2181739.1988730622</v>
      </c>
      <c r="K24" s="670">
        <f t="shared" si="13"/>
        <v>395665199.10048848</v>
      </c>
      <c r="L24" s="670">
        <f t="shared" si="13"/>
        <v>537203.09818917583</v>
      </c>
      <c r="M24" s="670">
        <f t="shared" si="13"/>
        <v>3305743.4815877029</v>
      </c>
      <c r="N24" s="670">
        <f t="shared" si="13"/>
        <v>392359455.61890078</v>
      </c>
      <c r="O24" s="670">
        <f t="shared" si="13"/>
        <v>8634679.3699909206</v>
      </c>
      <c r="P24" s="670">
        <f t="shared" si="13"/>
        <v>8778015.0475327708</v>
      </c>
      <c r="T24" s="719"/>
      <c r="U24" s="719"/>
      <c r="V24" s="720"/>
      <c r="W24" s="719"/>
      <c r="X24" s="721"/>
      <c r="Y24" s="527"/>
      <c r="Z24" s="719"/>
      <c r="AA24" s="719"/>
      <c r="AB24" s="719"/>
      <c r="AC24" s="719"/>
      <c r="AD24" s="719"/>
      <c r="AE24" s="719"/>
      <c r="AF24" s="719"/>
      <c r="AG24" s="719"/>
      <c r="AH24" s="719"/>
      <c r="AI24" s="719"/>
      <c r="AJ24" s="719"/>
      <c r="AK24" s="719"/>
      <c r="AL24" s="719"/>
      <c r="AM24" s="719"/>
      <c r="AN24" s="719"/>
    </row>
    <row r="25" spans="1:40">
      <c r="A25" s="715">
        <f t="shared" si="3"/>
        <v>13</v>
      </c>
      <c r="C25" s="708" t="str">
        <f t="shared" si="1"/>
        <v>January</v>
      </c>
      <c r="D25" s="1002">
        <v>2019</v>
      </c>
      <c r="E25" s="670">
        <f t="shared" ref="E25:P25" si="14">E57+E88</f>
        <v>14345567.271703064</v>
      </c>
      <c r="F25" s="670">
        <f t="shared" si="14"/>
        <v>0</v>
      </c>
      <c r="G25" s="670">
        <f t="shared" si="14"/>
        <v>1075917.5453777297</v>
      </c>
      <c r="H25" s="670">
        <f t="shared" si="14"/>
        <v>1217728.8053664635</v>
      </c>
      <c r="I25" s="670">
        <f t="shared" si="14"/>
        <v>14003881.26171433</v>
      </c>
      <c r="J25" s="670">
        <f t="shared" si="14"/>
        <v>420116.43785142986</v>
      </c>
      <c r="K25" s="670">
        <f t="shared" si="14"/>
        <v>410289071.55005425</v>
      </c>
      <c r="L25" s="670">
        <f t="shared" si="14"/>
        <v>837624.2645860638</v>
      </c>
      <c r="M25" s="670">
        <f t="shared" si="14"/>
        <v>4143367.7461737669</v>
      </c>
      <c r="N25" s="670">
        <f t="shared" si="14"/>
        <v>406145703.80388045</v>
      </c>
      <c r="O25" s="670">
        <f t="shared" si="14"/>
        <v>9251670.0366589092</v>
      </c>
      <c r="P25" s="670">
        <f t="shared" si="14"/>
        <v>9405247.7592674475</v>
      </c>
      <c r="T25" s="719"/>
      <c r="U25" s="719"/>
      <c r="V25" s="720"/>
      <c r="W25" s="719"/>
      <c r="X25" s="721"/>
      <c r="Y25" s="527"/>
      <c r="Z25" s="719"/>
      <c r="AA25" s="719"/>
      <c r="AB25" s="719"/>
      <c r="AC25" s="719"/>
      <c r="AD25" s="719"/>
      <c r="AE25" s="719"/>
      <c r="AF25" s="719"/>
      <c r="AG25" s="719"/>
      <c r="AH25" s="719"/>
      <c r="AI25" s="719"/>
      <c r="AJ25" s="719"/>
      <c r="AK25" s="719"/>
      <c r="AL25" s="719"/>
      <c r="AM25" s="719"/>
      <c r="AN25" s="719"/>
    </row>
    <row r="26" spans="1:40">
      <c r="A26" s="715">
        <f t="shared" si="3"/>
        <v>14</v>
      </c>
      <c r="C26" s="708" t="str">
        <f t="shared" si="1"/>
        <v>February</v>
      </c>
      <c r="D26" s="1002">
        <v>2019</v>
      </c>
      <c r="E26" s="670">
        <f t="shared" ref="E26:P26" si="15">E58+E89</f>
        <v>13364279.901703065</v>
      </c>
      <c r="F26" s="670">
        <f t="shared" si="15"/>
        <v>0</v>
      </c>
      <c r="G26" s="670">
        <f t="shared" si="15"/>
        <v>1002320.9926277298</v>
      </c>
      <c r="H26" s="670">
        <f t="shared" si="15"/>
        <v>1131728.8053664635</v>
      </c>
      <c r="I26" s="670">
        <f t="shared" si="15"/>
        <v>13014881.26171433</v>
      </c>
      <c r="J26" s="670">
        <f t="shared" si="15"/>
        <v>390446.43785142986</v>
      </c>
      <c r="K26" s="670">
        <f t="shared" si="15"/>
        <v>423914390.07687002</v>
      </c>
      <c r="L26" s="670">
        <f t="shared" si="15"/>
        <v>868583.04092984041</v>
      </c>
      <c r="M26" s="670">
        <f t="shared" si="15"/>
        <v>5011950.7871036073</v>
      </c>
      <c r="N26" s="670">
        <f t="shared" si="15"/>
        <v>418902439.28976643</v>
      </c>
      <c r="O26" s="670">
        <f t="shared" si="15"/>
        <v>9868660.7033268958</v>
      </c>
      <c r="P26" s="670">
        <f t="shared" si="15"/>
        <v>10032480.471002122</v>
      </c>
      <c r="T26" s="719"/>
      <c r="U26" s="719"/>
      <c r="V26" s="720"/>
      <c r="W26" s="719"/>
      <c r="X26" s="721"/>
      <c r="Y26" s="527"/>
      <c r="Z26" s="719"/>
      <c r="AA26" s="719"/>
      <c r="AB26" s="719"/>
      <c r="AC26" s="719"/>
      <c r="AD26" s="719"/>
      <c r="AE26" s="719"/>
      <c r="AF26" s="719"/>
      <c r="AG26" s="719"/>
      <c r="AH26" s="719"/>
      <c r="AI26" s="719"/>
      <c r="AJ26" s="719"/>
      <c r="AK26" s="719"/>
      <c r="AL26" s="719"/>
      <c r="AM26" s="719"/>
      <c r="AN26" s="719"/>
    </row>
    <row r="27" spans="1:40">
      <c r="A27" s="715">
        <f t="shared" si="3"/>
        <v>15</v>
      </c>
      <c r="C27" s="708" t="str">
        <f t="shared" si="1"/>
        <v>March</v>
      </c>
      <c r="D27" s="1002">
        <v>2019</v>
      </c>
      <c r="E27" s="670">
        <f t="shared" ref="E27:P27" si="16">E59+E90</f>
        <v>13520670.971702944</v>
      </c>
      <c r="F27" s="670">
        <f t="shared" si="16"/>
        <v>0</v>
      </c>
      <c r="G27" s="670">
        <f t="shared" si="16"/>
        <v>1014050.3228777208</v>
      </c>
      <c r="H27" s="670">
        <f t="shared" si="16"/>
        <v>1131728.8053664532</v>
      </c>
      <c r="I27" s="670">
        <f t="shared" si="16"/>
        <v>13014881.261714213</v>
      </c>
      <c r="J27" s="670">
        <f t="shared" si="16"/>
        <v>390446.43785142637</v>
      </c>
      <c r="K27" s="670">
        <f t="shared" si="16"/>
        <v>437707829.00393569</v>
      </c>
      <c r="L27" s="670">
        <f t="shared" si="16"/>
        <v>897427.87599929119</v>
      </c>
      <c r="M27" s="670">
        <f t="shared" si="16"/>
        <v>5909378.6631028987</v>
      </c>
      <c r="N27" s="670">
        <f t="shared" si="16"/>
        <v>431798450.34083283</v>
      </c>
      <c r="O27" s="670">
        <f t="shared" si="16"/>
        <v>10485651.369994882</v>
      </c>
      <c r="P27" s="670">
        <f t="shared" si="16"/>
        <v>10659713.182736797</v>
      </c>
      <c r="T27" s="719"/>
      <c r="U27" s="719"/>
      <c r="V27" s="720"/>
      <c r="W27" s="719"/>
      <c r="X27" s="721"/>
      <c r="Y27" s="527"/>
      <c r="Z27" s="719"/>
      <c r="AA27" s="719"/>
      <c r="AB27" s="719"/>
      <c r="AC27" s="719"/>
      <c r="AD27" s="719"/>
      <c r="AE27" s="719"/>
      <c r="AF27" s="719"/>
      <c r="AG27" s="719"/>
      <c r="AH27" s="719"/>
      <c r="AI27" s="719"/>
      <c r="AJ27" s="719"/>
      <c r="AK27" s="719"/>
      <c r="AL27" s="719"/>
      <c r="AM27" s="719"/>
      <c r="AN27" s="719"/>
    </row>
    <row r="28" spans="1:40">
      <c r="A28" s="715">
        <f t="shared" si="3"/>
        <v>16</v>
      </c>
      <c r="C28" s="708" t="str">
        <f t="shared" si="1"/>
        <v>April</v>
      </c>
      <c r="D28" s="1002">
        <v>2019</v>
      </c>
      <c r="E28" s="670">
        <f t="shared" ref="E28:P28" si="17">E60+E91</f>
        <v>13715285.792503135</v>
      </c>
      <c r="F28" s="670">
        <f t="shared" si="17"/>
        <v>39760.190799999989</v>
      </c>
      <c r="G28" s="670">
        <f t="shared" si="17"/>
        <v>1025664.4201277351</v>
      </c>
      <c r="H28" s="670">
        <f t="shared" si="17"/>
        <v>1143946.9973664696</v>
      </c>
      <c r="I28" s="670">
        <f t="shared" si="17"/>
        <v>13155390.469714401</v>
      </c>
      <c r="J28" s="670">
        <f t="shared" si="17"/>
        <v>394661.71409143205</v>
      </c>
      <c r="K28" s="670">
        <f t="shared" si="17"/>
        <v>451699493.93329155</v>
      </c>
      <c r="L28" s="670">
        <f t="shared" si="17"/>
        <v>926628.62239716121</v>
      </c>
      <c r="M28" s="670">
        <f t="shared" si="17"/>
        <v>6836007.2855000598</v>
      </c>
      <c r="N28" s="670">
        <f t="shared" si="17"/>
        <v>444863486.6477915</v>
      </c>
      <c r="O28" s="670">
        <f t="shared" si="17"/>
        <v>11284474.227462869</v>
      </c>
      <c r="P28" s="670">
        <f t="shared" si="17"/>
        <v>11471796.499638753</v>
      </c>
      <c r="T28" s="719"/>
      <c r="U28" s="719"/>
      <c r="V28" s="720"/>
      <c r="W28" s="719"/>
      <c r="X28" s="721"/>
      <c r="Y28" s="527"/>
      <c r="Z28" s="719"/>
      <c r="AA28" s="719"/>
      <c r="AB28" s="719"/>
      <c r="AC28" s="719"/>
      <c r="AD28" s="719"/>
      <c r="AE28" s="719"/>
      <c r="AF28" s="719"/>
      <c r="AG28" s="719"/>
      <c r="AH28" s="719"/>
      <c r="AI28" s="719"/>
      <c r="AJ28" s="719"/>
      <c r="AK28" s="719"/>
      <c r="AL28" s="719"/>
      <c r="AM28" s="719"/>
      <c r="AN28" s="719"/>
    </row>
    <row r="29" spans="1:40">
      <c r="A29" s="715">
        <f t="shared" si="3"/>
        <v>17</v>
      </c>
      <c r="C29" s="708" t="str">
        <f t="shared" si="1"/>
        <v>May</v>
      </c>
      <c r="D29" s="1002">
        <v>2019</v>
      </c>
      <c r="E29" s="670">
        <f t="shared" ref="E29:P29" si="18">E61+E92</f>
        <v>19727726.721703012</v>
      </c>
      <c r="F29" s="670">
        <f t="shared" si="18"/>
        <v>460897.93000000011</v>
      </c>
      <c r="G29" s="670">
        <f t="shared" si="18"/>
        <v>1445012.159377726</v>
      </c>
      <c r="H29" s="670">
        <f t="shared" si="18"/>
        <v>1622510.2513664591</v>
      </c>
      <c r="I29" s="670">
        <f t="shared" si="18"/>
        <v>18658867.89071428</v>
      </c>
      <c r="J29" s="670">
        <f t="shared" si="18"/>
        <v>559766.03672142839</v>
      </c>
      <c r="K29" s="670">
        <f t="shared" si="18"/>
        <v>471809488.59972721</v>
      </c>
      <c r="L29" s="670">
        <f t="shared" si="18"/>
        <v>956249.01376195694</v>
      </c>
      <c r="M29" s="670">
        <f t="shared" si="18"/>
        <v>7792256.299262017</v>
      </c>
      <c r="N29" s="670">
        <f t="shared" si="18"/>
        <v>464017232.30046523</v>
      </c>
      <c r="O29" s="670">
        <f t="shared" si="18"/>
        <v>11901464.894130858</v>
      </c>
      <c r="P29" s="670">
        <f t="shared" si="18"/>
        <v>12099029.21137343</v>
      </c>
      <c r="T29" s="719"/>
      <c r="U29" s="719"/>
      <c r="V29" s="720"/>
      <c r="W29" s="719"/>
      <c r="X29" s="721"/>
      <c r="Y29" s="527"/>
      <c r="Z29" s="719"/>
      <c r="AA29" s="719"/>
      <c r="AB29" s="719"/>
      <c r="AC29" s="719"/>
      <c r="AD29" s="719"/>
      <c r="AE29" s="719"/>
      <c r="AF29" s="719"/>
      <c r="AG29" s="719"/>
      <c r="AH29" s="719"/>
      <c r="AI29" s="719"/>
      <c r="AJ29" s="719"/>
      <c r="AK29" s="719"/>
      <c r="AL29" s="719"/>
      <c r="AM29" s="719"/>
      <c r="AN29" s="719"/>
    </row>
    <row r="30" spans="1:40">
      <c r="A30" s="715">
        <f t="shared" si="3"/>
        <v>18</v>
      </c>
      <c r="C30" s="708" t="str">
        <f t="shared" ref="C30:C33" si="19">C62</f>
        <v xml:space="preserve">June </v>
      </c>
      <c r="D30" s="1002">
        <v>2019</v>
      </c>
      <c r="E30" s="670">
        <f t="shared" ref="E30:P30" si="20">E62+E93</f>
        <v>19806745.671703063</v>
      </c>
      <c r="F30" s="670">
        <f t="shared" si="20"/>
        <v>272295.25000000023</v>
      </c>
      <c r="G30" s="670">
        <f t="shared" si="20"/>
        <v>1465083.7816277298</v>
      </c>
      <c r="H30" s="670">
        <f t="shared" si="20"/>
        <v>1644426.4053664636</v>
      </c>
      <c r="I30" s="670">
        <f t="shared" si="20"/>
        <v>18910903.66171433</v>
      </c>
      <c r="J30" s="670">
        <f t="shared" si="20"/>
        <v>567327.10985142994</v>
      </c>
      <c r="K30" s="670">
        <f t="shared" si="20"/>
        <v>492004218.75754297</v>
      </c>
      <c r="L30" s="670">
        <f t="shared" si="20"/>
        <v>998821.92523255805</v>
      </c>
      <c r="M30" s="670">
        <f t="shared" si="20"/>
        <v>8791078.2244945746</v>
      </c>
      <c r="N30" s="670">
        <f t="shared" si="20"/>
        <v>483213140.53304839</v>
      </c>
      <c r="O30" s="670">
        <f t="shared" si="20"/>
        <v>12518455.560798844</v>
      </c>
      <c r="P30" s="670">
        <f t="shared" si="20"/>
        <v>12726261.923108106</v>
      </c>
      <c r="T30" s="719"/>
      <c r="U30" s="719"/>
      <c r="V30" s="720"/>
      <c r="W30" s="719"/>
      <c r="X30" s="721"/>
      <c r="Y30" s="527"/>
      <c r="Z30" s="719"/>
      <c r="AA30" s="719"/>
      <c r="AB30" s="719"/>
      <c r="AC30" s="719"/>
      <c r="AD30" s="719"/>
      <c r="AE30" s="719"/>
      <c r="AF30" s="719"/>
      <c r="AG30" s="719"/>
      <c r="AH30" s="719"/>
      <c r="AI30" s="719"/>
      <c r="AJ30" s="719"/>
      <c r="AK30" s="719"/>
      <c r="AL30" s="719"/>
      <c r="AM30" s="719"/>
      <c r="AN30" s="719"/>
    </row>
    <row r="31" spans="1:40">
      <c r="A31" s="715">
        <f t="shared" si="3"/>
        <v>19</v>
      </c>
      <c r="C31" s="708" t="str">
        <f t="shared" si="19"/>
        <v>July</v>
      </c>
      <c r="D31" s="1002">
        <v>2019</v>
      </c>
      <c r="E31" s="670">
        <f t="shared" ref="E31:P31" si="21">E63+E94</f>
        <v>47944708.914102949</v>
      </c>
      <c r="F31" s="670">
        <f t="shared" si="21"/>
        <v>12901857.738700015</v>
      </c>
      <c r="G31" s="670">
        <f t="shared" si="21"/>
        <v>2628213.8381552198</v>
      </c>
      <c r="H31" s="670">
        <f t="shared" si="21"/>
        <v>2976499.9319846523</v>
      </c>
      <c r="I31" s="670">
        <f t="shared" si="21"/>
        <v>34229749.217823498</v>
      </c>
      <c r="J31" s="670">
        <f t="shared" si="21"/>
        <v>1026892.4765347049</v>
      </c>
      <c r="K31" s="670">
        <f t="shared" si="21"/>
        <v>540627534.05435121</v>
      </c>
      <c r="L31" s="670">
        <f t="shared" si="21"/>
        <v>1041574.2219607277</v>
      </c>
      <c r="M31" s="670">
        <f t="shared" si="21"/>
        <v>9832652.4464553017</v>
      </c>
      <c r="N31" s="670">
        <f t="shared" si="21"/>
        <v>530794881.60789597</v>
      </c>
      <c r="O31" s="670">
        <f t="shared" si="21"/>
        <v>13135446.227466831</v>
      </c>
      <c r="P31" s="670">
        <f t="shared" si="21"/>
        <v>13353494.634842781</v>
      </c>
      <c r="T31" s="719"/>
      <c r="U31" s="719"/>
      <c r="V31" s="720"/>
      <c r="W31" s="719"/>
      <c r="X31" s="721"/>
      <c r="Y31" s="527"/>
      <c r="Z31" s="719"/>
      <c r="AA31" s="719"/>
      <c r="AB31" s="719"/>
      <c r="AC31" s="719"/>
      <c r="AD31" s="719"/>
      <c r="AE31" s="719"/>
      <c r="AF31" s="719"/>
      <c r="AG31" s="719"/>
      <c r="AH31" s="719"/>
      <c r="AI31" s="719"/>
      <c r="AJ31" s="719"/>
      <c r="AK31" s="719"/>
      <c r="AL31" s="719"/>
      <c r="AM31" s="719"/>
      <c r="AN31" s="719"/>
    </row>
    <row r="32" spans="1:40">
      <c r="A32" s="715">
        <f t="shared" si="3"/>
        <v>20</v>
      </c>
      <c r="C32" s="708" t="str">
        <f t="shared" si="19"/>
        <v>August</v>
      </c>
      <c r="D32" s="1002">
        <v>2019</v>
      </c>
      <c r="E32" s="670">
        <f t="shared" ref="E32:P32" si="22">E64+E95</f>
        <v>27702985.995503105</v>
      </c>
      <c r="F32" s="670">
        <f t="shared" si="22"/>
        <v>8473412.4737999998</v>
      </c>
      <c r="G32" s="670">
        <f t="shared" si="22"/>
        <v>1442218.0141277327</v>
      </c>
      <c r="H32" s="670">
        <f t="shared" si="22"/>
        <v>1141368.101606467</v>
      </c>
      <c r="I32" s="670">
        <f t="shared" si="22"/>
        <v>13125733.168474369</v>
      </c>
      <c r="J32" s="670">
        <f t="shared" si="22"/>
        <v>393771.99505423103</v>
      </c>
      <c r="K32" s="670">
        <f t="shared" si="22"/>
        <v>569025141.95742989</v>
      </c>
      <c r="L32" s="670">
        <f t="shared" si="22"/>
        <v>1144509.9080150411</v>
      </c>
      <c r="M32" s="670">
        <f t="shared" si="22"/>
        <v>10977162.354470342</v>
      </c>
      <c r="N32" s="670">
        <f t="shared" si="22"/>
        <v>558047979.60295951</v>
      </c>
      <c r="O32" s="670">
        <f t="shared" si="22"/>
        <v>13867851.267934818</v>
      </c>
      <c r="P32" s="670">
        <f t="shared" si="22"/>
        <v>14098057.598982537</v>
      </c>
      <c r="T32" s="719"/>
      <c r="U32" s="719"/>
      <c r="V32" s="720"/>
      <c r="W32" s="719"/>
      <c r="X32" s="721"/>
      <c r="Y32" s="527"/>
      <c r="Z32" s="719"/>
      <c r="AA32" s="719"/>
      <c r="AB32" s="719"/>
      <c r="AC32" s="719"/>
      <c r="AD32" s="719"/>
      <c r="AE32" s="719"/>
      <c r="AF32" s="719"/>
      <c r="AG32" s="719"/>
      <c r="AH32" s="719"/>
      <c r="AI32" s="719"/>
      <c r="AJ32" s="719"/>
      <c r="AK32" s="719"/>
      <c r="AL32" s="719"/>
      <c r="AM32" s="719"/>
      <c r="AN32" s="719"/>
    </row>
    <row r="33" spans="1:40">
      <c r="A33" s="715">
        <f t="shared" si="3"/>
        <v>21</v>
      </c>
      <c r="C33" s="708" t="str">
        <f t="shared" si="19"/>
        <v>September</v>
      </c>
      <c r="D33" s="1002">
        <v>2019</v>
      </c>
      <c r="E33" s="670">
        <f t="shared" ref="E33:P33" si="23">E65+E96</f>
        <v>13612715.681703065</v>
      </c>
      <c r="F33" s="670">
        <f t="shared" si="23"/>
        <v>0</v>
      </c>
      <c r="G33" s="670">
        <f t="shared" si="23"/>
        <v>1020953.6761277298</v>
      </c>
      <c r="H33" s="670">
        <f t="shared" si="23"/>
        <v>1131728.8053664635</v>
      </c>
      <c r="I33" s="670">
        <f t="shared" si="23"/>
        <v>13014881.26171433</v>
      </c>
      <c r="J33" s="670">
        <f t="shared" si="23"/>
        <v>390446.43785142986</v>
      </c>
      <c r="K33" s="685">
        <f t="shared" si="23"/>
        <v>582917528.94774556</v>
      </c>
      <c r="L33" s="685">
        <f t="shared" si="23"/>
        <v>1204627.7184514818</v>
      </c>
      <c r="M33" s="685">
        <f t="shared" si="23"/>
        <v>12181790.072921824</v>
      </c>
      <c r="N33" s="685">
        <f t="shared" si="23"/>
        <v>570735738.87482381</v>
      </c>
      <c r="O33" s="685">
        <f t="shared" si="23"/>
        <v>14484841.934602806</v>
      </c>
      <c r="P33" s="685">
        <f t="shared" si="23"/>
        <v>14725290.310717214</v>
      </c>
      <c r="T33" s="719"/>
      <c r="U33" s="719"/>
      <c r="V33" s="720"/>
      <c r="W33" s="719"/>
      <c r="X33" s="721"/>
      <c r="Y33" s="527"/>
      <c r="Z33" s="719"/>
      <c r="AA33" s="719"/>
      <c r="AB33" s="719"/>
      <c r="AC33" s="719"/>
      <c r="AD33" s="719"/>
      <c r="AE33" s="719"/>
      <c r="AF33" s="719"/>
      <c r="AG33" s="719"/>
      <c r="AH33" s="719"/>
      <c r="AI33" s="719"/>
      <c r="AJ33" s="719"/>
      <c r="AK33" s="719"/>
      <c r="AL33" s="719"/>
      <c r="AM33" s="719"/>
      <c r="AN33" s="719"/>
    </row>
    <row r="34" spans="1:40">
      <c r="A34" s="716">
        <f t="shared" si="3"/>
        <v>22</v>
      </c>
      <c r="C34" s="708" t="str">
        <f t="shared" ref="C34" si="24">C66</f>
        <v>October</v>
      </c>
      <c r="D34" s="1002">
        <v>2019</v>
      </c>
      <c r="E34" s="670">
        <f t="shared" ref="E34:P34" si="25">E66+E97</f>
        <v>45081505.26170297</v>
      </c>
      <c r="F34" s="670">
        <f t="shared" si="25"/>
        <v>14054513.579999998</v>
      </c>
      <c r="G34" s="670">
        <f t="shared" si="25"/>
        <v>2327024.3761277231</v>
      </c>
      <c r="H34" s="670">
        <f t="shared" si="25"/>
        <v>1752820.805366456</v>
      </c>
      <c r="I34" s="670">
        <f t="shared" si="25"/>
        <v>20157439.261714242</v>
      </c>
      <c r="J34" s="670">
        <f t="shared" si="25"/>
        <v>604723.17785142723</v>
      </c>
      <c r="K34" s="685">
        <f t="shared" si="25"/>
        <v>629177960.95806134</v>
      </c>
      <c r="L34" s="685">
        <f t="shared" si="25"/>
        <v>1234037.9381588583</v>
      </c>
      <c r="M34" s="685">
        <f t="shared" si="25"/>
        <v>13415828.011080682</v>
      </c>
      <c r="N34" s="685">
        <f t="shared" si="25"/>
        <v>615762132.94698071</v>
      </c>
      <c r="O34" s="685">
        <f t="shared" si="25"/>
        <v>15101832.601270793</v>
      </c>
      <c r="P34" s="685">
        <f t="shared" si="25"/>
        <v>15352523.022451889</v>
      </c>
      <c r="T34" s="719"/>
      <c r="U34" s="719"/>
      <c r="V34" s="720"/>
      <c r="W34" s="719"/>
      <c r="X34" s="721"/>
      <c r="Y34" s="527"/>
      <c r="Z34" s="719"/>
      <c r="AA34" s="719"/>
      <c r="AB34" s="719"/>
      <c r="AC34" s="719"/>
      <c r="AD34" s="719"/>
      <c r="AE34" s="719"/>
      <c r="AF34" s="719"/>
      <c r="AG34" s="719"/>
      <c r="AH34" s="719"/>
      <c r="AI34" s="719"/>
      <c r="AJ34" s="719"/>
      <c r="AK34" s="719"/>
      <c r="AL34" s="719"/>
      <c r="AM34" s="719"/>
      <c r="AN34" s="719"/>
    </row>
    <row r="35" spans="1:40">
      <c r="A35" s="716">
        <f t="shared" si="3"/>
        <v>23</v>
      </c>
      <c r="C35" s="708" t="str">
        <f t="shared" ref="C35" si="26">C67</f>
        <v>November</v>
      </c>
      <c r="D35" s="1002">
        <v>2019</v>
      </c>
      <c r="E35" s="670">
        <f t="shared" ref="E35:P35" si="27">E67+E98</f>
        <v>31728968.894703042</v>
      </c>
      <c r="F35" s="670">
        <f t="shared" si="27"/>
        <v>7464448.8429999975</v>
      </c>
      <c r="G35" s="670">
        <f t="shared" si="27"/>
        <v>1819839.0038777282</v>
      </c>
      <c r="H35" s="670">
        <f t="shared" si="27"/>
        <v>1193090.665366462</v>
      </c>
      <c r="I35" s="670">
        <f t="shared" si="27"/>
        <v>13720542.651714312</v>
      </c>
      <c r="J35" s="670">
        <f t="shared" si="27"/>
        <v>411616.27955142932</v>
      </c>
      <c r="K35" s="685">
        <f t="shared" si="27"/>
        <v>661945294.4708271</v>
      </c>
      <c r="L35" s="685">
        <f t="shared" si="27"/>
        <v>1331971.3940962683</v>
      </c>
      <c r="M35" s="685">
        <f t="shared" si="27"/>
        <v>14747799.405176951</v>
      </c>
      <c r="N35" s="685">
        <f t="shared" si="27"/>
        <v>647197495.06565022</v>
      </c>
      <c r="O35" s="685">
        <f t="shared" si="27"/>
        <v>15718823.26793878</v>
      </c>
      <c r="P35" s="685">
        <f t="shared" si="27"/>
        <v>15979755.734186564</v>
      </c>
      <c r="T35" s="719"/>
      <c r="U35" s="719"/>
      <c r="V35" s="720"/>
      <c r="W35" s="719"/>
      <c r="X35" s="721"/>
      <c r="Y35" s="527"/>
      <c r="Z35" s="719"/>
      <c r="AA35" s="719"/>
      <c r="AB35" s="719"/>
      <c r="AC35" s="719"/>
      <c r="AD35" s="719"/>
      <c r="AE35" s="719"/>
      <c r="AF35" s="719"/>
      <c r="AG35" s="719"/>
      <c r="AH35" s="719"/>
      <c r="AI35" s="719"/>
      <c r="AJ35" s="719"/>
      <c r="AK35" s="719"/>
      <c r="AL35" s="719"/>
      <c r="AM35" s="719"/>
      <c r="AN35" s="719"/>
    </row>
    <row r="36" spans="1:40">
      <c r="A36" s="716">
        <f t="shared" si="3"/>
        <v>24</v>
      </c>
      <c r="C36" s="708" t="str">
        <f t="shared" ref="C36" si="28">C68</f>
        <v>December</v>
      </c>
      <c r="D36" s="1002">
        <v>2019</v>
      </c>
      <c r="E36" s="670">
        <f t="shared" ref="E36:P36" si="29">E68+E99</f>
        <v>47725058.910979636</v>
      </c>
      <c r="F36" s="670">
        <f t="shared" si="29"/>
        <v>3893575.8728636103</v>
      </c>
      <c r="G36" s="670">
        <f t="shared" si="29"/>
        <v>3287361.2278587017</v>
      </c>
      <c r="H36" s="670">
        <f t="shared" si="29"/>
        <v>3489608.3197147781</v>
      </c>
      <c r="I36" s="670">
        <f t="shared" si="29"/>
        <v>40130495.676719949</v>
      </c>
      <c r="J36" s="670">
        <f t="shared" si="29"/>
        <v>1203914.8703015985</v>
      </c>
      <c r="K36" s="722">
        <f t="shared" si="29"/>
        <v>710672021.16025221</v>
      </c>
      <c r="L36" s="685">
        <f t="shared" si="29"/>
        <v>1401339.9251130838</v>
      </c>
      <c r="M36" s="685">
        <f t="shared" si="29"/>
        <v>16149139.330290034</v>
      </c>
      <c r="N36" s="722">
        <f t="shared" si="29"/>
        <v>694522881.82996225</v>
      </c>
      <c r="O36" s="685">
        <f t="shared" si="29"/>
        <v>16335813.934606768</v>
      </c>
      <c r="P36" s="722">
        <f t="shared" si="29"/>
        <v>16606988.445921242</v>
      </c>
      <c r="T36" s="719"/>
      <c r="U36" s="719"/>
      <c r="V36" s="720"/>
      <c r="W36" s="719"/>
      <c r="X36" s="721"/>
      <c r="Y36" s="527"/>
      <c r="Z36" s="719"/>
      <c r="AA36" s="719"/>
      <c r="AB36" s="719"/>
      <c r="AC36" s="719"/>
      <c r="AD36" s="719"/>
      <c r="AE36" s="719"/>
      <c r="AF36" s="719"/>
      <c r="AG36" s="719"/>
      <c r="AH36" s="719"/>
      <c r="AI36" s="719"/>
      <c r="AJ36" s="719"/>
      <c r="AK36" s="719"/>
      <c r="AL36" s="719"/>
      <c r="AM36" s="719"/>
      <c r="AN36" s="719"/>
    </row>
    <row r="37" spans="1:40" s="672" customFormat="1">
      <c r="A37" s="716">
        <f t="shared" si="3"/>
        <v>25</v>
      </c>
      <c r="D37" s="753" t="s">
        <v>1821</v>
      </c>
      <c r="K37" s="1044">
        <f>AVERAGE(K24:K36)</f>
        <v>521342705.5823521</v>
      </c>
      <c r="M37" s="754"/>
      <c r="N37" s="754">
        <f>AVERAGE(N24:N36)</f>
        <v>512181616.80484289</v>
      </c>
      <c r="O37" s="754"/>
      <c r="P37" s="754">
        <f>AVERAGE(P24:P36)</f>
        <v>12714511.833981665</v>
      </c>
      <c r="Q37" s="755"/>
      <c r="T37" s="733"/>
      <c r="U37" s="733"/>
    </row>
    <row r="38" spans="1:40">
      <c r="A38" s="715"/>
      <c r="T38" s="670"/>
      <c r="U38" s="670"/>
      <c r="Z38" s="670"/>
    </row>
    <row r="39" spans="1:40">
      <c r="A39" s="715"/>
      <c r="B39" s="672" t="s">
        <v>2343</v>
      </c>
      <c r="G39" s="715"/>
      <c r="K39" s="527"/>
      <c r="M39" s="527"/>
      <c r="N39" s="527"/>
      <c r="O39" s="527"/>
      <c r="P39" s="527"/>
    </row>
    <row r="40" spans="1:40">
      <c r="A40" s="715"/>
      <c r="B40" s="672"/>
      <c r="E40" s="711" t="s">
        <v>391</v>
      </c>
      <c r="F40" s="711" t="s">
        <v>375</v>
      </c>
      <c r="G40" s="711" t="s">
        <v>376</v>
      </c>
      <c r="H40" s="711" t="s">
        <v>377</v>
      </c>
      <c r="I40" s="711" t="s">
        <v>378</v>
      </c>
      <c r="J40" s="711" t="s">
        <v>379</v>
      </c>
      <c r="K40" s="756" t="s">
        <v>380</v>
      </c>
      <c r="L40" s="711" t="s">
        <v>593</v>
      </c>
      <c r="M40" s="756" t="s">
        <v>1040</v>
      </c>
      <c r="N40" s="756" t="s">
        <v>1056</v>
      </c>
      <c r="O40" s="756" t="s">
        <v>1059</v>
      </c>
      <c r="P40" s="756" t="s">
        <v>1077</v>
      </c>
    </row>
    <row r="41" spans="1:40" ht="25.5">
      <c r="A41" s="715"/>
      <c r="B41" s="672"/>
      <c r="E41" s="757" t="s">
        <v>2563</v>
      </c>
      <c r="F41" s="757" t="s">
        <v>2564</v>
      </c>
      <c r="G41" s="757" t="s">
        <v>2565</v>
      </c>
      <c r="H41" s="758" t="s">
        <v>2344</v>
      </c>
      <c r="I41" s="758" t="s">
        <v>2344</v>
      </c>
      <c r="J41" s="714" t="s">
        <v>2344</v>
      </c>
      <c r="K41" s="759" t="s">
        <v>2345</v>
      </c>
      <c r="L41" s="760" t="s">
        <v>2566</v>
      </c>
      <c r="M41" s="761" t="s">
        <v>2346</v>
      </c>
      <c r="N41" s="729" t="s">
        <v>2287</v>
      </c>
      <c r="O41" s="729"/>
      <c r="P41" s="761" t="s">
        <v>2567</v>
      </c>
    </row>
    <row r="42" spans="1:40">
      <c r="A42" s="715"/>
      <c r="C42" s="715" t="str">
        <f>C10</f>
        <v>Forecast</v>
      </c>
      <c r="E42" s="715" t="str">
        <f>E10</f>
        <v>Unloaded</v>
      </c>
      <c r="F42" s="715"/>
      <c r="G42" s="715"/>
      <c r="I42" s="716" t="str">
        <f>I10</f>
        <v>AFUDC</v>
      </c>
      <c r="J42" s="716"/>
      <c r="K42" s="716"/>
      <c r="L42" s="716"/>
      <c r="M42" s="716"/>
      <c r="N42" s="716"/>
      <c r="O42" s="715" t="str">
        <f t="shared" ref="O42:P44" si="30">O10</f>
        <v>Unloaded</v>
      </c>
      <c r="P42" s="715" t="str">
        <f t="shared" si="30"/>
        <v>Loaded</v>
      </c>
    </row>
    <row r="43" spans="1:40">
      <c r="A43" s="715"/>
      <c r="B43" s="672"/>
      <c r="C43" s="715" t="str">
        <f>C11</f>
        <v>Period</v>
      </c>
      <c r="E43" s="715" t="str">
        <f>E11</f>
        <v>Total</v>
      </c>
      <c r="F43" s="715" t="str">
        <f t="shared" ref="F43:H44" si="31">F11</f>
        <v>Prior Period</v>
      </c>
      <c r="G43" s="716" t="str">
        <f t="shared" si="31"/>
        <v>Over Heads</v>
      </c>
      <c r="H43" s="716" t="str">
        <f t="shared" si="31"/>
        <v xml:space="preserve">Cost of </v>
      </c>
      <c r="I43" s="716" t="str">
        <f>I11</f>
        <v>Eligible Plant</v>
      </c>
      <c r="J43" s="716"/>
      <c r="K43" s="716" t="str">
        <f>K11</f>
        <v>Incremental</v>
      </c>
      <c r="L43" s="716" t="str">
        <f>L11</f>
        <v>Depreciation</v>
      </c>
      <c r="M43" s="716"/>
      <c r="N43" s="716"/>
      <c r="O43" s="716" t="str">
        <f t="shared" si="30"/>
        <v>Low Voltage</v>
      </c>
      <c r="P43" s="716" t="str">
        <f t="shared" si="30"/>
        <v>Low Voltage</v>
      </c>
    </row>
    <row r="44" spans="1:40">
      <c r="A44" s="717" t="s">
        <v>360</v>
      </c>
      <c r="C44" s="698" t="str">
        <f t="shared" ref="C44:D44" si="32">C12</f>
        <v>Month</v>
      </c>
      <c r="D44" s="698" t="str">
        <f t="shared" si="32"/>
        <v>Year</v>
      </c>
      <c r="E44" s="711" t="str">
        <f>E12</f>
        <v>Plant Adds</v>
      </c>
      <c r="F44" s="711" t="str">
        <f t="shared" si="31"/>
        <v>CWIP Closed</v>
      </c>
      <c r="G44" s="718" t="str">
        <f t="shared" si="31"/>
        <v>Closed to PIS</v>
      </c>
      <c r="H44" s="718" t="str">
        <f t="shared" si="31"/>
        <v>Removal</v>
      </c>
      <c r="I44" s="718" t="str">
        <f>I12</f>
        <v>Additions</v>
      </c>
      <c r="J44" s="718" t="str">
        <f>J12</f>
        <v>AFUDC</v>
      </c>
      <c r="K44" s="718" t="str">
        <f>K12</f>
        <v>Gross Plant</v>
      </c>
      <c r="L44" s="718" t="str">
        <f>L12</f>
        <v>Accrual</v>
      </c>
      <c r="M44" s="718" t="str">
        <f>M12</f>
        <v>Reserve</v>
      </c>
      <c r="N44" s="718" t="str">
        <f>N12</f>
        <v>Net Plant</v>
      </c>
      <c r="O44" s="718" t="str">
        <f t="shared" si="30"/>
        <v>Additions</v>
      </c>
      <c r="P44" s="718" t="str">
        <f t="shared" si="30"/>
        <v>Additions</v>
      </c>
      <c r="T44" s="718"/>
      <c r="U44" s="718"/>
      <c r="V44" s="718"/>
      <c r="W44" s="718"/>
      <c r="X44" s="718"/>
      <c r="Y44" s="718"/>
    </row>
    <row r="45" spans="1:40">
      <c r="A45" s="715">
        <f>A37+1</f>
        <v>26</v>
      </c>
      <c r="C45" s="699" t="s">
        <v>200</v>
      </c>
      <c r="D45" s="1002">
        <v>2018</v>
      </c>
      <c r="E45" s="726">
        <f>'10-CWIP'!G55</f>
        <v>5037315.0016000001</v>
      </c>
      <c r="F45" s="726">
        <f>'10-CWIP'!H55</f>
        <v>4098416.9471999994</v>
      </c>
      <c r="G45" s="726">
        <f>'10-CWIP'!I55</f>
        <v>70417.354080000048</v>
      </c>
      <c r="H45" s="762">
        <v>0</v>
      </c>
      <c r="I45" s="719">
        <v>0</v>
      </c>
      <c r="J45" s="763">
        <v>0</v>
      </c>
      <c r="K45" s="670">
        <f>0+E45+G45</f>
        <v>5107732.35568</v>
      </c>
      <c r="L45" s="670">
        <v>0</v>
      </c>
      <c r="M45" s="670">
        <f>L45</f>
        <v>0</v>
      </c>
      <c r="N45" s="670">
        <f t="shared" ref="N45:N65" si="33">K45-M45</f>
        <v>5107732.35568</v>
      </c>
      <c r="O45" s="764">
        <v>0</v>
      </c>
      <c r="P45" s="763">
        <f t="shared" ref="P45:P68" si="34">O45*(1-$E$107)*(1+$E$103+$E$111)</f>
        <v>0</v>
      </c>
      <c r="S45" s="670"/>
      <c r="T45" s="725"/>
      <c r="U45" s="721"/>
      <c r="V45" s="527"/>
      <c r="W45" s="725"/>
      <c r="X45" s="721"/>
      <c r="Y45" s="527"/>
    </row>
    <row r="46" spans="1:40">
      <c r="A46" s="715">
        <f t="shared" ref="A46:A99" si="35">A45+1</f>
        <v>27</v>
      </c>
      <c r="C46" s="702" t="s">
        <v>201</v>
      </c>
      <c r="D46" s="1002">
        <v>2018</v>
      </c>
      <c r="E46" s="726">
        <f>'10-CWIP'!G56</f>
        <v>1615948.3799999997</v>
      </c>
      <c r="F46" s="726">
        <f>'10-CWIP'!H56</f>
        <v>0</v>
      </c>
      <c r="G46" s="726">
        <f>'10-CWIP'!I56</f>
        <v>121196.12849999998</v>
      </c>
      <c r="H46" s="762">
        <v>0</v>
      </c>
      <c r="I46" s="719">
        <v>0</v>
      </c>
      <c r="J46" s="763">
        <v>0</v>
      </c>
      <c r="K46" s="670">
        <f>K45+E46+G46</f>
        <v>6844876.8641799996</v>
      </c>
      <c r="L46" s="670">
        <f t="shared" ref="L46:L68" si="36">K45*$E$133/12</f>
        <v>10813.082797919542</v>
      </c>
      <c r="M46" s="670">
        <f>M45+L46</f>
        <v>10813.082797919542</v>
      </c>
      <c r="N46" s="670">
        <f t="shared" si="33"/>
        <v>6834063.7813820802</v>
      </c>
      <c r="O46" s="764">
        <v>0</v>
      </c>
      <c r="P46" s="763">
        <f t="shared" si="34"/>
        <v>0</v>
      </c>
      <c r="S46" s="670"/>
      <c r="T46" s="725"/>
      <c r="U46" s="721"/>
      <c r="V46" s="527"/>
      <c r="W46" s="725"/>
      <c r="X46" s="721"/>
      <c r="Y46" s="527"/>
    </row>
    <row r="47" spans="1:40">
      <c r="A47" s="715">
        <f t="shared" si="35"/>
        <v>28</v>
      </c>
      <c r="C47" s="702" t="s">
        <v>214</v>
      </c>
      <c r="D47" s="1002">
        <v>2018</v>
      </c>
      <c r="E47" s="726">
        <f>'10-CWIP'!G57</f>
        <v>1024176.6912</v>
      </c>
      <c r="F47" s="726">
        <f>'10-CWIP'!H57</f>
        <v>0</v>
      </c>
      <c r="G47" s="726">
        <f>'10-CWIP'!I57</f>
        <v>76813.251840000012</v>
      </c>
      <c r="H47" s="762">
        <v>0</v>
      </c>
      <c r="I47" s="719">
        <v>0</v>
      </c>
      <c r="J47" s="763">
        <v>0</v>
      </c>
      <c r="K47" s="670">
        <f t="shared" ref="K47:K65" si="37">K46+E47+G47</f>
        <v>7945866.8072199998</v>
      </c>
      <c r="L47" s="670">
        <f t="shared" si="36"/>
        <v>14490.622280087851</v>
      </c>
      <c r="M47" s="670">
        <f t="shared" ref="M47:M65" si="38">M46+L47</f>
        <v>25303.705078007391</v>
      </c>
      <c r="N47" s="670">
        <f t="shared" si="33"/>
        <v>7920563.1021419922</v>
      </c>
      <c r="O47" s="764">
        <v>0</v>
      </c>
      <c r="P47" s="763">
        <f t="shared" si="34"/>
        <v>0</v>
      </c>
      <c r="S47" s="670"/>
      <c r="T47" s="725"/>
      <c r="U47" s="721"/>
      <c r="V47" s="527"/>
      <c r="W47" s="725"/>
      <c r="X47" s="721"/>
      <c r="Y47" s="527"/>
    </row>
    <row r="48" spans="1:40">
      <c r="A48" s="715">
        <f t="shared" si="35"/>
        <v>29</v>
      </c>
      <c r="C48" s="699" t="s">
        <v>202</v>
      </c>
      <c r="D48" s="1002">
        <v>2018</v>
      </c>
      <c r="E48" s="726">
        <f>'10-CWIP'!G58</f>
        <v>116255.00000000001</v>
      </c>
      <c r="F48" s="726">
        <f>'10-CWIP'!H58</f>
        <v>0</v>
      </c>
      <c r="G48" s="726">
        <f>'10-CWIP'!I58</f>
        <v>8719.125</v>
      </c>
      <c r="H48" s="762">
        <v>0</v>
      </c>
      <c r="I48" s="719">
        <v>0</v>
      </c>
      <c r="J48" s="763">
        <v>0</v>
      </c>
      <c r="K48" s="670">
        <f t="shared" si="37"/>
        <v>8070840.9322199998</v>
      </c>
      <c r="L48" s="670">
        <f t="shared" si="36"/>
        <v>16821.42087812506</v>
      </c>
      <c r="M48" s="670">
        <f t="shared" si="38"/>
        <v>42125.125956132455</v>
      </c>
      <c r="N48" s="670">
        <f t="shared" si="33"/>
        <v>8028715.8062638678</v>
      </c>
      <c r="O48" s="764">
        <v>0</v>
      </c>
      <c r="P48" s="763">
        <f t="shared" si="34"/>
        <v>0</v>
      </c>
      <c r="S48" s="670"/>
      <c r="T48" s="725"/>
      <c r="U48" s="721"/>
      <c r="V48" s="527"/>
      <c r="W48" s="725"/>
      <c r="X48" s="721"/>
      <c r="Y48" s="527"/>
    </row>
    <row r="49" spans="1:25">
      <c r="A49" s="715">
        <f t="shared" si="35"/>
        <v>30</v>
      </c>
      <c r="C49" s="702" t="s">
        <v>203</v>
      </c>
      <c r="D49" s="1002">
        <v>2018</v>
      </c>
      <c r="E49" s="726">
        <f>'10-CWIP'!G59</f>
        <v>786000</v>
      </c>
      <c r="F49" s="726">
        <f>'10-CWIP'!H59</f>
        <v>0</v>
      </c>
      <c r="G49" s="726">
        <f>'10-CWIP'!I59</f>
        <v>58950</v>
      </c>
      <c r="H49" s="762">
        <v>0</v>
      </c>
      <c r="I49" s="719">
        <v>0</v>
      </c>
      <c r="J49" s="763">
        <v>0</v>
      </c>
      <c r="K49" s="670">
        <f t="shared" si="37"/>
        <v>8915790.9322200008</v>
      </c>
      <c r="L49" s="670">
        <f t="shared" si="36"/>
        <v>17085.991428639474</v>
      </c>
      <c r="M49" s="670">
        <f t="shared" si="38"/>
        <v>59211.117384771933</v>
      </c>
      <c r="N49" s="670">
        <f t="shared" si="33"/>
        <v>8856579.814835228</v>
      </c>
      <c r="O49" s="764">
        <v>0</v>
      </c>
      <c r="P49" s="763">
        <f t="shared" si="34"/>
        <v>0</v>
      </c>
      <c r="S49" s="670"/>
      <c r="T49" s="725"/>
      <c r="U49" s="721"/>
      <c r="V49" s="527"/>
      <c r="W49" s="725"/>
      <c r="X49" s="721"/>
      <c r="Y49" s="527"/>
    </row>
    <row r="50" spans="1:25">
      <c r="A50" s="715">
        <f t="shared" si="35"/>
        <v>31</v>
      </c>
      <c r="C50" s="702" t="s">
        <v>204</v>
      </c>
      <c r="D50" s="1002">
        <v>2018</v>
      </c>
      <c r="E50" s="726">
        <f>'10-CWIP'!G60</f>
        <v>3410369.5299999993</v>
      </c>
      <c r="F50" s="726">
        <f>'10-CWIP'!H60</f>
        <v>2447557.5500000003</v>
      </c>
      <c r="G50" s="726">
        <f>'10-CWIP'!I60</f>
        <v>72210.898499999967</v>
      </c>
      <c r="H50" s="762">
        <v>0</v>
      </c>
      <c r="I50" s="719">
        <v>0</v>
      </c>
      <c r="J50" s="763">
        <v>0</v>
      </c>
      <c r="K50" s="670">
        <f t="shared" si="37"/>
        <v>12398371.360719999</v>
      </c>
      <c r="L50" s="670">
        <f t="shared" si="36"/>
        <v>18874.752795499659</v>
      </c>
      <c r="M50" s="670">
        <f t="shared" si="38"/>
        <v>78085.870180271595</v>
      </c>
      <c r="N50" s="670">
        <f t="shared" si="33"/>
        <v>12320285.490539728</v>
      </c>
      <c r="O50" s="764">
        <v>0</v>
      </c>
      <c r="P50" s="763">
        <f t="shared" si="34"/>
        <v>0</v>
      </c>
      <c r="S50" s="670"/>
      <c r="T50" s="725"/>
      <c r="U50" s="721"/>
      <c r="V50" s="527"/>
      <c r="W50" s="725"/>
      <c r="X50" s="721"/>
      <c r="Y50" s="527"/>
    </row>
    <row r="51" spans="1:25">
      <c r="A51" s="715">
        <f t="shared" si="35"/>
        <v>32</v>
      </c>
      <c r="C51" s="699" t="s">
        <v>205</v>
      </c>
      <c r="D51" s="1002">
        <v>2018</v>
      </c>
      <c r="E51" s="726">
        <f>'10-CWIP'!G61</f>
        <v>548326</v>
      </c>
      <c r="F51" s="726">
        <f>'10-CWIP'!H61</f>
        <v>0</v>
      </c>
      <c r="G51" s="726">
        <f>'10-CWIP'!I61</f>
        <v>41124.449999999997</v>
      </c>
      <c r="H51" s="762">
        <v>0</v>
      </c>
      <c r="I51" s="719">
        <v>0</v>
      </c>
      <c r="J51" s="763">
        <v>0</v>
      </c>
      <c r="K51" s="670">
        <f t="shared" si="37"/>
        <v>12987821.810719999</v>
      </c>
      <c r="L51" s="670">
        <f t="shared" si="36"/>
        <v>26247.384699735605</v>
      </c>
      <c r="M51" s="670">
        <f t="shared" si="38"/>
        <v>104333.2548800072</v>
      </c>
      <c r="N51" s="670">
        <f t="shared" si="33"/>
        <v>12883488.555839991</v>
      </c>
      <c r="O51" s="764">
        <v>0</v>
      </c>
      <c r="P51" s="763">
        <f t="shared" si="34"/>
        <v>0</v>
      </c>
      <c r="S51" s="670"/>
      <c r="T51" s="725"/>
      <c r="U51" s="721"/>
      <c r="V51" s="527"/>
      <c r="W51" s="725"/>
      <c r="X51" s="721"/>
      <c r="Y51" s="527"/>
    </row>
    <row r="52" spans="1:25">
      <c r="A52" s="715">
        <f t="shared" si="35"/>
        <v>33</v>
      </c>
      <c r="C52" s="702" t="s">
        <v>206</v>
      </c>
      <c r="D52" s="1002">
        <v>2018</v>
      </c>
      <c r="E52" s="726">
        <f>'10-CWIP'!G62</f>
        <v>297663</v>
      </c>
      <c r="F52" s="726">
        <f>'10-CWIP'!H62</f>
        <v>0</v>
      </c>
      <c r="G52" s="726">
        <f>'10-CWIP'!I62</f>
        <v>22324.724999999999</v>
      </c>
      <c r="H52" s="762">
        <v>0</v>
      </c>
      <c r="I52" s="719">
        <v>0</v>
      </c>
      <c r="J52" s="763">
        <v>0</v>
      </c>
      <c r="K52" s="670">
        <f t="shared" si="37"/>
        <v>13307809.535719998</v>
      </c>
      <c r="L52" s="670">
        <f t="shared" si="36"/>
        <v>27495.252848902237</v>
      </c>
      <c r="M52" s="670">
        <f t="shared" si="38"/>
        <v>131828.50772890943</v>
      </c>
      <c r="N52" s="670">
        <f t="shared" si="33"/>
        <v>13175981.027991088</v>
      </c>
      <c r="O52" s="764">
        <v>0</v>
      </c>
      <c r="P52" s="763">
        <f t="shared" si="34"/>
        <v>0</v>
      </c>
      <c r="S52" s="670"/>
      <c r="T52" s="725"/>
      <c r="U52" s="721"/>
      <c r="V52" s="527"/>
      <c r="W52" s="725"/>
      <c r="X52" s="721"/>
      <c r="Y52" s="527"/>
    </row>
    <row r="53" spans="1:25">
      <c r="A53" s="715">
        <f t="shared" si="35"/>
        <v>34</v>
      </c>
      <c r="C53" s="702" t="s">
        <v>207</v>
      </c>
      <c r="D53" s="1002">
        <v>2018</v>
      </c>
      <c r="E53" s="726">
        <f>'10-CWIP'!G63</f>
        <v>349971</v>
      </c>
      <c r="F53" s="726">
        <f>'10-CWIP'!H63</f>
        <v>0</v>
      </c>
      <c r="G53" s="726">
        <f>'10-CWIP'!I63</f>
        <v>26247.825000000001</v>
      </c>
      <c r="H53" s="762">
        <v>0</v>
      </c>
      <c r="I53" s="719">
        <v>0</v>
      </c>
      <c r="J53" s="763">
        <v>0</v>
      </c>
      <c r="K53" s="670">
        <f t="shared" si="37"/>
        <v>13684028.360719997</v>
      </c>
      <c r="L53" s="670">
        <f t="shared" si="36"/>
        <v>28172.667702265724</v>
      </c>
      <c r="M53" s="670">
        <f t="shared" si="38"/>
        <v>160001.17543117516</v>
      </c>
      <c r="N53" s="670">
        <f t="shared" si="33"/>
        <v>13524027.185288822</v>
      </c>
      <c r="O53" s="764">
        <v>0</v>
      </c>
      <c r="P53" s="763">
        <f t="shared" si="34"/>
        <v>0</v>
      </c>
      <c r="S53" s="670"/>
      <c r="T53" s="725"/>
      <c r="U53" s="721"/>
      <c r="V53" s="527"/>
      <c r="W53" s="725"/>
      <c r="X53" s="721"/>
      <c r="Y53" s="527"/>
    </row>
    <row r="54" spans="1:25">
      <c r="A54" s="715">
        <f t="shared" si="35"/>
        <v>35</v>
      </c>
      <c r="C54" s="699" t="s">
        <v>208</v>
      </c>
      <c r="D54" s="1002">
        <v>2018</v>
      </c>
      <c r="E54" s="726">
        <f>'10-CWIP'!G64</f>
        <v>77673</v>
      </c>
      <c r="F54" s="726">
        <f>'10-CWIP'!H64</f>
        <v>0</v>
      </c>
      <c r="G54" s="726">
        <f>'10-CWIP'!I64</f>
        <v>5825.4749999999995</v>
      </c>
      <c r="H54" s="762">
        <v>0</v>
      </c>
      <c r="I54" s="719">
        <v>0</v>
      </c>
      <c r="J54" s="763">
        <v>0</v>
      </c>
      <c r="K54" s="670">
        <f t="shared" si="37"/>
        <v>13767526.835719997</v>
      </c>
      <c r="L54" s="670">
        <f t="shared" si="36"/>
        <v>28969.123941860409</v>
      </c>
      <c r="M54" s="670">
        <f t="shared" si="38"/>
        <v>188970.29937303555</v>
      </c>
      <c r="N54" s="670">
        <f t="shared" si="33"/>
        <v>13578556.536346961</v>
      </c>
      <c r="O54" s="764">
        <v>0</v>
      </c>
      <c r="P54" s="763">
        <f t="shared" si="34"/>
        <v>0</v>
      </c>
      <c r="S54" s="670"/>
      <c r="T54" s="725"/>
      <c r="U54" s="721"/>
      <c r="V54" s="527"/>
      <c r="W54" s="725"/>
      <c r="X54" s="721"/>
      <c r="Y54" s="527"/>
    </row>
    <row r="55" spans="1:25">
      <c r="A55" s="715">
        <f t="shared" si="35"/>
        <v>36</v>
      </c>
      <c r="C55" s="699" t="s">
        <v>209</v>
      </c>
      <c r="D55" s="1002">
        <v>2018</v>
      </c>
      <c r="E55" s="726">
        <f>'10-CWIP'!G65</f>
        <v>47000</v>
      </c>
      <c r="F55" s="726">
        <f>'10-CWIP'!H65</f>
        <v>0</v>
      </c>
      <c r="G55" s="726">
        <f>'10-CWIP'!I65</f>
        <v>3525</v>
      </c>
      <c r="H55" s="762">
        <v>0</v>
      </c>
      <c r="I55" s="719">
        <v>0</v>
      </c>
      <c r="J55" s="763">
        <v>0</v>
      </c>
      <c r="K55" s="670">
        <f t="shared" si="37"/>
        <v>13818051.835719997</v>
      </c>
      <c r="L55" s="670">
        <f t="shared" si="36"/>
        <v>29145.890432506887</v>
      </c>
      <c r="M55" s="670">
        <f t="shared" si="38"/>
        <v>218116.18980554244</v>
      </c>
      <c r="N55" s="670">
        <f t="shared" si="33"/>
        <v>13599935.645914454</v>
      </c>
      <c r="O55" s="764">
        <v>0</v>
      </c>
      <c r="P55" s="763">
        <f t="shared" si="34"/>
        <v>0</v>
      </c>
      <c r="S55" s="670"/>
      <c r="T55" s="725"/>
      <c r="U55" s="721"/>
      <c r="V55" s="527"/>
      <c r="W55" s="725"/>
      <c r="X55" s="721"/>
      <c r="Y55" s="527"/>
    </row>
    <row r="56" spans="1:25">
      <c r="A56" s="715">
        <f t="shared" si="35"/>
        <v>37</v>
      </c>
      <c r="C56" s="699" t="s">
        <v>199</v>
      </c>
      <c r="D56" s="1002">
        <v>2018</v>
      </c>
      <c r="E56" s="726">
        <f>'10-CWIP'!G66</f>
        <v>20677884.444288</v>
      </c>
      <c r="F56" s="726">
        <f>'10-CWIP'!H66</f>
        <v>8513637.9700000007</v>
      </c>
      <c r="G56" s="726">
        <f>'10-CWIP'!I66</f>
        <v>912318.4855715998</v>
      </c>
      <c r="H56" s="762">
        <v>0</v>
      </c>
      <c r="I56" s="719">
        <v>0</v>
      </c>
      <c r="J56" s="763">
        <v>0</v>
      </c>
      <c r="K56" s="670">
        <f t="shared" si="37"/>
        <v>35408254.765579596</v>
      </c>
      <c r="L56" s="670">
        <f t="shared" si="36"/>
        <v>29252.851990067225</v>
      </c>
      <c r="M56" s="670">
        <f t="shared" si="38"/>
        <v>247369.04179560966</v>
      </c>
      <c r="N56" s="670">
        <f t="shared" si="33"/>
        <v>35160885.723783985</v>
      </c>
      <c r="O56" s="764">
        <v>0</v>
      </c>
      <c r="P56" s="763">
        <f t="shared" si="34"/>
        <v>0</v>
      </c>
      <c r="S56" s="670"/>
      <c r="T56" s="725"/>
      <c r="U56" s="721"/>
      <c r="V56" s="527"/>
      <c r="W56" s="725"/>
      <c r="X56" s="721"/>
      <c r="Y56" s="527"/>
    </row>
    <row r="57" spans="1:25">
      <c r="A57" s="715">
        <f t="shared" si="35"/>
        <v>38</v>
      </c>
      <c r="C57" s="699" t="s">
        <v>200</v>
      </c>
      <c r="D57" s="1002">
        <v>2019</v>
      </c>
      <c r="E57" s="726">
        <f>'10-CWIP'!G67</f>
        <v>185930</v>
      </c>
      <c r="F57" s="726">
        <f>'10-CWIP'!H67</f>
        <v>0</v>
      </c>
      <c r="G57" s="726">
        <f>'10-CWIP'!I67</f>
        <v>13944.75</v>
      </c>
      <c r="H57" s="762">
        <v>0</v>
      </c>
      <c r="I57" s="719">
        <v>0</v>
      </c>
      <c r="J57" s="763">
        <v>0</v>
      </c>
      <c r="K57" s="670">
        <f t="shared" si="37"/>
        <v>35608129.515579596</v>
      </c>
      <c r="L57" s="670">
        <f t="shared" si="36"/>
        <v>74959.368237897623</v>
      </c>
      <c r="M57" s="670">
        <f t="shared" si="38"/>
        <v>322328.41003350727</v>
      </c>
      <c r="N57" s="670">
        <f t="shared" si="33"/>
        <v>35285801.105546087</v>
      </c>
      <c r="O57" s="764">
        <v>0</v>
      </c>
      <c r="P57" s="763">
        <f t="shared" si="34"/>
        <v>0</v>
      </c>
      <c r="S57" s="670"/>
      <c r="T57" s="725"/>
      <c r="U57" s="721"/>
      <c r="V57" s="527"/>
      <c r="W57" s="725"/>
      <c r="X57" s="721"/>
      <c r="Y57" s="527"/>
    </row>
    <row r="58" spans="1:25">
      <c r="A58" s="715">
        <f t="shared" si="35"/>
        <v>39</v>
      </c>
      <c r="C58" s="702" t="s">
        <v>201</v>
      </c>
      <c r="D58" s="1002">
        <v>2019</v>
      </c>
      <c r="E58" s="726">
        <f>'10-CWIP'!G68</f>
        <v>204642.63</v>
      </c>
      <c r="F58" s="726">
        <f>'10-CWIP'!H68</f>
        <v>0</v>
      </c>
      <c r="G58" s="726">
        <f>'10-CWIP'!I68</f>
        <v>15348.197249999999</v>
      </c>
      <c r="H58" s="762">
        <v>0</v>
      </c>
      <c r="I58" s="719">
        <v>0</v>
      </c>
      <c r="J58" s="763">
        <v>0</v>
      </c>
      <c r="K58" s="670">
        <f t="shared" si="37"/>
        <v>35828120.3428296</v>
      </c>
      <c r="L58" s="670">
        <f t="shared" si="36"/>
        <v>75382.503608050683</v>
      </c>
      <c r="M58" s="670">
        <f t="shared" si="38"/>
        <v>397710.91364155797</v>
      </c>
      <c r="N58" s="670">
        <f t="shared" si="33"/>
        <v>35430409.429188043</v>
      </c>
      <c r="O58" s="764">
        <v>0</v>
      </c>
      <c r="P58" s="763">
        <f t="shared" si="34"/>
        <v>0</v>
      </c>
      <c r="S58" s="670"/>
      <c r="T58" s="725"/>
      <c r="U58" s="721"/>
      <c r="V58" s="527"/>
      <c r="W58" s="725"/>
      <c r="X58" s="721"/>
      <c r="Y58" s="527"/>
    </row>
    <row r="59" spans="1:25">
      <c r="A59" s="715">
        <f t="shared" si="35"/>
        <v>40</v>
      </c>
      <c r="C59" s="702" t="s">
        <v>214</v>
      </c>
      <c r="D59" s="1002">
        <v>2019</v>
      </c>
      <c r="E59" s="726">
        <f>'10-CWIP'!G69</f>
        <v>361033.7</v>
      </c>
      <c r="F59" s="726">
        <f>'10-CWIP'!H69</f>
        <v>0</v>
      </c>
      <c r="G59" s="726">
        <f>'10-CWIP'!I69</f>
        <v>27077.5275</v>
      </c>
      <c r="H59" s="762">
        <v>0</v>
      </c>
      <c r="I59" s="719">
        <v>0</v>
      </c>
      <c r="J59" s="763">
        <v>0</v>
      </c>
      <c r="K59" s="670">
        <f t="shared" si="37"/>
        <v>36216231.570329607</v>
      </c>
      <c r="L59" s="670">
        <f t="shared" si="36"/>
        <v>75848.224766519736</v>
      </c>
      <c r="M59" s="670">
        <f t="shared" si="38"/>
        <v>473559.13840807771</v>
      </c>
      <c r="N59" s="670">
        <f t="shared" si="33"/>
        <v>35742672.431921527</v>
      </c>
      <c r="O59" s="764">
        <v>0</v>
      </c>
      <c r="P59" s="763">
        <f t="shared" si="34"/>
        <v>0</v>
      </c>
      <c r="S59" s="670"/>
      <c r="T59" s="725"/>
      <c r="U59" s="721"/>
      <c r="V59" s="527"/>
      <c r="W59" s="725"/>
      <c r="X59" s="721"/>
      <c r="Y59" s="527"/>
    </row>
    <row r="60" spans="1:25">
      <c r="A60" s="715">
        <f t="shared" si="35"/>
        <v>41</v>
      </c>
      <c r="C60" s="699" t="s">
        <v>202</v>
      </c>
      <c r="D60" s="1002">
        <v>2019</v>
      </c>
      <c r="E60" s="726">
        <f>'10-CWIP'!G70</f>
        <v>373816.33</v>
      </c>
      <c r="F60" s="726">
        <f>'10-CWIP'!H70</f>
        <v>0</v>
      </c>
      <c r="G60" s="726">
        <f>'10-CWIP'!I70</f>
        <v>28036.224750000001</v>
      </c>
      <c r="H60" s="762">
        <v>0</v>
      </c>
      <c r="I60" s="719">
        <v>0</v>
      </c>
      <c r="J60" s="763">
        <v>0</v>
      </c>
      <c r="K60" s="670">
        <f t="shared" si="37"/>
        <v>36618084.125079602</v>
      </c>
      <c r="L60" s="670">
        <f t="shared" si="36"/>
        <v>76669.85725340854</v>
      </c>
      <c r="M60" s="670">
        <f t="shared" si="38"/>
        <v>550228.99566148629</v>
      </c>
      <c r="N60" s="670">
        <f t="shared" si="33"/>
        <v>36067855.129418112</v>
      </c>
      <c r="O60" s="764">
        <v>0</v>
      </c>
      <c r="P60" s="763">
        <f t="shared" si="34"/>
        <v>0</v>
      </c>
      <c r="S60" s="670"/>
      <c r="T60" s="725"/>
      <c r="U60" s="721"/>
      <c r="V60" s="527"/>
      <c r="W60" s="725"/>
      <c r="X60" s="721"/>
      <c r="Y60" s="527"/>
    </row>
    <row r="61" spans="1:25">
      <c r="A61" s="715">
        <f t="shared" si="35"/>
        <v>42</v>
      </c>
      <c r="C61" s="702" t="s">
        <v>203</v>
      </c>
      <c r="D61" s="1002">
        <v>2019</v>
      </c>
      <c r="E61" s="726">
        <f>'10-CWIP'!G71</f>
        <v>400430.52</v>
      </c>
      <c r="F61" s="726">
        <f>'10-CWIP'!H71</f>
        <v>0</v>
      </c>
      <c r="G61" s="726">
        <f>'10-CWIP'!I71</f>
        <v>30032.289000000001</v>
      </c>
      <c r="H61" s="762">
        <v>0</v>
      </c>
      <c r="I61" s="719">
        <v>0</v>
      </c>
      <c r="J61" s="763">
        <v>0</v>
      </c>
      <c r="K61" s="670">
        <f t="shared" si="37"/>
        <v>37048546.934079602</v>
      </c>
      <c r="L61" s="670">
        <f t="shared" si="36"/>
        <v>77520.580166138112</v>
      </c>
      <c r="M61" s="670">
        <f t="shared" si="38"/>
        <v>627749.57582762442</v>
      </c>
      <c r="N61" s="670">
        <f t="shared" si="33"/>
        <v>36420797.358251981</v>
      </c>
      <c r="O61" s="764">
        <v>0</v>
      </c>
      <c r="P61" s="763">
        <f t="shared" si="34"/>
        <v>0</v>
      </c>
      <c r="S61" s="670"/>
      <c r="T61" s="725"/>
      <c r="U61" s="721"/>
      <c r="V61" s="527"/>
      <c r="W61" s="725"/>
      <c r="X61" s="721"/>
      <c r="Y61" s="527"/>
    </row>
    <row r="62" spans="1:25">
      <c r="A62" s="715">
        <f t="shared" si="35"/>
        <v>43</v>
      </c>
      <c r="C62" s="702" t="s">
        <v>204</v>
      </c>
      <c r="D62" s="1002">
        <v>2019</v>
      </c>
      <c r="E62" s="726">
        <f>'10-CWIP'!G72</f>
        <v>413213.15</v>
      </c>
      <c r="F62" s="726">
        <f>'10-CWIP'!H72</f>
        <v>0</v>
      </c>
      <c r="G62" s="726">
        <f>'10-CWIP'!I72</f>
        <v>30990.986250000002</v>
      </c>
      <c r="H62" s="762">
        <v>0</v>
      </c>
      <c r="I62" s="719">
        <v>0</v>
      </c>
      <c r="J62" s="763">
        <v>0</v>
      </c>
      <c r="K62" s="670">
        <f t="shared" si="37"/>
        <v>37492751.070329599</v>
      </c>
      <c r="L62" s="670">
        <f t="shared" si="36"/>
        <v>78431.871062178485</v>
      </c>
      <c r="M62" s="670">
        <f t="shared" si="38"/>
        <v>706181.44688980293</v>
      </c>
      <c r="N62" s="670">
        <f t="shared" si="33"/>
        <v>36786569.623439796</v>
      </c>
      <c r="O62" s="764">
        <v>0</v>
      </c>
      <c r="P62" s="763">
        <f t="shared" si="34"/>
        <v>0</v>
      </c>
      <c r="S62" s="670"/>
      <c r="T62" s="725"/>
      <c r="U62" s="721"/>
      <c r="V62" s="527"/>
      <c r="W62" s="725"/>
      <c r="X62" s="721"/>
      <c r="Y62" s="527"/>
    </row>
    <row r="63" spans="1:25">
      <c r="A63" s="715">
        <f t="shared" si="35"/>
        <v>44</v>
      </c>
      <c r="C63" s="699" t="s">
        <v>205</v>
      </c>
      <c r="D63" s="1002">
        <v>2019</v>
      </c>
      <c r="E63" s="726">
        <f>'10-CWIP'!G73</f>
        <v>432386.85</v>
      </c>
      <c r="F63" s="726">
        <f>'10-CWIP'!H73</f>
        <v>0</v>
      </c>
      <c r="G63" s="726">
        <f>'10-CWIP'!I73</f>
        <v>32429.013749999998</v>
      </c>
      <c r="H63" s="762">
        <v>0</v>
      </c>
      <c r="I63" s="719">
        <v>0</v>
      </c>
      <c r="J63" s="763">
        <v>0</v>
      </c>
      <c r="K63" s="670">
        <f t="shared" si="37"/>
        <v>37957566.934079602</v>
      </c>
      <c r="L63" s="670">
        <f t="shared" si="36"/>
        <v>79372.25238405964</v>
      </c>
      <c r="M63" s="670">
        <f t="shared" si="38"/>
        <v>785553.69927386253</v>
      </c>
      <c r="N63" s="670">
        <f t="shared" si="33"/>
        <v>37172013.23480574</v>
      </c>
      <c r="O63" s="764">
        <v>0</v>
      </c>
      <c r="P63" s="763">
        <f t="shared" si="34"/>
        <v>0</v>
      </c>
      <c r="S63" s="670"/>
      <c r="T63" s="725"/>
      <c r="U63" s="721"/>
      <c r="V63" s="527"/>
      <c r="W63" s="725"/>
      <c r="X63" s="721"/>
      <c r="Y63" s="527"/>
    </row>
    <row r="64" spans="1:25">
      <c r="A64" s="715">
        <f t="shared" si="35"/>
        <v>45</v>
      </c>
      <c r="C64" s="702" t="s">
        <v>206</v>
      </c>
      <c r="D64" s="1002">
        <v>2019</v>
      </c>
      <c r="E64" s="726">
        <f>'10-CWIP'!G74</f>
        <v>14427934.35</v>
      </c>
      <c r="F64" s="726">
        <f>'10-CWIP'!H74</f>
        <v>8470082.9399999995</v>
      </c>
      <c r="G64" s="726">
        <f>'10-CWIP'!I74</f>
        <v>446838.85574999999</v>
      </c>
      <c r="H64" s="762">
        <v>0</v>
      </c>
      <c r="I64" s="719">
        <v>0</v>
      </c>
      <c r="J64" s="763">
        <v>0</v>
      </c>
      <c r="K64" s="670">
        <f t="shared" si="37"/>
        <v>52832340.139829606</v>
      </c>
      <c r="L64" s="670">
        <f t="shared" si="36"/>
        <v>80356.268787136461</v>
      </c>
      <c r="M64" s="670">
        <f t="shared" si="38"/>
        <v>865909.96806099894</v>
      </c>
      <c r="N64" s="670">
        <f t="shared" si="33"/>
        <v>51966430.171768606</v>
      </c>
      <c r="O64" s="764">
        <v>0</v>
      </c>
      <c r="P64" s="763">
        <f t="shared" si="34"/>
        <v>0</v>
      </c>
      <c r="S64" s="670"/>
      <c r="T64" s="725"/>
      <c r="U64" s="721"/>
      <c r="V64" s="527"/>
      <c r="W64" s="725"/>
      <c r="X64" s="721"/>
      <c r="Y64" s="527"/>
    </row>
    <row r="65" spans="1:25">
      <c r="A65" s="715">
        <f t="shared" si="35"/>
        <v>46</v>
      </c>
      <c r="C65" s="702" t="s">
        <v>207</v>
      </c>
      <c r="D65" s="1002">
        <v>2019</v>
      </c>
      <c r="E65" s="726">
        <f>'10-CWIP'!G75</f>
        <v>453078.41000000003</v>
      </c>
      <c r="F65" s="726">
        <f>'10-CWIP'!H75</f>
        <v>0</v>
      </c>
      <c r="G65" s="726">
        <f>'10-CWIP'!I75</f>
        <v>33980.880749999997</v>
      </c>
      <c r="H65" s="762">
        <v>0</v>
      </c>
      <c r="I65" s="719">
        <v>0</v>
      </c>
      <c r="J65" s="763">
        <v>0</v>
      </c>
      <c r="K65" s="670">
        <f t="shared" si="37"/>
        <v>53319399.430579603</v>
      </c>
      <c r="L65" s="670">
        <f t="shared" si="36"/>
        <v>111846.20269003313</v>
      </c>
      <c r="M65" s="670">
        <f t="shared" si="38"/>
        <v>977756.17075103207</v>
      </c>
      <c r="N65" s="670">
        <f t="shared" si="33"/>
        <v>52341643.259828568</v>
      </c>
      <c r="O65" s="764">
        <v>0</v>
      </c>
      <c r="P65" s="763">
        <f t="shared" si="34"/>
        <v>0</v>
      </c>
      <c r="S65" s="670"/>
      <c r="T65" s="725"/>
      <c r="U65" s="721"/>
      <c r="V65" s="527"/>
      <c r="W65" s="725"/>
      <c r="X65" s="721"/>
      <c r="Y65" s="527"/>
    </row>
    <row r="66" spans="1:25">
      <c r="A66" s="716">
        <f t="shared" si="35"/>
        <v>47</v>
      </c>
      <c r="C66" s="702" t="s">
        <v>210</v>
      </c>
      <c r="D66" s="1002">
        <v>2019</v>
      </c>
      <c r="E66" s="726">
        <f>'10-CWIP'!G76</f>
        <v>19987218.269999996</v>
      </c>
      <c r="F66" s="726">
        <f>'10-CWIP'!H76</f>
        <v>9341863.8599999994</v>
      </c>
      <c r="G66" s="726">
        <f>'10-CWIP'!I76</f>
        <v>798401.58074999985</v>
      </c>
      <c r="H66" s="762">
        <v>0</v>
      </c>
      <c r="I66" s="719">
        <v>0</v>
      </c>
      <c r="J66" s="763">
        <v>0</v>
      </c>
      <c r="K66" s="670">
        <f t="shared" ref="K66:K68" si="39">K65+E66+G66</f>
        <v>74105019.281329602</v>
      </c>
      <c r="L66" s="670">
        <f t="shared" si="36"/>
        <v>112877.30848642807</v>
      </c>
      <c r="M66" s="670">
        <f t="shared" ref="M66:M68" si="40">M65+L66</f>
        <v>1090633.4792374601</v>
      </c>
      <c r="N66" s="670">
        <f t="shared" ref="N66:N68" si="41">K66-M66</f>
        <v>73014385.802092135</v>
      </c>
      <c r="O66" s="764">
        <v>0</v>
      </c>
      <c r="P66" s="763">
        <f t="shared" si="34"/>
        <v>0</v>
      </c>
      <c r="S66" s="670"/>
      <c r="T66" s="725"/>
      <c r="U66" s="721"/>
      <c r="V66" s="527"/>
      <c r="W66" s="725"/>
      <c r="X66" s="721"/>
      <c r="Y66" s="527"/>
    </row>
    <row r="67" spans="1:25">
      <c r="A67" s="716">
        <f t="shared" si="35"/>
        <v>48</v>
      </c>
      <c r="C67" s="702" t="s">
        <v>209</v>
      </c>
      <c r="D67" s="1002">
        <v>2019</v>
      </c>
      <c r="E67" s="726">
        <f>'10-CWIP'!G77</f>
        <v>16531554.139999997</v>
      </c>
      <c r="F67" s="726">
        <f>'10-CWIP'!H77</f>
        <v>6140181.3599999994</v>
      </c>
      <c r="G67" s="726">
        <f>'10-CWIP'!I77</f>
        <v>779352.95849999983</v>
      </c>
      <c r="H67" s="762">
        <v>0</v>
      </c>
      <c r="I67" s="719">
        <v>0</v>
      </c>
      <c r="J67" s="763">
        <v>0</v>
      </c>
      <c r="K67" s="670">
        <f t="shared" si="39"/>
        <v>91415926.3798296</v>
      </c>
      <c r="L67" s="670">
        <f t="shared" si="36"/>
        <v>156880.5202448323</v>
      </c>
      <c r="M67" s="670">
        <f t="shared" si="40"/>
        <v>1247513.9994822924</v>
      </c>
      <c r="N67" s="670">
        <f t="shared" si="41"/>
        <v>90168412.380347311</v>
      </c>
      <c r="O67" s="764">
        <v>0</v>
      </c>
      <c r="P67" s="763">
        <f t="shared" si="34"/>
        <v>0</v>
      </c>
      <c r="S67" s="670"/>
      <c r="T67" s="725"/>
      <c r="U67" s="721"/>
      <c r="V67" s="527"/>
      <c r="W67" s="725"/>
      <c r="X67" s="721"/>
      <c r="Y67" s="527"/>
    </row>
    <row r="68" spans="1:25">
      <c r="A68" s="716">
        <f t="shared" si="35"/>
        <v>49</v>
      </c>
      <c r="C68" s="702" t="s">
        <v>199</v>
      </c>
      <c r="D68" s="1002">
        <v>2019</v>
      </c>
      <c r="E68" s="726">
        <f>'10-CWIP'!G78</f>
        <v>5786284.5911999997</v>
      </c>
      <c r="F68" s="726">
        <f>'10-CWIP'!H78</f>
        <v>2531642.4799999995</v>
      </c>
      <c r="G68" s="726">
        <f>'10-CWIP'!I78</f>
        <v>244098.15833999997</v>
      </c>
      <c r="H68" s="762">
        <v>0</v>
      </c>
      <c r="I68" s="719">
        <v>0</v>
      </c>
      <c r="J68" s="763">
        <v>0</v>
      </c>
      <c r="K68" s="670">
        <f t="shared" si="39"/>
        <v>97446309.129369602</v>
      </c>
      <c r="L68" s="670">
        <f t="shared" si="36"/>
        <v>193527.75599026389</v>
      </c>
      <c r="M68" s="670">
        <f t="shared" si="40"/>
        <v>1441041.7554725562</v>
      </c>
      <c r="N68" s="670">
        <f t="shared" si="41"/>
        <v>96005267.373897046</v>
      </c>
      <c r="O68" s="764">
        <v>0</v>
      </c>
      <c r="P68" s="763">
        <f t="shared" si="34"/>
        <v>0</v>
      </c>
      <c r="S68" s="670"/>
      <c r="T68" s="725"/>
      <c r="U68" s="721"/>
      <c r="V68" s="527"/>
      <c r="W68" s="725"/>
      <c r="X68" s="721"/>
      <c r="Y68" s="527"/>
    </row>
    <row r="69" spans="1:25">
      <c r="A69" s="715"/>
      <c r="D69" s="724"/>
      <c r="G69" s="670"/>
      <c r="M69" s="667"/>
      <c r="N69" s="719"/>
    </row>
    <row r="70" spans="1:25">
      <c r="A70" s="715"/>
      <c r="B70" s="672" t="s">
        <v>2347</v>
      </c>
      <c r="D70" s="724"/>
      <c r="G70" s="765"/>
      <c r="M70" s="667"/>
      <c r="N70" s="719"/>
    </row>
    <row r="71" spans="1:25">
      <c r="A71" s="715"/>
      <c r="E71" s="710" t="s">
        <v>391</v>
      </c>
      <c r="F71" s="710" t="s">
        <v>375</v>
      </c>
      <c r="G71" s="710" t="s">
        <v>376</v>
      </c>
      <c r="H71" s="710" t="s">
        <v>377</v>
      </c>
      <c r="I71" s="710" t="s">
        <v>378</v>
      </c>
      <c r="J71" s="710" t="s">
        <v>379</v>
      </c>
      <c r="K71" s="710" t="s">
        <v>380</v>
      </c>
      <c r="L71" s="710" t="s">
        <v>593</v>
      </c>
      <c r="M71" s="710" t="s">
        <v>1040</v>
      </c>
      <c r="N71" s="710" t="s">
        <v>1056</v>
      </c>
      <c r="O71" s="710" t="s">
        <v>1059</v>
      </c>
      <c r="P71" s="710" t="s">
        <v>1077</v>
      </c>
    </row>
    <row r="72" spans="1:25" ht="25.5">
      <c r="A72" s="715"/>
      <c r="E72" s="712"/>
      <c r="F72" s="712"/>
      <c r="G72" s="713" t="str">
        <f>"=(C"&amp;RIGHT(E71)&amp;"-C"&amp;RIGHT(F71)&amp;")*L"&amp;$A$103</f>
        <v>=(C1-C2)*L74</v>
      </c>
      <c r="H72" s="712" t="str">
        <f>"=(C"&amp;RIGHT(E71)&amp;"-C"&amp;RIGHT(F71)&amp;"+C"&amp;RIGHT(G71)&amp;")*L"&amp;$A$107</f>
        <v>=(C1-C2+C3)*L75</v>
      </c>
      <c r="I72" s="712" t="str">
        <f>"=C"&amp;RIGHT(E71)&amp;"-C"&amp;RIGHT(F71)&amp;"+C"&amp;RIGHT(G71)&amp;"-C"&amp;RIGHT(H71)</f>
        <v>=C1-C2+C3-C4</v>
      </c>
      <c r="J72" s="713" t="str">
        <f>"=C"&amp;RIGHT(I71)&amp;"*L"&amp;$A$111</f>
        <v>=C5*L76</v>
      </c>
      <c r="K72" s="759" t="s">
        <v>2348</v>
      </c>
      <c r="L72" s="760" t="s">
        <v>2566</v>
      </c>
      <c r="M72" s="761" t="s">
        <v>2346</v>
      </c>
      <c r="N72" s="712" t="str">
        <f>"=C"&amp;RIGHT(K71)&amp;"-C"&amp;RIGHT(M71)</f>
        <v>=C7-C9</v>
      </c>
      <c r="P72" s="761" t="s">
        <v>2567</v>
      </c>
    </row>
    <row r="73" spans="1:25">
      <c r="A73" s="715"/>
      <c r="C73" s="715" t="str">
        <f>C10</f>
        <v>Forecast</v>
      </c>
      <c r="E73" s="715" t="str">
        <f>E10</f>
        <v>Unloaded</v>
      </c>
      <c r="F73" s="715"/>
      <c r="G73" s="715"/>
      <c r="H73" s="716"/>
      <c r="I73" s="716" t="str">
        <f>I10</f>
        <v>AFUDC</v>
      </c>
      <c r="J73" s="716"/>
      <c r="K73" s="716"/>
      <c r="L73" s="716"/>
      <c r="M73" s="716"/>
      <c r="O73" s="715" t="str">
        <f>O10</f>
        <v>Unloaded</v>
      </c>
      <c r="P73" s="715" t="str">
        <f>P10</f>
        <v>Loaded</v>
      </c>
    </row>
    <row r="74" spans="1:25">
      <c r="A74" s="715"/>
      <c r="C74" s="715" t="str">
        <f>C11</f>
        <v>Period</v>
      </c>
      <c r="E74" s="715" t="str">
        <f>E11</f>
        <v>Total</v>
      </c>
      <c r="F74" s="715" t="str">
        <f t="shared" ref="F74:H75" si="42">F11</f>
        <v>Prior Period</v>
      </c>
      <c r="G74" s="716" t="str">
        <f t="shared" si="42"/>
        <v>Over Heads</v>
      </c>
      <c r="H74" s="716" t="str">
        <f t="shared" si="42"/>
        <v xml:space="preserve">Cost of </v>
      </c>
      <c r="I74" s="716" t="str">
        <f>I11</f>
        <v>Eligible Plant</v>
      </c>
      <c r="J74" s="716"/>
      <c r="K74" s="716" t="str">
        <f t="shared" ref="K74:M74" si="43">K11</f>
        <v>Incremental</v>
      </c>
      <c r="L74" s="716" t="str">
        <f t="shared" si="43"/>
        <v>Depreciation</v>
      </c>
      <c r="M74" s="716" t="str">
        <f t="shared" si="43"/>
        <v>Incremental</v>
      </c>
      <c r="O74" s="716" t="str">
        <f>O11</f>
        <v>Low Voltage</v>
      </c>
      <c r="P74" s="716" t="str">
        <f>P11</f>
        <v>Low Voltage</v>
      </c>
      <c r="Q74" s="715"/>
    </row>
    <row r="75" spans="1:25">
      <c r="A75" s="717" t="s">
        <v>360</v>
      </c>
      <c r="C75" s="698" t="str">
        <f>C12</f>
        <v>Month</v>
      </c>
      <c r="D75" s="698" t="str">
        <f>D12</f>
        <v>Year</v>
      </c>
      <c r="E75" s="711" t="str">
        <f>E12</f>
        <v>Plant Adds</v>
      </c>
      <c r="F75" s="711" t="str">
        <f t="shared" si="42"/>
        <v>CWIP Closed</v>
      </c>
      <c r="G75" s="718" t="str">
        <f t="shared" si="42"/>
        <v>Closed to PIS</v>
      </c>
      <c r="H75" s="718" t="str">
        <f t="shared" si="42"/>
        <v>Removal</v>
      </c>
      <c r="I75" s="718" t="str">
        <f>I12</f>
        <v>Additions</v>
      </c>
      <c r="J75" s="718" t="str">
        <f t="shared" ref="J75:P75" si="44">J12</f>
        <v>AFUDC</v>
      </c>
      <c r="K75" s="718" t="str">
        <f t="shared" si="44"/>
        <v>Gross Plant</v>
      </c>
      <c r="L75" s="718" t="str">
        <f t="shared" si="44"/>
        <v>Accrual</v>
      </c>
      <c r="M75" s="718" t="str">
        <f t="shared" si="44"/>
        <v>Reserve</v>
      </c>
      <c r="N75" s="718" t="str">
        <f t="shared" si="44"/>
        <v>Net Plant</v>
      </c>
      <c r="O75" s="718" t="str">
        <f t="shared" si="44"/>
        <v>Additions</v>
      </c>
      <c r="P75" s="718" t="str">
        <f t="shared" si="44"/>
        <v>Additions</v>
      </c>
      <c r="Q75" s="718"/>
      <c r="S75" s="766"/>
      <c r="T75" s="718"/>
      <c r="U75" s="718"/>
      <c r="V75" s="718"/>
      <c r="W75" s="718"/>
      <c r="X75" s="718"/>
      <c r="Y75" s="718"/>
    </row>
    <row r="76" spans="1:25">
      <c r="A76" s="715">
        <f>A68+1</f>
        <v>50</v>
      </c>
      <c r="C76" s="699" t="str">
        <f t="shared" ref="C76:C96" si="45">C45</f>
        <v>January</v>
      </c>
      <c r="D76" s="1002">
        <v>2018</v>
      </c>
      <c r="E76" s="1341">
        <v>14078406.481748167</v>
      </c>
      <c r="F76" s="727">
        <v>34483.771666699831</v>
      </c>
      <c r="G76" s="719">
        <f t="shared" ref="G76:G96" si="46">(E76-F76)*$E$103</f>
        <v>1053294.20325611</v>
      </c>
      <c r="H76" s="670">
        <f t="shared" ref="H76:H96" si="47">(E76-F76+G76)*$E$107</f>
        <v>1207777.3530670062</v>
      </c>
      <c r="I76" s="719">
        <f>E76-F76+G76-H76</f>
        <v>13889439.56027057</v>
      </c>
      <c r="J76" s="719">
        <f t="shared" ref="J76:J96" si="48">I76*$E$111</f>
        <v>416683.18680811708</v>
      </c>
      <c r="K76" s="670">
        <f>F76+I76+J76</f>
        <v>14340606.518745387</v>
      </c>
      <c r="L76" s="670">
        <v>0</v>
      </c>
      <c r="M76" s="670">
        <f>L76</f>
        <v>0</v>
      </c>
      <c r="N76" s="670">
        <f t="shared" ref="N76:N96" si="49">K76-M76</f>
        <v>14340606.518745387</v>
      </c>
      <c r="O76" s="764">
        <v>548711.21166591009</v>
      </c>
      <c r="P76" s="670">
        <f t="shared" ref="P76:P96" si="50">O76*(1-$E$107)*(1+$E$103+$E$111)</f>
        <v>557819.81777956418</v>
      </c>
      <c r="Q76" s="725"/>
      <c r="R76" s="721"/>
      <c r="S76" s="725"/>
      <c r="T76" s="725"/>
      <c r="U76" s="721"/>
      <c r="V76" s="527"/>
      <c r="W76" s="725"/>
      <c r="X76" s="721"/>
      <c r="Y76" s="527"/>
    </row>
    <row r="77" spans="1:25">
      <c r="A77" s="715">
        <f t="shared" si="35"/>
        <v>51</v>
      </c>
      <c r="C77" s="699" t="str">
        <f t="shared" si="45"/>
        <v>February</v>
      </c>
      <c r="D77" s="1002">
        <v>2018</v>
      </c>
      <c r="E77" s="1341">
        <v>14078406.481748167</v>
      </c>
      <c r="F77" s="727">
        <v>34483.771666699831</v>
      </c>
      <c r="G77" s="719">
        <f t="shared" si="46"/>
        <v>1053294.20325611</v>
      </c>
      <c r="H77" s="670">
        <f t="shared" si="47"/>
        <v>1207777.3530670062</v>
      </c>
      <c r="I77" s="719">
        <f t="shared" ref="I77:I96" si="51">E77-F77+G77-H77</f>
        <v>13889439.56027057</v>
      </c>
      <c r="J77" s="719">
        <f t="shared" si="48"/>
        <v>416683.18680811708</v>
      </c>
      <c r="K77" s="670">
        <f>K76+J77+I77+F77</f>
        <v>28681213.03749077</v>
      </c>
      <c r="L77" s="670">
        <f t="shared" ref="L77:L96" si="52">K76*$E$133/12</f>
        <v>30359.101625036968</v>
      </c>
      <c r="M77" s="670">
        <f>M76+L77</f>
        <v>30359.101625036968</v>
      </c>
      <c r="N77" s="670">
        <f t="shared" si="49"/>
        <v>28650853.935865734</v>
      </c>
      <c r="O77" s="764">
        <v>1097422.4233318202</v>
      </c>
      <c r="P77" s="670">
        <f t="shared" si="50"/>
        <v>1115639.6355591284</v>
      </c>
      <c r="Q77" s="725"/>
      <c r="R77" s="721"/>
      <c r="S77" s="725"/>
      <c r="T77" s="725"/>
      <c r="U77" s="721"/>
      <c r="V77" s="527"/>
      <c r="W77" s="725"/>
      <c r="X77" s="721"/>
      <c r="Y77" s="527"/>
    </row>
    <row r="78" spans="1:25">
      <c r="A78" s="715">
        <f t="shared" si="35"/>
        <v>52</v>
      </c>
      <c r="C78" s="699" t="str">
        <f t="shared" si="45"/>
        <v>March</v>
      </c>
      <c r="D78" s="1002">
        <v>2018</v>
      </c>
      <c r="E78" s="1341">
        <v>14078406.481748164</v>
      </c>
      <c r="F78" s="727">
        <v>34483.771666699831</v>
      </c>
      <c r="G78" s="719">
        <f t="shared" si="46"/>
        <v>1053294.2032561097</v>
      </c>
      <c r="H78" s="670">
        <f t="shared" si="47"/>
        <v>1207777.353067006</v>
      </c>
      <c r="I78" s="719">
        <f t="shared" si="51"/>
        <v>13889439.560270566</v>
      </c>
      <c r="J78" s="719">
        <f t="shared" si="48"/>
        <v>416683.18680811697</v>
      </c>
      <c r="K78" s="670">
        <f t="shared" ref="K78:K96" si="53">K77+J78+I78+F78</f>
        <v>43021819.556236155</v>
      </c>
      <c r="L78" s="670">
        <f t="shared" si="52"/>
        <v>60718.203250073922</v>
      </c>
      <c r="M78" s="670">
        <f t="shared" ref="M78:M96" si="54">M77+L78</f>
        <v>91077.304875110887</v>
      </c>
      <c r="N78" s="670">
        <f t="shared" si="49"/>
        <v>42930742.251361042</v>
      </c>
      <c r="O78" s="764">
        <v>1646133.6349977306</v>
      </c>
      <c r="P78" s="670">
        <f t="shared" si="50"/>
        <v>1673459.4533386929</v>
      </c>
      <c r="Q78" s="725"/>
      <c r="R78" s="721"/>
      <c r="S78" s="725"/>
      <c r="T78" s="725"/>
      <c r="U78" s="721"/>
      <c r="V78" s="527"/>
      <c r="W78" s="725"/>
      <c r="X78" s="721"/>
      <c r="Y78" s="527"/>
    </row>
    <row r="79" spans="1:25">
      <c r="A79" s="715">
        <f t="shared" si="35"/>
        <v>53</v>
      </c>
      <c r="C79" s="699" t="str">
        <f t="shared" si="45"/>
        <v>April</v>
      </c>
      <c r="D79" s="1002">
        <v>2018</v>
      </c>
      <c r="E79" s="1341">
        <v>17785682.221748173</v>
      </c>
      <c r="F79" s="727">
        <v>2637999.5116667021</v>
      </c>
      <c r="G79" s="719">
        <f t="shared" si="46"/>
        <v>1136076.2032561102</v>
      </c>
      <c r="H79" s="670">
        <f t="shared" si="47"/>
        <v>1302700.7130670066</v>
      </c>
      <c r="I79" s="719">
        <f t="shared" si="51"/>
        <v>14981058.200270575</v>
      </c>
      <c r="J79" s="719">
        <f t="shared" si="48"/>
        <v>449431.74600811722</v>
      </c>
      <c r="K79" s="670">
        <f t="shared" si="53"/>
        <v>61090309.014181554</v>
      </c>
      <c r="L79" s="670">
        <f t="shared" si="52"/>
        <v>91077.304875110902</v>
      </c>
      <c r="M79" s="670">
        <f t="shared" si="54"/>
        <v>182154.60975022177</v>
      </c>
      <c r="N79" s="670">
        <f t="shared" si="49"/>
        <v>60908154.404431336</v>
      </c>
      <c r="O79" s="764">
        <v>2194844.8466636403</v>
      </c>
      <c r="P79" s="670">
        <f t="shared" si="50"/>
        <v>2231279.2711182567</v>
      </c>
      <c r="Q79" s="725"/>
      <c r="R79" s="721"/>
      <c r="S79" s="725"/>
      <c r="T79" s="725"/>
      <c r="U79" s="721"/>
      <c r="V79" s="527"/>
      <c r="W79" s="725"/>
      <c r="X79" s="721"/>
      <c r="Y79" s="527"/>
    </row>
    <row r="80" spans="1:25">
      <c r="A80" s="715">
        <f t="shared" si="35"/>
        <v>54</v>
      </c>
      <c r="C80" s="699" t="str">
        <f t="shared" si="45"/>
        <v>May</v>
      </c>
      <c r="D80" s="1002">
        <v>2018</v>
      </c>
      <c r="E80" s="1341">
        <v>14078406.481748156</v>
      </c>
      <c r="F80" s="727">
        <v>34483.771666699831</v>
      </c>
      <c r="G80" s="719">
        <f t="shared" si="46"/>
        <v>1053294.2032561093</v>
      </c>
      <c r="H80" s="670">
        <f t="shared" si="47"/>
        <v>1207777.3530670053</v>
      </c>
      <c r="I80" s="719">
        <f t="shared" si="51"/>
        <v>13889439.560270561</v>
      </c>
      <c r="J80" s="719">
        <f t="shared" si="48"/>
        <v>416683.18680811679</v>
      </c>
      <c r="K80" s="670">
        <f t="shared" si="53"/>
        <v>75430915.532926932</v>
      </c>
      <c r="L80" s="670">
        <f t="shared" si="52"/>
        <v>129328.34446312574</v>
      </c>
      <c r="M80" s="670">
        <f t="shared" si="54"/>
        <v>311482.95421334752</v>
      </c>
      <c r="N80" s="670">
        <f t="shared" si="49"/>
        <v>75119432.578713581</v>
      </c>
      <c r="O80" s="764">
        <v>2743556.0583295505</v>
      </c>
      <c r="P80" s="670">
        <f t="shared" si="50"/>
        <v>2789099.0888978215</v>
      </c>
      <c r="Q80" s="725"/>
      <c r="R80" s="721"/>
      <c r="S80" s="725"/>
      <c r="T80" s="725"/>
      <c r="U80" s="721"/>
      <c r="V80" s="527"/>
      <c r="W80" s="725"/>
      <c r="X80" s="721"/>
      <c r="Y80" s="527"/>
    </row>
    <row r="81" spans="1:25">
      <c r="A81" s="715">
        <f t="shared" si="35"/>
        <v>55</v>
      </c>
      <c r="C81" s="699" t="str">
        <f t="shared" si="45"/>
        <v xml:space="preserve">June </v>
      </c>
      <c r="D81" s="1002">
        <v>2018</v>
      </c>
      <c r="E81" s="1341">
        <v>91764080.705248147</v>
      </c>
      <c r="F81" s="727">
        <v>71876240.445166692</v>
      </c>
      <c r="G81" s="719">
        <f t="shared" si="46"/>
        <v>1491588.0195061092</v>
      </c>
      <c r="H81" s="670">
        <f t="shared" si="47"/>
        <v>1710354.262367005</v>
      </c>
      <c r="I81" s="719">
        <f t="shared" si="51"/>
        <v>19669074.017220557</v>
      </c>
      <c r="J81" s="719">
        <f t="shared" si="48"/>
        <v>590072.22051661671</v>
      </c>
      <c r="K81" s="670">
        <f t="shared" si="53"/>
        <v>167566302.2158308</v>
      </c>
      <c r="L81" s="670">
        <f t="shared" si="52"/>
        <v>159687.44608816269</v>
      </c>
      <c r="M81" s="670">
        <f t="shared" si="54"/>
        <v>471170.40030151024</v>
      </c>
      <c r="N81" s="670">
        <f t="shared" si="49"/>
        <v>167095131.81552929</v>
      </c>
      <c r="O81" s="764">
        <v>4770684.5199954603</v>
      </c>
      <c r="P81" s="670">
        <f t="shared" si="50"/>
        <v>4849877.883027385</v>
      </c>
      <c r="Q81" s="725"/>
      <c r="R81" s="721"/>
      <c r="S81" s="725"/>
      <c r="T81" s="725"/>
      <c r="U81" s="721"/>
      <c r="V81" s="527"/>
      <c r="W81" s="725"/>
      <c r="X81" s="721"/>
      <c r="Y81" s="527"/>
    </row>
    <row r="82" spans="1:25">
      <c r="A82" s="715">
        <f t="shared" si="35"/>
        <v>56</v>
      </c>
      <c r="C82" s="699" t="str">
        <f t="shared" si="45"/>
        <v>July</v>
      </c>
      <c r="D82" s="1002">
        <v>2018</v>
      </c>
      <c r="E82" s="1341">
        <v>14164834.431748182</v>
      </c>
      <c r="F82" s="727">
        <v>70911.721666699828</v>
      </c>
      <c r="G82" s="719">
        <f t="shared" si="46"/>
        <v>1057044.2032561111</v>
      </c>
      <c r="H82" s="670">
        <f t="shared" si="47"/>
        <v>1212077.3530670076</v>
      </c>
      <c r="I82" s="719">
        <f t="shared" si="51"/>
        <v>13938889.560270587</v>
      </c>
      <c r="J82" s="719">
        <f t="shared" si="48"/>
        <v>418166.68680811761</v>
      </c>
      <c r="K82" s="670">
        <f t="shared" si="53"/>
        <v>181994270.18457618</v>
      </c>
      <c r="L82" s="670">
        <f t="shared" si="52"/>
        <v>354738.30142765288</v>
      </c>
      <c r="M82" s="670">
        <f t="shared" si="54"/>
        <v>825908.70172916306</v>
      </c>
      <c r="N82" s="670">
        <f t="shared" si="49"/>
        <v>181168361.48284703</v>
      </c>
      <c r="O82" s="764">
        <v>5319395.731661371</v>
      </c>
      <c r="P82" s="670">
        <f t="shared" si="50"/>
        <v>5407697.7008069502</v>
      </c>
      <c r="Q82" s="725"/>
      <c r="R82" s="721"/>
      <c r="S82" s="725"/>
      <c r="T82" s="725"/>
      <c r="U82" s="721"/>
      <c r="V82" s="527"/>
      <c r="W82" s="725"/>
      <c r="X82" s="721"/>
      <c r="Y82" s="527"/>
    </row>
    <row r="83" spans="1:25">
      <c r="A83" s="715">
        <f t="shared" si="35"/>
        <v>57</v>
      </c>
      <c r="C83" s="699" t="str">
        <f t="shared" si="45"/>
        <v>August</v>
      </c>
      <c r="D83" s="1002">
        <v>2018</v>
      </c>
      <c r="E83" s="1341">
        <v>14078406.481748164</v>
      </c>
      <c r="F83" s="727">
        <v>34483.771666699831</v>
      </c>
      <c r="G83" s="719">
        <f t="shared" si="46"/>
        <v>1053294.2032561097</v>
      </c>
      <c r="H83" s="670">
        <f t="shared" si="47"/>
        <v>1207777.353067006</v>
      </c>
      <c r="I83" s="719">
        <f t="shared" si="51"/>
        <v>13889439.560270566</v>
      </c>
      <c r="J83" s="719">
        <f t="shared" si="48"/>
        <v>416683.18680811697</v>
      </c>
      <c r="K83" s="670">
        <f t="shared" si="53"/>
        <v>196334876.70332158</v>
      </c>
      <c r="L83" s="670">
        <f t="shared" si="52"/>
        <v>385282.34747154644</v>
      </c>
      <c r="M83" s="670">
        <f t="shared" si="54"/>
        <v>1211191.0492007094</v>
      </c>
      <c r="N83" s="670">
        <f t="shared" si="49"/>
        <v>195123685.65412086</v>
      </c>
      <c r="O83" s="764">
        <v>5868106.9433272807</v>
      </c>
      <c r="P83" s="670">
        <f t="shared" si="50"/>
        <v>5965517.5185865136</v>
      </c>
      <c r="Q83" s="725"/>
      <c r="R83" s="721"/>
      <c r="S83" s="725"/>
      <c r="T83" s="725"/>
      <c r="U83" s="721"/>
      <c r="V83" s="527"/>
      <c r="W83" s="725"/>
      <c r="X83" s="721"/>
      <c r="Y83" s="527"/>
    </row>
    <row r="84" spans="1:25">
      <c r="A84" s="715">
        <f t="shared" si="35"/>
        <v>58</v>
      </c>
      <c r="C84" s="699" t="str">
        <f t="shared" si="45"/>
        <v>September</v>
      </c>
      <c r="D84" s="1002">
        <v>2018</v>
      </c>
      <c r="E84" s="1341">
        <v>14078406.481748134</v>
      </c>
      <c r="F84" s="727">
        <v>34483.771666699831</v>
      </c>
      <c r="G84" s="719">
        <f t="shared" si="46"/>
        <v>1053294.2032561074</v>
      </c>
      <c r="H84" s="670">
        <f t="shared" si="47"/>
        <v>1207777.3530670034</v>
      </c>
      <c r="I84" s="719">
        <f t="shared" si="51"/>
        <v>13889439.560270539</v>
      </c>
      <c r="J84" s="719">
        <f t="shared" si="48"/>
        <v>416683.18680811615</v>
      </c>
      <c r="K84" s="670">
        <f t="shared" si="53"/>
        <v>210675483.22206694</v>
      </c>
      <c r="L84" s="670">
        <f t="shared" si="52"/>
        <v>415641.44909658335</v>
      </c>
      <c r="M84" s="670">
        <f t="shared" si="54"/>
        <v>1626832.4982972927</v>
      </c>
      <c r="N84" s="670">
        <f t="shared" si="49"/>
        <v>209048650.72376963</v>
      </c>
      <c r="O84" s="764">
        <v>6416818.1549931904</v>
      </c>
      <c r="P84" s="670">
        <f t="shared" si="50"/>
        <v>6523337.3363660779</v>
      </c>
      <c r="Q84" s="725"/>
      <c r="R84" s="721"/>
      <c r="S84" s="725"/>
      <c r="T84" s="725"/>
      <c r="U84" s="721"/>
      <c r="V84" s="527"/>
      <c r="W84" s="725"/>
      <c r="X84" s="721"/>
      <c r="Y84" s="527"/>
    </row>
    <row r="85" spans="1:25">
      <c r="A85" s="715">
        <f t="shared" si="35"/>
        <v>59</v>
      </c>
      <c r="C85" s="699" t="str">
        <f t="shared" si="45"/>
        <v xml:space="preserve">October </v>
      </c>
      <c r="D85" s="1002">
        <v>2018</v>
      </c>
      <c r="E85" s="1341">
        <v>14650134.061748147</v>
      </c>
      <c r="F85" s="727">
        <v>71265.351666699833</v>
      </c>
      <c r="G85" s="719">
        <f t="shared" si="46"/>
        <v>1093415.1532561085</v>
      </c>
      <c r="H85" s="670">
        <f t="shared" si="47"/>
        <v>1253782.7090670045</v>
      </c>
      <c r="I85" s="719">
        <f t="shared" si="51"/>
        <v>14418501.154270552</v>
      </c>
      <c r="J85" s="719">
        <f t="shared" si="48"/>
        <v>432555.03462811653</v>
      </c>
      <c r="K85" s="670">
        <f t="shared" si="53"/>
        <v>225597804.76263231</v>
      </c>
      <c r="L85" s="670">
        <f t="shared" si="52"/>
        <v>446000.55072162027</v>
      </c>
      <c r="M85" s="670">
        <f t="shared" si="54"/>
        <v>2072833.0490189129</v>
      </c>
      <c r="N85" s="670">
        <f t="shared" si="49"/>
        <v>223524971.71361339</v>
      </c>
      <c r="O85" s="764">
        <v>7537256.9466591012</v>
      </c>
      <c r="P85" s="670">
        <f t="shared" si="50"/>
        <v>7662375.4119736422</v>
      </c>
      <c r="Q85" s="725"/>
      <c r="R85" s="721"/>
      <c r="S85" s="725"/>
      <c r="T85" s="725"/>
      <c r="U85" s="721"/>
      <c r="V85" s="527"/>
      <c r="W85" s="725"/>
      <c r="X85" s="721"/>
      <c r="Y85" s="527"/>
    </row>
    <row r="86" spans="1:25">
      <c r="A86" s="715">
        <f t="shared" si="35"/>
        <v>60</v>
      </c>
      <c r="C86" s="699" t="str">
        <f t="shared" si="45"/>
        <v>November</v>
      </c>
      <c r="D86" s="1002">
        <v>2018</v>
      </c>
      <c r="E86" s="1341">
        <v>14078406.481748164</v>
      </c>
      <c r="F86" s="727">
        <v>34483.771666699831</v>
      </c>
      <c r="G86" s="719">
        <f t="shared" si="46"/>
        <v>1053294.2032561097</v>
      </c>
      <c r="H86" s="670">
        <f t="shared" si="47"/>
        <v>1207777.353067006</v>
      </c>
      <c r="I86" s="719">
        <f t="shared" si="51"/>
        <v>13889439.560270566</v>
      </c>
      <c r="J86" s="719">
        <f t="shared" si="48"/>
        <v>416683.18680811697</v>
      </c>
      <c r="K86" s="670">
        <f t="shared" si="53"/>
        <v>239938411.2813777</v>
      </c>
      <c r="L86" s="670">
        <f t="shared" si="52"/>
        <v>477591.14457407175</v>
      </c>
      <c r="M86" s="670">
        <f t="shared" si="54"/>
        <v>2550424.1935929847</v>
      </c>
      <c r="N86" s="670">
        <f t="shared" si="49"/>
        <v>237387987.08778471</v>
      </c>
      <c r="O86" s="764">
        <v>8085968.1583250109</v>
      </c>
      <c r="P86" s="670">
        <f t="shared" si="50"/>
        <v>8220195.2297532065</v>
      </c>
      <c r="Q86" s="725"/>
      <c r="R86" s="721"/>
      <c r="S86" s="725"/>
      <c r="T86" s="725"/>
      <c r="U86" s="721"/>
      <c r="V86" s="527"/>
      <c r="W86" s="725"/>
      <c r="X86" s="721"/>
      <c r="Y86" s="527"/>
    </row>
    <row r="87" spans="1:25">
      <c r="A87" s="715">
        <f t="shared" si="35"/>
        <v>61</v>
      </c>
      <c r="C87" s="699" t="str">
        <f t="shared" si="45"/>
        <v>December</v>
      </c>
      <c r="D87" s="1002">
        <v>2018</v>
      </c>
      <c r="E87" s="1341">
        <v>118945662.44878027</v>
      </c>
      <c r="F87" s="727">
        <v>45412153.892222717</v>
      </c>
      <c r="G87" s="719">
        <f t="shared" si="46"/>
        <v>5515013.141741816</v>
      </c>
      <c r="H87" s="670">
        <f t="shared" si="47"/>
        <v>6323881.7358639492</v>
      </c>
      <c r="I87" s="719">
        <f t="shared" si="51"/>
        <v>72724639.962435409</v>
      </c>
      <c r="J87" s="719">
        <f t="shared" si="48"/>
        <v>2181739.1988730622</v>
      </c>
      <c r="K87" s="670">
        <f t="shared" si="53"/>
        <v>360256944.3349089</v>
      </c>
      <c r="L87" s="670">
        <f t="shared" si="52"/>
        <v>507950.24619910866</v>
      </c>
      <c r="M87" s="670">
        <f t="shared" si="54"/>
        <v>3058374.4397920934</v>
      </c>
      <c r="N87" s="670">
        <f t="shared" si="49"/>
        <v>357198569.89511681</v>
      </c>
      <c r="O87" s="764">
        <v>8634679.3699909206</v>
      </c>
      <c r="P87" s="670">
        <f t="shared" si="50"/>
        <v>8778015.0475327708</v>
      </c>
      <c r="Q87" s="725"/>
      <c r="R87" s="721"/>
      <c r="S87" s="725"/>
      <c r="T87" s="725"/>
      <c r="U87" s="721"/>
      <c r="V87" s="527"/>
      <c r="W87" s="725"/>
      <c r="X87" s="721"/>
      <c r="Y87" s="527"/>
    </row>
    <row r="88" spans="1:25">
      <c r="A88" s="715">
        <f t="shared" si="35"/>
        <v>62</v>
      </c>
      <c r="C88" s="699" t="str">
        <f t="shared" si="45"/>
        <v>January</v>
      </c>
      <c r="D88" s="1002">
        <v>2019</v>
      </c>
      <c r="E88" s="727">
        <v>14159637.271703064</v>
      </c>
      <c r="F88" s="727">
        <v>0</v>
      </c>
      <c r="G88" s="719">
        <f t="shared" si="46"/>
        <v>1061972.7953777297</v>
      </c>
      <c r="H88" s="670">
        <f t="shared" si="47"/>
        <v>1217728.8053664635</v>
      </c>
      <c r="I88" s="719">
        <f t="shared" si="51"/>
        <v>14003881.26171433</v>
      </c>
      <c r="J88" s="719">
        <f t="shared" si="48"/>
        <v>420116.43785142986</v>
      </c>
      <c r="K88" s="670">
        <f t="shared" si="53"/>
        <v>374680942.03447467</v>
      </c>
      <c r="L88" s="670">
        <f t="shared" si="52"/>
        <v>762664.89634816616</v>
      </c>
      <c r="M88" s="670">
        <f t="shared" si="54"/>
        <v>3821039.3361402596</v>
      </c>
      <c r="N88" s="670">
        <f t="shared" si="49"/>
        <v>370859902.6983344</v>
      </c>
      <c r="O88" s="764">
        <v>9251670.0366589092</v>
      </c>
      <c r="P88" s="670">
        <f t="shared" si="50"/>
        <v>9405247.7592674475</v>
      </c>
      <c r="Q88" s="725"/>
      <c r="R88" s="721"/>
      <c r="S88" s="725"/>
      <c r="T88" s="725"/>
      <c r="U88" s="721"/>
      <c r="V88" s="527"/>
      <c r="W88" s="725"/>
      <c r="X88" s="721"/>
      <c r="Y88" s="527"/>
    </row>
    <row r="89" spans="1:25">
      <c r="A89" s="715">
        <f t="shared" si="35"/>
        <v>63</v>
      </c>
      <c r="C89" s="699" t="str">
        <f t="shared" si="45"/>
        <v>February</v>
      </c>
      <c r="D89" s="1002">
        <v>2019</v>
      </c>
      <c r="E89" s="727">
        <v>13159637.271703064</v>
      </c>
      <c r="F89" s="727">
        <v>0</v>
      </c>
      <c r="G89" s="719">
        <f t="shared" si="46"/>
        <v>986972.79537772981</v>
      </c>
      <c r="H89" s="670">
        <f t="shared" si="47"/>
        <v>1131728.8053664635</v>
      </c>
      <c r="I89" s="719">
        <f t="shared" si="51"/>
        <v>13014881.26171433</v>
      </c>
      <c r="J89" s="719">
        <f t="shared" si="48"/>
        <v>390446.43785142986</v>
      </c>
      <c r="K89" s="670">
        <f t="shared" si="53"/>
        <v>388086269.73404044</v>
      </c>
      <c r="L89" s="670">
        <f t="shared" si="52"/>
        <v>793200.53732178977</v>
      </c>
      <c r="M89" s="670">
        <f t="shared" si="54"/>
        <v>4614239.8734620493</v>
      </c>
      <c r="N89" s="670">
        <f t="shared" si="49"/>
        <v>383472029.86057842</v>
      </c>
      <c r="O89" s="764">
        <v>9868660.7033268958</v>
      </c>
      <c r="P89" s="670">
        <f t="shared" si="50"/>
        <v>10032480.471002122</v>
      </c>
      <c r="Q89" s="725"/>
      <c r="R89" s="721"/>
      <c r="S89" s="725"/>
      <c r="T89" s="725"/>
      <c r="U89" s="721"/>
      <c r="V89" s="527"/>
      <c r="W89" s="725"/>
      <c r="X89" s="721"/>
      <c r="Y89" s="527"/>
    </row>
    <row r="90" spans="1:25">
      <c r="A90" s="715">
        <f t="shared" si="35"/>
        <v>64</v>
      </c>
      <c r="C90" s="699" t="str">
        <f t="shared" si="45"/>
        <v>March</v>
      </c>
      <c r="D90" s="1002">
        <v>2019</v>
      </c>
      <c r="E90" s="727">
        <v>13159637.271702945</v>
      </c>
      <c r="F90" s="727">
        <v>0</v>
      </c>
      <c r="G90" s="719">
        <f t="shared" si="46"/>
        <v>986972.79537772085</v>
      </c>
      <c r="H90" s="670">
        <f t="shared" si="47"/>
        <v>1131728.8053664532</v>
      </c>
      <c r="I90" s="719">
        <f t="shared" si="51"/>
        <v>13014881.261714213</v>
      </c>
      <c r="J90" s="719">
        <f t="shared" si="48"/>
        <v>390446.43785142637</v>
      </c>
      <c r="K90" s="670">
        <f t="shared" si="53"/>
        <v>401491597.43360609</v>
      </c>
      <c r="L90" s="670">
        <f t="shared" si="52"/>
        <v>821579.65123277146</v>
      </c>
      <c r="M90" s="670">
        <f t="shared" si="54"/>
        <v>5435819.5246948209</v>
      </c>
      <c r="N90" s="670">
        <f t="shared" si="49"/>
        <v>396055777.90891129</v>
      </c>
      <c r="O90" s="764">
        <v>10485651.369994882</v>
      </c>
      <c r="P90" s="670">
        <f t="shared" si="50"/>
        <v>10659713.182736797</v>
      </c>
      <c r="Q90" s="725"/>
      <c r="R90" s="721"/>
      <c r="S90" s="725"/>
      <c r="T90" s="725"/>
      <c r="U90" s="721"/>
      <c r="V90" s="527"/>
      <c r="W90" s="725"/>
      <c r="X90" s="721"/>
      <c r="Y90" s="527"/>
    </row>
    <row r="91" spans="1:25">
      <c r="A91" s="715">
        <f t="shared" si="35"/>
        <v>65</v>
      </c>
      <c r="C91" s="699" t="str">
        <f t="shared" si="45"/>
        <v>April</v>
      </c>
      <c r="D91" s="1002">
        <v>2019</v>
      </c>
      <c r="E91" s="727">
        <v>13341469.462503135</v>
      </c>
      <c r="F91" s="727">
        <v>39760.190799999989</v>
      </c>
      <c r="G91" s="719">
        <f t="shared" si="46"/>
        <v>997628.19537773507</v>
      </c>
      <c r="H91" s="670">
        <f t="shared" si="47"/>
        <v>1143946.9973664696</v>
      </c>
      <c r="I91" s="719">
        <f t="shared" si="51"/>
        <v>13155390.469714401</v>
      </c>
      <c r="J91" s="719">
        <f t="shared" si="48"/>
        <v>394661.71409143205</v>
      </c>
      <c r="K91" s="670">
        <f t="shared" si="53"/>
        <v>415081409.80821192</v>
      </c>
      <c r="L91" s="670">
        <f t="shared" si="52"/>
        <v>849958.76514375268</v>
      </c>
      <c r="M91" s="670">
        <f t="shared" si="54"/>
        <v>6285778.2898385739</v>
      </c>
      <c r="N91" s="670">
        <f t="shared" si="49"/>
        <v>408795631.51837337</v>
      </c>
      <c r="O91" s="764">
        <v>11284474.227462869</v>
      </c>
      <c r="P91" s="670">
        <f t="shared" si="50"/>
        <v>11471796.499638753</v>
      </c>
      <c r="Q91" s="725"/>
      <c r="R91" s="721"/>
      <c r="S91" s="725"/>
      <c r="T91" s="725"/>
      <c r="U91" s="721"/>
      <c r="V91" s="527"/>
      <c r="W91" s="725"/>
      <c r="X91" s="721"/>
      <c r="Y91" s="527"/>
    </row>
    <row r="92" spans="1:25">
      <c r="A92" s="715">
        <f t="shared" si="35"/>
        <v>66</v>
      </c>
      <c r="C92" s="699" t="str">
        <f t="shared" si="45"/>
        <v>May</v>
      </c>
      <c r="D92" s="1002">
        <v>2019</v>
      </c>
      <c r="E92" s="727">
        <v>19327296.201703012</v>
      </c>
      <c r="F92" s="727">
        <v>460897.93000000011</v>
      </c>
      <c r="G92" s="719">
        <f t="shared" si="46"/>
        <v>1414979.8703777259</v>
      </c>
      <c r="H92" s="670">
        <f t="shared" si="47"/>
        <v>1622510.2513664591</v>
      </c>
      <c r="I92" s="719">
        <f t="shared" si="51"/>
        <v>18658867.89071428</v>
      </c>
      <c r="J92" s="719">
        <f t="shared" si="48"/>
        <v>559766.03672142839</v>
      </c>
      <c r="K92" s="670">
        <f t="shared" si="53"/>
        <v>434760941.66564763</v>
      </c>
      <c r="L92" s="670">
        <f t="shared" si="52"/>
        <v>878728.43359581882</v>
      </c>
      <c r="M92" s="670">
        <f t="shared" si="54"/>
        <v>7164506.7234343924</v>
      </c>
      <c r="N92" s="670">
        <f t="shared" si="49"/>
        <v>427596434.94221324</v>
      </c>
      <c r="O92" s="764">
        <v>11901464.894130858</v>
      </c>
      <c r="P92" s="670">
        <f t="shared" si="50"/>
        <v>12099029.21137343</v>
      </c>
      <c r="Q92" s="725"/>
      <c r="R92" s="721"/>
      <c r="S92" s="725"/>
      <c r="T92" s="725"/>
      <c r="U92" s="721"/>
      <c r="V92" s="527"/>
      <c r="W92" s="725"/>
      <c r="X92" s="721"/>
      <c r="Y92" s="527"/>
    </row>
    <row r="93" spans="1:25">
      <c r="A93" s="715">
        <f t="shared" si="35"/>
        <v>67</v>
      </c>
      <c r="C93" s="699" t="str">
        <f t="shared" si="45"/>
        <v xml:space="preserve">June </v>
      </c>
      <c r="D93" s="1002">
        <v>2019</v>
      </c>
      <c r="E93" s="727">
        <v>19393532.521703064</v>
      </c>
      <c r="F93" s="727">
        <v>272295.25000000023</v>
      </c>
      <c r="G93" s="719">
        <f t="shared" si="46"/>
        <v>1434092.7953777297</v>
      </c>
      <c r="H93" s="670">
        <f t="shared" si="47"/>
        <v>1644426.4053664636</v>
      </c>
      <c r="I93" s="719">
        <f t="shared" si="51"/>
        <v>18910903.66171433</v>
      </c>
      <c r="J93" s="719">
        <f t="shared" si="48"/>
        <v>567327.10985142994</v>
      </c>
      <c r="K93" s="670">
        <f t="shared" si="53"/>
        <v>454511467.68721336</v>
      </c>
      <c r="L93" s="670">
        <f t="shared" si="52"/>
        <v>920390.05417037953</v>
      </c>
      <c r="M93" s="670">
        <f t="shared" si="54"/>
        <v>8084896.7776047718</v>
      </c>
      <c r="N93" s="670">
        <f t="shared" si="49"/>
        <v>446426570.9096086</v>
      </c>
      <c r="O93" s="764">
        <v>12518455.560798844</v>
      </c>
      <c r="P93" s="670">
        <f t="shared" si="50"/>
        <v>12726261.923108106</v>
      </c>
      <c r="Q93" s="725"/>
      <c r="R93" s="721"/>
      <c r="S93" s="725"/>
      <c r="T93" s="725"/>
      <c r="U93" s="721"/>
      <c r="V93" s="527"/>
      <c r="W93" s="725"/>
      <c r="X93" s="721"/>
      <c r="Y93" s="527"/>
    </row>
    <row r="94" spans="1:25">
      <c r="A94" s="715">
        <f t="shared" si="35"/>
        <v>68</v>
      </c>
      <c r="C94" s="699" t="str">
        <f t="shared" si="45"/>
        <v>July</v>
      </c>
      <c r="D94" s="1002">
        <v>2019</v>
      </c>
      <c r="E94" s="727">
        <v>47512322.064102948</v>
      </c>
      <c r="F94" s="727">
        <v>12901857.738700015</v>
      </c>
      <c r="G94" s="719">
        <f t="shared" si="46"/>
        <v>2595784.8244052199</v>
      </c>
      <c r="H94" s="670">
        <f t="shared" si="47"/>
        <v>2976499.9319846523</v>
      </c>
      <c r="I94" s="719">
        <f t="shared" si="51"/>
        <v>34229749.217823498</v>
      </c>
      <c r="J94" s="719">
        <f t="shared" si="48"/>
        <v>1026892.4765347049</v>
      </c>
      <c r="K94" s="670">
        <f t="shared" si="53"/>
        <v>502669967.12027162</v>
      </c>
      <c r="L94" s="670">
        <f t="shared" si="52"/>
        <v>962201.96957666811</v>
      </c>
      <c r="M94" s="670">
        <f t="shared" si="54"/>
        <v>9047098.7471814398</v>
      </c>
      <c r="N94" s="670">
        <f t="shared" si="49"/>
        <v>493622868.37309021</v>
      </c>
      <c r="O94" s="764">
        <v>13135446.227466831</v>
      </c>
      <c r="P94" s="670">
        <f t="shared" si="50"/>
        <v>13353494.634842781</v>
      </c>
      <c r="Q94" s="725"/>
      <c r="R94" s="721"/>
      <c r="S94" s="725"/>
      <c r="T94" s="725"/>
      <c r="U94" s="721"/>
      <c r="V94" s="527"/>
      <c r="W94" s="725"/>
      <c r="X94" s="721"/>
      <c r="Y94" s="527"/>
    </row>
    <row r="95" spans="1:25">
      <c r="A95" s="715">
        <f t="shared" si="35"/>
        <v>69</v>
      </c>
      <c r="C95" s="699" t="str">
        <f t="shared" si="45"/>
        <v>August</v>
      </c>
      <c r="D95" s="1002">
        <v>2019</v>
      </c>
      <c r="E95" s="727">
        <v>13275051.645503104</v>
      </c>
      <c r="F95" s="727">
        <v>3329.533800000002</v>
      </c>
      <c r="G95" s="719">
        <f t="shared" si="46"/>
        <v>995379.15837773273</v>
      </c>
      <c r="H95" s="670">
        <f t="shared" si="47"/>
        <v>1141368.101606467</v>
      </c>
      <c r="I95" s="719">
        <f t="shared" si="51"/>
        <v>13125733.168474369</v>
      </c>
      <c r="J95" s="719">
        <f t="shared" si="48"/>
        <v>393771.99505423103</v>
      </c>
      <c r="K95" s="670">
        <f t="shared" si="53"/>
        <v>516192801.81760025</v>
      </c>
      <c r="L95" s="670">
        <f t="shared" si="52"/>
        <v>1064153.6392279046</v>
      </c>
      <c r="M95" s="670">
        <f t="shared" si="54"/>
        <v>10111252.386409344</v>
      </c>
      <c r="N95" s="670">
        <f t="shared" si="49"/>
        <v>506081549.43119091</v>
      </c>
      <c r="O95" s="764">
        <v>13867851.267934818</v>
      </c>
      <c r="P95" s="670">
        <f t="shared" si="50"/>
        <v>14098057.598982537</v>
      </c>
      <c r="Q95" s="725"/>
      <c r="R95" s="721"/>
      <c r="S95" s="725"/>
      <c r="T95" s="725"/>
      <c r="U95" s="721"/>
      <c r="V95" s="527"/>
      <c r="W95" s="725"/>
      <c r="X95" s="721"/>
      <c r="Y95" s="527"/>
    </row>
    <row r="96" spans="1:25">
      <c r="A96" s="715">
        <f t="shared" si="35"/>
        <v>70</v>
      </c>
      <c r="C96" s="699" t="str">
        <f t="shared" si="45"/>
        <v>September</v>
      </c>
      <c r="D96" s="1002">
        <v>2019</v>
      </c>
      <c r="E96" s="727">
        <v>13159637.271703064</v>
      </c>
      <c r="F96" s="727">
        <v>0</v>
      </c>
      <c r="G96" s="719">
        <f t="shared" si="46"/>
        <v>986972.79537772981</v>
      </c>
      <c r="H96" s="670">
        <f t="shared" si="47"/>
        <v>1131728.8053664635</v>
      </c>
      <c r="I96" s="719">
        <f t="shared" si="51"/>
        <v>13014881.26171433</v>
      </c>
      <c r="J96" s="719">
        <f t="shared" si="48"/>
        <v>390446.43785142986</v>
      </c>
      <c r="K96" s="670">
        <f t="shared" si="53"/>
        <v>529598129.51716602</v>
      </c>
      <c r="L96" s="670">
        <f t="shared" si="52"/>
        <v>1092781.5157614485</v>
      </c>
      <c r="M96" s="670">
        <f t="shared" si="54"/>
        <v>11204033.902170792</v>
      </c>
      <c r="N96" s="670">
        <f t="shared" si="49"/>
        <v>518394095.61499524</v>
      </c>
      <c r="O96" s="764">
        <v>14484841.934602806</v>
      </c>
      <c r="P96" s="670">
        <f t="shared" si="50"/>
        <v>14725290.310717214</v>
      </c>
      <c r="Q96" s="725"/>
      <c r="R96" s="721"/>
      <c r="S96" s="725"/>
      <c r="T96" s="725"/>
      <c r="U96" s="721"/>
      <c r="V96" s="527"/>
      <c r="W96" s="725"/>
      <c r="X96" s="721"/>
      <c r="Y96" s="527"/>
    </row>
    <row r="97" spans="1:25">
      <c r="A97" s="716">
        <f t="shared" si="35"/>
        <v>71</v>
      </c>
      <c r="C97" s="699" t="str">
        <f t="shared" ref="C97:C99" si="55">C66</f>
        <v>October</v>
      </c>
      <c r="D97" s="1002">
        <v>2019</v>
      </c>
      <c r="E97" s="727">
        <v>25094286.991702974</v>
      </c>
      <c r="F97" s="727">
        <v>4712649.7199999988</v>
      </c>
      <c r="G97" s="719">
        <f t="shared" ref="G97:G99" si="56">(E97-F97)*$E$103</f>
        <v>1528622.7953777232</v>
      </c>
      <c r="H97" s="670">
        <f t="shared" ref="H97:H99" si="57">(E97-F97+G97)*$E$107</f>
        <v>1752820.805366456</v>
      </c>
      <c r="I97" s="719">
        <f t="shared" ref="I97:I99" si="58">E97-F97+G97-H97</f>
        <v>20157439.261714242</v>
      </c>
      <c r="J97" s="719">
        <f t="shared" ref="J97:J99" si="59">I97*$E$111</f>
        <v>604723.17785142723</v>
      </c>
      <c r="K97" s="670">
        <f t="shared" ref="K97:K99" si="60">K96+J97+I97+F97</f>
        <v>555072941.67673171</v>
      </c>
      <c r="L97" s="670">
        <f t="shared" ref="L97:L99" si="61">K96*$E$133/12</f>
        <v>1121160.6296724302</v>
      </c>
      <c r="M97" s="670">
        <f t="shared" ref="M97:M99" si="62">M96+L97</f>
        <v>12325194.531843223</v>
      </c>
      <c r="N97" s="670">
        <f t="shared" ref="N97:N99" si="63">K97-M97</f>
        <v>542747747.14488852</v>
      </c>
      <c r="O97" s="764">
        <v>15101832.601270793</v>
      </c>
      <c r="P97" s="670">
        <f t="shared" ref="P97:P99" si="64">O97*(1-$E$107)*(1+$E$103+$E$111)</f>
        <v>15352523.022451889</v>
      </c>
      <c r="Q97" s="725"/>
      <c r="R97" s="721"/>
      <c r="S97" s="725"/>
      <c r="T97" s="725"/>
      <c r="U97" s="721"/>
      <c r="V97" s="527"/>
      <c r="W97" s="725"/>
      <c r="X97" s="721"/>
      <c r="Y97" s="527"/>
    </row>
    <row r="98" spans="1:25">
      <c r="A98" s="716">
        <f t="shared" si="35"/>
        <v>72</v>
      </c>
      <c r="C98" s="699" t="str">
        <f t="shared" si="55"/>
        <v>November</v>
      </c>
      <c r="D98" s="1002">
        <v>2019</v>
      </c>
      <c r="E98" s="727">
        <v>15197414.754703045</v>
      </c>
      <c r="F98" s="727">
        <v>1324267.4829999981</v>
      </c>
      <c r="G98" s="719">
        <f t="shared" si="56"/>
        <v>1040486.0453777284</v>
      </c>
      <c r="H98" s="670">
        <f t="shared" si="57"/>
        <v>1193090.665366462</v>
      </c>
      <c r="I98" s="719">
        <f t="shared" si="58"/>
        <v>13720542.651714312</v>
      </c>
      <c r="J98" s="719">
        <f t="shared" si="59"/>
        <v>411616.27955142932</v>
      </c>
      <c r="K98" s="670">
        <f t="shared" si="60"/>
        <v>570529368.09099746</v>
      </c>
      <c r="L98" s="670">
        <f t="shared" si="61"/>
        <v>1175090.873851436</v>
      </c>
      <c r="M98" s="670">
        <f t="shared" si="62"/>
        <v>13500285.405694658</v>
      </c>
      <c r="N98" s="670">
        <f t="shared" si="63"/>
        <v>557029082.68530285</v>
      </c>
      <c r="O98" s="764">
        <v>15718823.26793878</v>
      </c>
      <c r="P98" s="670">
        <f t="shared" si="64"/>
        <v>15979755.734186564</v>
      </c>
      <c r="Q98" s="725"/>
      <c r="R98" s="721"/>
      <c r="S98" s="725"/>
      <c r="T98" s="725"/>
      <c r="U98" s="721"/>
      <c r="V98" s="527"/>
      <c r="W98" s="725"/>
      <c r="X98" s="721"/>
      <c r="Y98" s="527"/>
    </row>
    <row r="99" spans="1:25">
      <c r="A99" s="716">
        <f t="shared" si="35"/>
        <v>73</v>
      </c>
      <c r="C99" s="699" t="str">
        <f t="shared" si="55"/>
        <v>December</v>
      </c>
      <c r="D99" s="1002">
        <v>2019</v>
      </c>
      <c r="E99" s="727">
        <v>41938774.319779634</v>
      </c>
      <c r="F99" s="727">
        <v>1361933.392863611</v>
      </c>
      <c r="G99" s="719">
        <f t="shared" si="56"/>
        <v>3043263.0695187016</v>
      </c>
      <c r="H99" s="670">
        <f t="shared" si="57"/>
        <v>3489608.3197147781</v>
      </c>
      <c r="I99" s="719">
        <f t="shared" si="58"/>
        <v>40130495.676719949</v>
      </c>
      <c r="J99" s="719">
        <f t="shared" si="59"/>
        <v>1203914.8703015985</v>
      </c>
      <c r="K99" s="670">
        <f t="shared" si="60"/>
        <v>613225712.0308826</v>
      </c>
      <c r="L99" s="670">
        <f t="shared" si="61"/>
        <v>1207812.1691228198</v>
      </c>
      <c r="M99" s="670">
        <f t="shared" si="62"/>
        <v>14708097.574817479</v>
      </c>
      <c r="N99" s="670">
        <f t="shared" si="63"/>
        <v>598517614.45606518</v>
      </c>
      <c r="O99" s="764">
        <v>16335813.934606768</v>
      </c>
      <c r="P99" s="670">
        <f t="shared" si="64"/>
        <v>16606988.445921242</v>
      </c>
      <c r="Q99" s="725"/>
      <c r="R99" s="721"/>
      <c r="S99" s="725"/>
      <c r="T99" s="725"/>
      <c r="U99" s="721"/>
      <c r="V99" s="527"/>
      <c r="W99" s="725"/>
      <c r="X99" s="721"/>
      <c r="Y99" s="527"/>
    </row>
    <row r="100" spans="1:25">
      <c r="A100" s="715"/>
      <c r="O100" s="721"/>
    </row>
    <row r="101" spans="1:25">
      <c r="A101" s="715"/>
      <c r="B101" s="672" t="s">
        <v>2300</v>
      </c>
      <c r="G101" s="673"/>
    </row>
    <row r="102" spans="1:25">
      <c r="A102" s="717" t="s">
        <v>360</v>
      </c>
      <c r="B102" s="673"/>
      <c r="F102" s="767"/>
    </row>
    <row r="103" spans="1:25">
      <c r="A103" s="715">
        <f>A99+1</f>
        <v>74</v>
      </c>
      <c r="C103" s="728" t="s">
        <v>2292</v>
      </c>
      <c r="E103" s="729">
        <v>7.4999999999999997E-2</v>
      </c>
    </row>
    <row r="105" spans="1:25">
      <c r="A105" s="715"/>
      <c r="B105" s="672" t="s">
        <v>2302</v>
      </c>
    </row>
    <row r="106" spans="1:25">
      <c r="A106" s="717" t="s">
        <v>360</v>
      </c>
      <c r="F106" s="767"/>
    </row>
    <row r="107" spans="1:25">
      <c r="A107" s="715">
        <f>A103+1</f>
        <v>75</v>
      </c>
      <c r="B107" s="672"/>
      <c r="C107" s="669" t="s">
        <v>2293</v>
      </c>
      <c r="E107" s="729">
        <v>0.08</v>
      </c>
    </row>
    <row r="108" spans="1:25">
      <c r="A108" s="715"/>
      <c r="B108" s="673"/>
      <c r="C108" s="669"/>
    </row>
    <row r="109" spans="1:25">
      <c r="B109" s="672" t="s">
        <v>2303</v>
      </c>
    </row>
    <row r="110" spans="1:25">
      <c r="A110" s="717" t="s">
        <v>360</v>
      </c>
      <c r="B110" s="673"/>
      <c r="F110" s="767"/>
    </row>
    <row r="111" spans="1:25">
      <c r="A111" s="715">
        <f>A107+1</f>
        <v>76</v>
      </c>
      <c r="C111" s="669" t="s">
        <v>2294</v>
      </c>
      <c r="E111" s="729">
        <v>0.03</v>
      </c>
    </row>
    <row r="113" spans="1:9">
      <c r="B113" s="672" t="s">
        <v>2301</v>
      </c>
    </row>
    <row r="114" spans="1:9" s="711" customFormat="1">
      <c r="C114" s="723" t="s">
        <v>2349</v>
      </c>
      <c r="F114" s="730"/>
    </row>
    <row r="115" spans="1:9" s="715" customFormat="1">
      <c r="B115" s="711" t="s">
        <v>391</v>
      </c>
      <c r="C115" s="711" t="s">
        <v>375</v>
      </c>
      <c r="D115" s="711" t="s">
        <v>376</v>
      </c>
      <c r="E115" s="711" t="s">
        <v>377</v>
      </c>
      <c r="F115" s="711"/>
    </row>
    <row r="116" spans="1:9" s="711" customFormat="1">
      <c r="C116" s="715" t="s">
        <v>199</v>
      </c>
      <c r="D116" s="718"/>
      <c r="E116" s="1045" t="s">
        <v>2295</v>
      </c>
      <c r="F116" s="718"/>
    </row>
    <row r="117" spans="1:9">
      <c r="A117" s="715"/>
      <c r="B117" s="715"/>
      <c r="C117" s="715" t="str">
        <f>"Prior Year"</f>
        <v>Prior Year</v>
      </c>
      <c r="D117" s="716" t="s">
        <v>2296</v>
      </c>
      <c r="E117" s="716" t="s">
        <v>1512</v>
      </c>
      <c r="F117" s="716" t="s">
        <v>2514</v>
      </c>
    </row>
    <row r="118" spans="1:9">
      <c r="A118" s="711" t="s">
        <v>360</v>
      </c>
      <c r="B118" s="711" t="s">
        <v>2193</v>
      </c>
      <c r="C118" s="711" t="s">
        <v>2297</v>
      </c>
      <c r="D118" s="718" t="s">
        <v>13</v>
      </c>
      <c r="E118" s="718" t="s">
        <v>2296</v>
      </c>
      <c r="F118" s="134" t="s">
        <v>224</v>
      </c>
    </row>
    <row r="119" spans="1:9">
      <c r="A119" s="715">
        <f>A111+1</f>
        <v>77</v>
      </c>
      <c r="B119" s="715">
        <v>350.1</v>
      </c>
      <c r="C119" s="768">
        <f>'17-Depreciation'!C24</f>
        <v>87876203.008566424</v>
      </c>
      <c r="D119" s="1046">
        <f>'18-DepRates'!G6</f>
        <v>0</v>
      </c>
      <c r="E119" s="1047">
        <f>C119*D119</f>
        <v>0</v>
      </c>
      <c r="F119" s="1048" t="s">
        <v>2515</v>
      </c>
      <c r="H119" s="768"/>
      <c r="I119" s="766"/>
    </row>
    <row r="120" spans="1:9">
      <c r="A120" s="715">
        <f>A119+1</f>
        <v>78</v>
      </c>
      <c r="B120" s="715">
        <v>350.2</v>
      </c>
      <c r="C120" s="768">
        <f>'17-Depreciation'!D24</f>
        <v>164901118.05652422</v>
      </c>
      <c r="D120" s="1046">
        <f>'18-DepRates'!G7</f>
        <v>1.66E-2</v>
      </c>
      <c r="E120" s="1047">
        <f t="shared" ref="E120:E128" si="65">C120*D120</f>
        <v>2737358.5597383021</v>
      </c>
      <c r="F120" s="1048" t="s">
        <v>2516</v>
      </c>
      <c r="H120" s="768"/>
      <c r="I120" s="766"/>
    </row>
    <row r="121" spans="1:9">
      <c r="A121" s="715">
        <f t="shared" ref="A121:A133" si="66">A120+1</f>
        <v>79</v>
      </c>
      <c r="B121" s="715">
        <v>352</v>
      </c>
      <c r="C121" s="768">
        <f>'17-Depreciation'!E24</f>
        <v>569698022.82553017</v>
      </c>
      <c r="D121" s="1046">
        <f>'18-DepRates'!G8</f>
        <v>2.5700000000000001E-2</v>
      </c>
      <c r="E121" s="1047">
        <f t="shared" si="65"/>
        <v>14641239.186616126</v>
      </c>
      <c r="F121" s="1048" t="s">
        <v>2517</v>
      </c>
      <c r="H121" s="768"/>
      <c r="I121" s="766"/>
    </row>
    <row r="122" spans="1:9">
      <c r="A122" s="715">
        <f t="shared" si="66"/>
        <v>80</v>
      </c>
      <c r="B122" s="715">
        <v>353</v>
      </c>
      <c r="C122" s="768">
        <f>'17-Depreciation'!F24</f>
        <v>3409447773.6593328</v>
      </c>
      <c r="D122" s="1046">
        <f>'18-DepRates'!G9</f>
        <v>2.47E-2</v>
      </c>
      <c r="E122" s="1047">
        <f t="shared" si="65"/>
        <v>84213360.009385511</v>
      </c>
      <c r="F122" s="1048" t="s">
        <v>2518</v>
      </c>
      <c r="H122" s="768"/>
      <c r="I122" s="766"/>
    </row>
    <row r="123" spans="1:9">
      <c r="A123" s="715">
        <f t="shared" si="66"/>
        <v>81</v>
      </c>
      <c r="B123" s="715">
        <v>354</v>
      </c>
      <c r="C123" s="768">
        <f>'17-Depreciation'!G24</f>
        <v>2283380921.6603918</v>
      </c>
      <c r="D123" s="1046">
        <f>'18-DepRates'!G10</f>
        <v>2.4400000000000002E-2</v>
      </c>
      <c r="E123" s="1047">
        <f t="shared" si="65"/>
        <v>55714494.488513567</v>
      </c>
      <c r="F123" s="1048" t="s">
        <v>2519</v>
      </c>
      <c r="H123" s="768"/>
      <c r="I123" s="766"/>
    </row>
    <row r="124" spans="1:9">
      <c r="A124" s="715">
        <f t="shared" si="66"/>
        <v>82</v>
      </c>
      <c r="B124" s="715">
        <v>355</v>
      </c>
      <c r="C124" s="768">
        <f>'17-Depreciation'!H24</f>
        <v>364424080.39844126</v>
      </c>
      <c r="D124" s="1046">
        <f>'18-DepRates'!G11</f>
        <v>3.6700000000000003E-2</v>
      </c>
      <c r="E124" s="1047">
        <f t="shared" si="65"/>
        <v>13374363.750622796</v>
      </c>
      <c r="F124" s="1048" t="s">
        <v>2520</v>
      </c>
      <c r="H124" s="768"/>
      <c r="I124" s="766"/>
    </row>
    <row r="125" spans="1:9">
      <c r="A125" s="715">
        <f t="shared" si="66"/>
        <v>83</v>
      </c>
      <c r="B125" s="715">
        <v>356</v>
      </c>
      <c r="C125" s="768">
        <f>'17-Depreciation'!I24</f>
        <v>1245933686.1010468</v>
      </c>
      <c r="D125" s="1046">
        <f>'18-DepRates'!G12</f>
        <v>3.0499999999999999E-2</v>
      </c>
      <c r="E125" s="1047">
        <f t="shared" si="65"/>
        <v>38000977.426081926</v>
      </c>
      <c r="F125" s="1048" t="s">
        <v>2521</v>
      </c>
      <c r="H125" s="768"/>
      <c r="I125" s="766"/>
    </row>
    <row r="126" spans="1:9">
      <c r="A126" s="715">
        <f t="shared" si="66"/>
        <v>84</v>
      </c>
      <c r="B126" s="715">
        <v>357</v>
      </c>
      <c r="C126" s="768">
        <f>'17-Depreciation'!J24</f>
        <v>190222488.72271055</v>
      </c>
      <c r="D126" s="1046">
        <f>'18-DepRates'!G13</f>
        <v>1.6500000000000001E-2</v>
      </c>
      <c r="E126" s="1047">
        <f t="shared" si="65"/>
        <v>3138671.0639247242</v>
      </c>
      <c r="F126" s="1048" t="s">
        <v>2522</v>
      </c>
      <c r="H126" s="768"/>
      <c r="I126" s="766"/>
    </row>
    <row r="127" spans="1:9">
      <c r="A127" s="715">
        <f t="shared" si="66"/>
        <v>85</v>
      </c>
      <c r="B127" s="715">
        <v>358</v>
      </c>
      <c r="C127" s="768">
        <f>'17-Depreciation'!K24</f>
        <v>84920373.966592565</v>
      </c>
      <c r="D127" s="1046">
        <f>'18-DepRates'!G14</f>
        <v>3.8699999999999998E-2</v>
      </c>
      <c r="E127" s="1047">
        <f t="shared" si="65"/>
        <v>3286418.4725071322</v>
      </c>
      <c r="F127" s="1048" t="s">
        <v>2523</v>
      </c>
      <c r="H127" s="768"/>
      <c r="I127" s="766"/>
    </row>
    <row r="128" spans="1:9">
      <c r="A128" s="715">
        <f t="shared" si="66"/>
        <v>86</v>
      </c>
      <c r="B128" s="715">
        <v>359</v>
      </c>
      <c r="C128" s="768">
        <f>'17-Depreciation'!L24</f>
        <v>172640884.93140152</v>
      </c>
      <c r="D128" s="1046">
        <f>'18-DepRates'!G15</f>
        <v>1.5599999999999999E-2</v>
      </c>
      <c r="E128" s="1047">
        <f t="shared" si="65"/>
        <v>2693197.8049298637</v>
      </c>
      <c r="F128" s="1048" t="s">
        <v>2524</v>
      </c>
      <c r="H128" s="768"/>
      <c r="I128" s="766"/>
    </row>
    <row r="129" spans="1:9">
      <c r="A129" s="715">
        <f t="shared" si="66"/>
        <v>87</v>
      </c>
    </row>
    <row r="130" spans="1:9">
      <c r="A130" s="715">
        <f t="shared" si="66"/>
        <v>88</v>
      </c>
      <c r="C130" s="731" t="s">
        <v>2298</v>
      </c>
      <c r="E130" s="769">
        <f>SUM(E119:E128)</f>
        <v>217800080.76231995</v>
      </c>
      <c r="F130" s="708" t="str">
        <f>"Sum of C"&amp;RIGHT(E115)&amp;" Lines "&amp;A119&amp;" to "&amp;A128</f>
        <v>Sum of C4 Lines 77 to 86</v>
      </c>
    </row>
    <row r="131" spans="1:9">
      <c r="A131" s="715">
        <f t="shared" si="66"/>
        <v>89</v>
      </c>
      <c r="C131" s="708" t="str">
        <f>"Sum of Dec Prior Year Plant"</f>
        <v>Sum of Dec Prior Year Plant</v>
      </c>
      <c r="E131" s="770">
        <f>SUM(C119:C128)</f>
        <v>8573445553.3305378</v>
      </c>
      <c r="F131" s="708" t="str">
        <f>"Sum of C"&amp;RIGHT(C115)&amp;" Lines "&amp;A119&amp;" to "&amp;A128</f>
        <v>Sum of C2 Lines 77 to 86</v>
      </c>
    </row>
    <row r="132" spans="1:9">
      <c r="A132" s="715">
        <f t="shared" si="66"/>
        <v>90</v>
      </c>
    </row>
    <row r="133" spans="1:9">
      <c r="A133" s="715">
        <f t="shared" si="66"/>
        <v>91</v>
      </c>
      <c r="C133" s="708" t="s">
        <v>2299</v>
      </c>
      <c r="E133" s="732">
        <f>E130/E131</f>
        <v>2.5404031483900993E-2</v>
      </c>
      <c r="F133" s="708" t="str">
        <f>"Line "&amp;A130&amp;" / Line "&amp;A131</f>
        <v>Line 88 / Line 89</v>
      </c>
    </row>
    <row r="134" spans="1:9">
      <c r="A134" s="715"/>
    </row>
    <row r="135" spans="1:9">
      <c r="A135" s="715"/>
      <c r="B135" s="707" t="s">
        <v>256</v>
      </c>
      <c r="C135"/>
      <c r="D135"/>
      <c r="E135"/>
      <c r="F135"/>
      <c r="G135"/>
      <c r="H135"/>
      <c r="I135"/>
    </row>
    <row r="136" spans="1:9">
      <c r="A136" s="715"/>
      <c r="B136" s="702" t="s">
        <v>2558</v>
      </c>
      <c r="C136" s="739"/>
      <c r="D136" s="739"/>
      <c r="E136" s="739"/>
      <c r="F136" s="739"/>
      <c r="G136" s="739"/>
      <c r="H136" s="739"/>
      <c r="I136" s="739"/>
    </row>
    <row r="137" spans="1:9">
      <c r="A137" s="715"/>
      <c r="B137" s="702" t="s">
        <v>2568</v>
      </c>
      <c r="C137"/>
      <c r="D137"/>
      <c r="E137"/>
      <c r="F137"/>
      <c r="G137"/>
      <c r="H137"/>
      <c r="I137"/>
    </row>
    <row r="138" spans="1:9">
      <c r="A138" s="715"/>
    </row>
    <row r="139" spans="1:9">
      <c r="A139" s="715"/>
    </row>
    <row r="140" spans="1:9">
      <c r="A140" s="715"/>
    </row>
    <row r="141" spans="1:9">
      <c r="A141" s="715"/>
    </row>
    <row r="142" spans="1:9">
      <c r="A142" s="715"/>
    </row>
    <row r="143" spans="1:9">
      <c r="A143" s="715"/>
    </row>
    <row r="144" spans="1:9">
      <c r="A144" s="715"/>
    </row>
    <row r="145" spans="1:1">
      <c r="A145" s="715"/>
    </row>
    <row r="146" spans="1:1">
      <c r="A146" s="715"/>
    </row>
    <row r="147" spans="1:1">
      <c r="A147" s="715"/>
    </row>
    <row r="148" spans="1:1">
      <c r="A148" s="715"/>
    </row>
    <row r="149" spans="1:1">
      <c r="A149" s="715"/>
    </row>
    <row r="150" spans="1:1">
      <c r="A150" s="715"/>
    </row>
    <row r="151" spans="1:1">
      <c r="A151" s="715"/>
    </row>
    <row r="152" spans="1:1">
      <c r="A152" s="715"/>
    </row>
    <row r="153" spans="1:1">
      <c r="A153" s="715"/>
    </row>
    <row r="154" spans="1:1">
      <c r="A154" s="715"/>
    </row>
    <row r="155" spans="1:1">
      <c r="A155" s="715"/>
    </row>
    <row r="156" spans="1:1">
      <c r="A156" s="715"/>
    </row>
    <row r="157" spans="1:1">
      <c r="A157" s="715"/>
    </row>
    <row r="158" spans="1:1">
      <c r="A158" s="715"/>
    </row>
    <row r="159" spans="1:1">
      <c r="A159" s="715"/>
    </row>
    <row r="160" spans="1:1">
      <c r="A160" s="715"/>
    </row>
    <row r="161" spans="1:1">
      <c r="A161" s="715"/>
    </row>
    <row r="162" spans="1:1">
      <c r="A162" s="715"/>
    </row>
    <row r="163" spans="1:1">
      <c r="A163" s="715"/>
    </row>
    <row r="164" spans="1:1">
      <c r="A164" s="715"/>
    </row>
    <row r="165" spans="1:1">
      <c r="A165" s="715"/>
    </row>
    <row r="166" spans="1:1">
      <c r="A166" s="715"/>
    </row>
    <row r="167" spans="1:1">
      <c r="A167" s="715"/>
    </row>
    <row r="168" spans="1:1">
      <c r="A168" s="715"/>
    </row>
    <row r="169" spans="1:1">
      <c r="A169" s="715"/>
    </row>
    <row r="170" spans="1:1">
      <c r="A170" s="715"/>
    </row>
    <row r="171" spans="1:1">
      <c r="A171" s="715"/>
    </row>
    <row r="172" spans="1:1">
      <c r="A172" s="715"/>
    </row>
    <row r="173" spans="1:1">
      <c r="A173" s="715"/>
    </row>
    <row r="174" spans="1:1">
      <c r="A174" s="715"/>
    </row>
    <row r="175" spans="1:1">
      <c r="A175" s="715"/>
    </row>
    <row r="176" spans="1:1">
      <c r="A176" s="715"/>
    </row>
    <row r="177" spans="1:1">
      <c r="A177" s="715"/>
    </row>
    <row r="178" spans="1:1">
      <c r="A178" s="715"/>
    </row>
    <row r="179" spans="1:1">
      <c r="A179" s="715"/>
    </row>
    <row r="180" spans="1:1">
      <c r="A180" s="715"/>
    </row>
    <row r="181" spans="1:1">
      <c r="A181" s="715"/>
    </row>
    <row r="182" spans="1:1">
      <c r="A182" s="715"/>
    </row>
    <row r="183" spans="1:1">
      <c r="A183" s="715"/>
    </row>
    <row r="184" spans="1:1">
      <c r="A184" s="715"/>
    </row>
    <row r="185" spans="1:1">
      <c r="A185" s="715"/>
    </row>
    <row r="186" spans="1:1">
      <c r="A186" s="715"/>
    </row>
    <row r="187" spans="1:1">
      <c r="A187" s="715"/>
    </row>
    <row r="188" spans="1:1">
      <c r="A188" s="715"/>
    </row>
    <row r="189" spans="1:1">
      <c r="A189" s="715"/>
    </row>
    <row r="190" spans="1:1">
      <c r="A190" s="715"/>
    </row>
    <row r="191" spans="1:1">
      <c r="A191" s="715"/>
    </row>
    <row r="192" spans="1:1">
      <c r="A192" s="715"/>
    </row>
    <row r="193" spans="1:1">
      <c r="A193" s="715"/>
    </row>
    <row r="194" spans="1:1">
      <c r="A194" s="715"/>
    </row>
    <row r="195" spans="1:1">
      <c r="A195" s="715"/>
    </row>
    <row r="196" spans="1:1">
      <c r="A196" s="715"/>
    </row>
    <row r="197" spans="1:1">
      <c r="A197" s="715"/>
    </row>
    <row r="198" spans="1:1">
      <c r="A198" s="715"/>
    </row>
    <row r="199" spans="1:1">
      <c r="A199" s="715"/>
    </row>
    <row r="200" spans="1:1">
      <c r="A200" s="715"/>
    </row>
    <row r="201" spans="1:1">
      <c r="A201" s="715"/>
    </row>
    <row r="202" spans="1:1">
      <c r="A202" s="715"/>
    </row>
    <row r="203" spans="1:1">
      <c r="A203" s="715"/>
    </row>
    <row r="204" spans="1:1">
      <c r="A204" s="715"/>
    </row>
  </sheetData>
  <pageMargins left="0.7" right="0.7" top="0.75" bottom="0.75" header="0.3" footer="0.3"/>
  <pageSetup scale="55" orientation="landscape" cellComments="asDisplayed" r:id="rId1"/>
  <headerFooter>
    <oddHeader>&amp;CSchedule 16
Plant Additions
&amp;RTO2019 Draft Annual Update
Attachment 5
TO13 True Up TRR</oddHeader>
    <oddFooter>&amp;R16-PlantAdditions</oddFooter>
  </headerFooter>
  <rowBreaks count="1" manualBreakCount="1">
    <brk id="6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276</v>
      </c>
      <c r="B1" s="246"/>
      <c r="C1" s="246"/>
      <c r="D1" s="246"/>
      <c r="E1" s="246"/>
      <c r="F1" s="246"/>
      <c r="G1" s="246"/>
      <c r="H1" s="246"/>
      <c r="I1" s="570" t="s">
        <v>494</v>
      </c>
      <c r="J1" s="198"/>
      <c r="K1" s="246"/>
      <c r="L1" s="246"/>
      <c r="M1" s="246"/>
    </row>
    <row r="2" spans="1:13">
      <c r="A2" s="246"/>
      <c r="B2" s="246"/>
      <c r="C2" s="246"/>
      <c r="D2" s="246"/>
      <c r="E2" s="246"/>
      <c r="F2" s="246"/>
      <c r="G2" s="246"/>
      <c r="H2" s="246"/>
      <c r="K2" s="246"/>
      <c r="L2" s="246"/>
      <c r="M2" s="246"/>
    </row>
    <row r="3" spans="1:13">
      <c r="A3" s="246"/>
      <c r="B3" s="1" t="s">
        <v>1058</v>
      </c>
      <c r="C3" s="246"/>
      <c r="D3" s="246"/>
      <c r="E3" s="246"/>
      <c r="F3" s="246"/>
      <c r="G3" s="246"/>
      <c r="H3" s="256"/>
      <c r="I3" s="1028" t="s">
        <v>1958</v>
      </c>
      <c r="J3" s="419">
        <v>2017</v>
      </c>
      <c r="K3" s="246"/>
      <c r="L3" s="246"/>
      <c r="M3" s="246"/>
    </row>
    <row r="4" spans="1:13">
      <c r="A4" s="246"/>
      <c r="B4" s="246"/>
      <c r="C4" s="246"/>
      <c r="D4" s="246"/>
      <c r="E4" s="246"/>
      <c r="F4" s="246"/>
      <c r="G4" s="246"/>
      <c r="H4" s="256"/>
      <c r="I4" s="256"/>
      <c r="J4" s="246"/>
      <c r="K4" s="246"/>
      <c r="L4" s="246"/>
      <c r="M4" s="246"/>
    </row>
    <row r="5" spans="1:13">
      <c r="A5" s="246"/>
      <c r="B5" s="515" t="s">
        <v>1061</v>
      </c>
      <c r="C5" s="246"/>
      <c r="D5" s="246"/>
      <c r="E5" s="246"/>
      <c r="F5" s="246"/>
      <c r="G5" s="246"/>
      <c r="H5" s="517" t="s">
        <v>2037</v>
      </c>
      <c r="I5" s="256"/>
      <c r="J5" s="246"/>
      <c r="K5" s="246"/>
      <c r="L5" s="246"/>
      <c r="M5" s="246"/>
    </row>
    <row r="6" spans="1:13">
      <c r="A6" s="246"/>
      <c r="B6" s="246"/>
      <c r="C6" s="246"/>
      <c r="D6" s="246"/>
      <c r="E6" s="246"/>
      <c r="F6" s="246"/>
      <c r="G6" s="246"/>
      <c r="H6" s="246"/>
      <c r="I6" s="246"/>
      <c r="J6" s="246"/>
      <c r="K6" s="246"/>
      <c r="L6" s="246"/>
      <c r="M6" s="246"/>
    </row>
    <row r="7" spans="1:13">
      <c r="A7" s="246"/>
      <c r="B7" s="91" t="s">
        <v>391</v>
      </c>
      <c r="C7" s="91" t="s">
        <v>375</v>
      </c>
      <c r="D7" s="91" t="s">
        <v>376</v>
      </c>
      <c r="E7" s="91" t="s">
        <v>377</v>
      </c>
      <c r="F7" s="91" t="s">
        <v>378</v>
      </c>
      <c r="G7" s="91" t="s">
        <v>379</v>
      </c>
      <c r="H7" s="91" t="s">
        <v>380</v>
      </c>
      <c r="I7" s="91" t="s">
        <v>593</v>
      </c>
      <c r="J7" s="91" t="s">
        <v>1040</v>
      </c>
      <c r="K7" s="91" t="s">
        <v>1056</v>
      </c>
      <c r="L7" s="91" t="s">
        <v>1059</v>
      </c>
      <c r="M7" s="91" t="s">
        <v>1077</v>
      </c>
    </row>
    <row r="8" spans="1:13">
      <c r="A8" s="246"/>
      <c r="B8" s="267"/>
      <c r="C8" s="246"/>
      <c r="D8" s="246"/>
      <c r="E8" s="246"/>
      <c r="F8" s="246"/>
      <c r="G8" s="246"/>
      <c r="H8" s="246"/>
      <c r="I8" s="246"/>
      <c r="J8" s="246"/>
      <c r="K8" s="246"/>
      <c r="L8" s="246"/>
      <c r="M8" s="246"/>
    </row>
    <row r="9" spans="1:13">
      <c r="A9" s="246"/>
      <c r="B9" s="120"/>
      <c r="C9" s="571" t="s">
        <v>12</v>
      </c>
      <c r="D9" s="246"/>
      <c r="E9" s="246"/>
      <c r="F9" s="246"/>
      <c r="G9" s="246"/>
      <c r="H9" s="246"/>
      <c r="I9" s="246"/>
      <c r="J9" s="246"/>
      <c r="K9" s="246"/>
      <c r="L9" s="246"/>
      <c r="M9" s="246"/>
    </row>
    <row r="10" spans="1:13">
      <c r="A10" s="246"/>
      <c r="B10" s="120"/>
      <c r="C10" s="571" t="s">
        <v>1057</v>
      </c>
      <c r="D10" s="246"/>
      <c r="E10" s="246"/>
      <c r="F10" s="246"/>
      <c r="G10" s="246"/>
      <c r="H10" s="246"/>
      <c r="I10" s="246"/>
      <c r="J10" s="246"/>
      <c r="K10" s="246"/>
      <c r="L10" s="246"/>
      <c r="M10" s="246"/>
    </row>
    <row r="11" spans="1:13">
      <c r="A11" s="53" t="s">
        <v>360</v>
      </c>
      <c r="B11" s="134" t="s">
        <v>2006</v>
      </c>
      <c r="C11" s="91">
        <v>350.1</v>
      </c>
      <c r="D11" s="91">
        <v>350.2</v>
      </c>
      <c r="E11" s="91">
        <v>352</v>
      </c>
      <c r="F11" s="91">
        <v>353</v>
      </c>
      <c r="G11" s="91">
        <v>354</v>
      </c>
      <c r="H11" s="91">
        <v>355</v>
      </c>
      <c r="I11" s="91">
        <v>356</v>
      </c>
      <c r="J11" s="91">
        <v>357</v>
      </c>
      <c r="K11" s="91">
        <v>358</v>
      </c>
      <c r="L11" s="91">
        <v>359</v>
      </c>
      <c r="M11" s="3" t="s">
        <v>215</v>
      </c>
    </row>
    <row r="12" spans="1:13">
      <c r="A12" s="635">
        <v>1</v>
      </c>
      <c r="B12" s="1121" t="s">
        <v>2863</v>
      </c>
      <c r="C12" s="248">
        <f>'6-PlantInService'!C11</f>
        <v>86845703.104480609</v>
      </c>
      <c r="D12" s="248">
        <f>'6-PlantInService'!D11</f>
        <v>165326927.27681193</v>
      </c>
      <c r="E12" s="248">
        <f>'6-PlantInService'!E11</f>
        <v>531582610.83188766</v>
      </c>
      <c r="F12" s="248">
        <f>'6-PlantInService'!F11</f>
        <v>3249175448.8296032</v>
      </c>
      <c r="G12" s="248">
        <f>'6-PlantInService'!G11</f>
        <v>2233991232.1950097</v>
      </c>
      <c r="H12" s="248">
        <f>'6-PlantInService'!H11</f>
        <v>324258227.83465576</v>
      </c>
      <c r="I12" s="248">
        <f>'6-PlantInService'!I11</f>
        <v>1235903790.5887618</v>
      </c>
      <c r="J12" s="248">
        <f>'6-PlantInService'!J11</f>
        <v>185508196.51440176</v>
      </c>
      <c r="K12" s="248">
        <f>'6-PlantInService'!K11</f>
        <v>81951071.953655437</v>
      </c>
      <c r="L12" s="248">
        <f>'6-PlantInService'!L11</f>
        <v>182027085.56504503</v>
      </c>
      <c r="M12" s="248">
        <f>'6-PlantInService'!M11</f>
        <v>8276570294.694313</v>
      </c>
    </row>
    <row r="13" spans="1:13">
      <c r="A13" s="635">
        <f>A12+1</f>
        <v>2</v>
      </c>
      <c r="B13" s="1121" t="s">
        <v>2932</v>
      </c>
      <c r="C13" s="248">
        <f>'6-PlantInService'!C12</f>
        <v>81997511.329591066</v>
      </c>
      <c r="D13" s="248">
        <f>'6-PlantInService'!D12</f>
        <v>165330397.22681195</v>
      </c>
      <c r="E13" s="248">
        <f>'6-PlantInService'!E12</f>
        <v>528854082.9396922</v>
      </c>
      <c r="F13" s="248">
        <f>'6-PlantInService'!F12</f>
        <v>3250037231.0573664</v>
      </c>
      <c r="G13" s="248">
        <f>'6-PlantInService'!G12</f>
        <v>2231001014.4173007</v>
      </c>
      <c r="H13" s="248">
        <f>'6-PlantInService'!H12</f>
        <v>335699493.48126501</v>
      </c>
      <c r="I13" s="248">
        <f>'6-PlantInService'!I12</f>
        <v>1232564516.1469636</v>
      </c>
      <c r="J13" s="248">
        <f>'6-PlantInService'!J12</f>
        <v>185656754.46016017</v>
      </c>
      <c r="K13" s="248">
        <f>'6-PlantInService'!K12</f>
        <v>81997920.308148623</v>
      </c>
      <c r="L13" s="248">
        <f>'6-PlantInService'!L12</f>
        <v>160125967.54110417</v>
      </c>
      <c r="M13" s="248">
        <f>'6-PlantInService'!M12</f>
        <v>8253264888.9084044</v>
      </c>
    </row>
    <row r="14" spans="1:13">
      <c r="A14" s="635">
        <f t="shared" ref="A14:A77" si="0">A13+1</f>
        <v>3</v>
      </c>
      <c r="B14" s="1121" t="s">
        <v>2933</v>
      </c>
      <c r="C14" s="248">
        <f>'6-PlantInService'!C13</f>
        <v>82013020.485065579</v>
      </c>
      <c r="D14" s="248">
        <f>'6-PlantInService'!D13</f>
        <v>165784066.13681194</v>
      </c>
      <c r="E14" s="248">
        <f>'6-PlantInService'!E13</f>
        <v>534882417.93507957</v>
      </c>
      <c r="F14" s="248">
        <f>'6-PlantInService'!F13</f>
        <v>3256654353.0666699</v>
      </c>
      <c r="G14" s="248">
        <f>'6-PlantInService'!G13</f>
        <v>2213130982.2309666</v>
      </c>
      <c r="H14" s="248">
        <f>'6-PlantInService'!H13</f>
        <v>339965913.35103357</v>
      </c>
      <c r="I14" s="248">
        <f>'6-PlantInService'!I13</f>
        <v>1235030893.7871845</v>
      </c>
      <c r="J14" s="248">
        <f>'6-PlantInService'!J13</f>
        <v>186119194.09480119</v>
      </c>
      <c r="K14" s="248">
        <f>'6-PlantInService'!K13</f>
        <v>82775424.322043598</v>
      </c>
      <c r="L14" s="248">
        <f>'6-PlantInService'!L13</f>
        <v>161709714.52259344</v>
      </c>
      <c r="M14" s="248">
        <f>'6-PlantInService'!M13</f>
        <v>8258065979.9322491</v>
      </c>
    </row>
    <row r="15" spans="1:13">
      <c r="A15" s="635">
        <f t="shared" si="0"/>
        <v>4</v>
      </c>
      <c r="B15" s="1121" t="s">
        <v>2934</v>
      </c>
      <c r="C15" s="248">
        <f>'6-PlantInService'!C14</f>
        <v>82413676.780734852</v>
      </c>
      <c r="D15" s="248">
        <f>'6-PlantInService'!D14</f>
        <v>165733853.1359542</v>
      </c>
      <c r="E15" s="248">
        <f>'6-PlantInService'!E14</f>
        <v>532806953.88879532</v>
      </c>
      <c r="F15" s="248">
        <f>'6-PlantInService'!F14</f>
        <v>3260114606.462337</v>
      </c>
      <c r="G15" s="248">
        <f>'6-PlantInService'!G14</f>
        <v>2225922423.059052</v>
      </c>
      <c r="H15" s="248">
        <f>'6-PlantInService'!H14</f>
        <v>342740513.54030037</v>
      </c>
      <c r="I15" s="248">
        <f>'6-PlantInService'!I14</f>
        <v>1241178224.9524918</v>
      </c>
      <c r="J15" s="248">
        <f>'6-PlantInService'!J14</f>
        <v>186361376.54810238</v>
      </c>
      <c r="K15" s="248">
        <f>'6-PlantInService'!K14</f>
        <v>83455650.891525179</v>
      </c>
      <c r="L15" s="248">
        <f>'6-PlantInService'!L14</f>
        <v>161453728.31300449</v>
      </c>
      <c r="M15" s="248">
        <f>'6-PlantInService'!M14</f>
        <v>8282181007.572298</v>
      </c>
    </row>
    <row r="16" spans="1:13">
      <c r="A16" s="635">
        <f t="shared" si="0"/>
        <v>5</v>
      </c>
      <c r="B16" s="1121" t="s">
        <v>2935</v>
      </c>
      <c r="C16" s="248">
        <f>'6-PlantInService'!C15</f>
        <v>82424960.000734851</v>
      </c>
      <c r="D16" s="248">
        <f>'6-PlantInService'!D15</f>
        <v>165734428.73346913</v>
      </c>
      <c r="E16" s="248">
        <f>'6-PlantInService'!E15</f>
        <v>540340484.51681399</v>
      </c>
      <c r="F16" s="248">
        <f>'6-PlantInService'!F15</f>
        <v>3290596931.5163436</v>
      </c>
      <c r="G16" s="248">
        <f>'6-PlantInService'!G15</f>
        <v>2251979964.6242318</v>
      </c>
      <c r="H16" s="248">
        <f>'6-PlantInService'!H15</f>
        <v>344598338.88065362</v>
      </c>
      <c r="I16" s="248">
        <f>'6-PlantInService'!I15</f>
        <v>1244265047.7836802</v>
      </c>
      <c r="J16" s="248">
        <f>'6-PlantInService'!J15</f>
        <v>186611561.36734134</v>
      </c>
      <c r="K16" s="248">
        <f>'6-PlantInService'!K15</f>
        <v>83540944.255980209</v>
      </c>
      <c r="L16" s="248">
        <f>'6-PlantInService'!L15</f>
        <v>161600157.90685892</v>
      </c>
      <c r="M16" s="248">
        <f>'6-PlantInService'!M15</f>
        <v>8351692819.5861073</v>
      </c>
    </row>
    <row r="17" spans="1:14">
      <c r="A17" s="635">
        <f t="shared" si="0"/>
        <v>6</v>
      </c>
      <c r="B17" s="1121" t="s">
        <v>2936</v>
      </c>
      <c r="C17" s="248">
        <f>'6-PlantInService'!C16</f>
        <v>82438879.958219945</v>
      </c>
      <c r="D17" s="248">
        <f>'6-PlantInService'!D16</f>
        <v>165704350.73919225</v>
      </c>
      <c r="E17" s="248">
        <f>'6-PlantInService'!E16</f>
        <v>548767497.38403428</v>
      </c>
      <c r="F17" s="248">
        <f>'6-PlantInService'!F16</f>
        <v>3303060549.2436962</v>
      </c>
      <c r="G17" s="248">
        <f>'6-PlantInService'!G16</f>
        <v>2258078708.8280492</v>
      </c>
      <c r="H17" s="248">
        <f>'6-PlantInService'!H16</f>
        <v>345368677.22218686</v>
      </c>
      <c r="I17" s="248">
        <f>'6-PlantInService'!I16</f>
        <v>1242476528.4608035</v>
      </c>
      <c r="J17" s="248">
        <f>'6-PlantInService'!J16</f>
        <v>187117539.04549068</v>
      </c>
      <c r="K17" s="248">
        <f>'6-PlantInService'!K16</f>
        <v>83717688.50188297</v>
      </c>
      <c r="L17" s="248">
        <f>'6-PlantInService'!L16</f>
        <v>168349231.50255382</v>
      </c>
      <c r="M17" s="248">
        <f>'6-PlantInService'!M16</f>
        <v>8385079650.8861103</v>
      </c>
    </row>
    <row r="18" spans="1:14">
      <c r="A18" s="635">
        <f t="shared" si="0"/>
        <v>7</v>
      </c>
      <c r="B18" s="1121" t="s">
        <v>2937</v>
      </c>
      <c r="C18" s="248">
        <f>'6-PlantInService'!C17</f>
        <v>81409531.041870818</v>
      </c>
      <c r="D18" s="248">
        <f>'6-PlantInService'!D17</f>
        <v>165534488.25595289</v>
      </c>
      <c r="E18" s="248">
        <f>'6-PlantInService'!E17</f>
        <v>552041269.82559466</v>
      </c>
      <c r="F18" s="248">
        <f>'6-PlantInService'!F17</f>
        <v>3313909561.1404948</v>
      </c>
      <c r="G18" s="248">
        <f>'6-PlantInService'!G17</f>
        <v>2261350618.3542738</v>
      </c>
      <c r="H18" s="248">
        <f>'6-PlantInService'!H17</f>
        <v>347377533.89128685</v>
      </c>
      <c r="I18" s="248">
        <f>'6-PlantInService'!I17</f>
        <v>1244803717.1679733</v>
      </c>
      <c r="J18" s="248">
        <f>'6-PlantInService'!J17</f>
        <v>188491606.58683255</v>
      </c>
      <c r="K18" s="248">
        <f>'6-PlantInService'!K17</f>
        <v>84190542.092044219</v>
      </c>
      <c r="L18" s="248">
        <f>'6-PlantInService'!L17</f>
        <v>167806374.90477768</v>
      </c>
      <c r="M18" s="248">
        <f>'6-PlantInService'!M17</f>
        <v>8406915243.2611017</v>
      </c>
    </row>
    <row r="19" spans="1:14">
      <c r="A19" s="635">
        <f t="shared" si="0"/>
        <v>8</v>
      </c>
      <c r="B19" s="1121" t="s">
        <v>2938</v>
      </c>
      <c r="C19" s="248">
        <f>'6-PlantInService'!C18</f>
        <v>81421876.403887019</v>
      </c>
      <c r="D19" s="248">
        <f>'6-PlantInService'!D18</f>
        <v>165199674.61073655</v>
      </c>
      <c r="E19" s="248">
        <f>'6-PlantInService'!E18</f>
        <v>554107048.75248206</v>
      </c>
      <c r="F19" s="248">
        <f>'6-PlantInService'!F18</f>
        <v>3321544470.5779901</v>
      </c>
      <c r="G19" s="248">
        <f>'6-PlantInService'!G18</f>
        <v>2263663367.8538327</v>
      </c>
      <c r="H19" s="248">
        <f>'6-PlantInService'!H18</f>
        <v>350109484.62588668</v>
      </c>
      <c r="I19" s="248">
        <f>'6-PlantInService'!I18</f>
        <v>1244039915.8579283</v>
      </c>
      <c r="J19" s="248">
        <f>'6-PlantInService'!J18</f>
        <v>188624718.08169946</v>
      </c>
      <c r="K19" s="248">
        <f>'6-PlantInService'!K18</f>
        <v>84257049.665844843</v>
      </c>
      <c r="L19" s="248">
        <f>'6-PlantInService'!L18</f>
        <v>167839950.05671296</v>
      </c>
      <c r="M19" s="248">
        <f>'6-PlantInService'!M18</f>
        <v>8420807556.4870014</v>
      </c>
    </row>
    <row r="20" spans="1:14">
      <c r="A20" s="635">
        <f t="shared" si="0"/>
        <v>9</v>
      </c>
      <c r="B20" s="1121" t="s">
        <v>2939</v>
      </c>
      <c r="C20" s="248">
        <f>'6-PlantInService'!C19</f>
        <v>81875010.633887053</v>
      </c>
      <c r="D20" s="248">
        <f>'6-PlantInService'!D19</f>
        <v>164728138.38125554</v>
      </c>
      <c r="E20" s="248">
        <f>'6-PlantInService'!E19</f>
        <v>558293841.58813465</v>
      </c>
      <c r="F20" s="248">
        <f>'6-PlantInService'!F19</f>
        <v>3350799128.778306</v>
      </c>
      <c r="G20" s="248">
        <f>'6-PlantInService'!G19</f>
        <v>2265082996.233233</v>
      </c>
      <c r="H20" s="248">
        <f>'6-PlantInService'!H19</f>
        <v>350778177.56987709</v>
      </c>
      <c r="I20" s="248">
        <f>'6-PlantInService'!I19</f>
        <v>1246103080.4386492</v>
      </c>
      <c r="J20" s="248">
        <f>'6-PlantInService'!J19</f>
        <v>188962875.99262577</v>
      </c>
      <c r="K20" s="248">
        <f>'6-PlantInService'!K19</f>
        <v>84383655.946207628</v>
      </c>
      <c r="L20" s="248">
        <f>'6-PlantInService'!L19</f>
        <v>168194578.54627183</v>
      </c>
      <c r="M20" s="248">
        <f>'6-PlantInService'!M19</f>
        <v>8459201484.108449</v>
      </c>
    </row>
    <row r="21" spans="1:14">
      <c r="A21" s="635">
        <f t="shared" si="0"/>
        <v>10</v>
      </c>
      <c r="B21" s="1121" t="s">
        <v>2940</v>
      </c>
      <c r="C21" s="248">
        <f>'6-PlantInService'!C20</f>
        <v>81886831.423887074</v>
      </c>
      <c r="D21" s="248">
        <f>'6-PlantInService'!D20</f>
        <v>164709519.96722952</v>
      </c>
      <c r="E21" s="248">
        <f>'6-PlantInService'!E20</f>
        <v>560085940.26849926</v>
      </c>
      <c r="F21" s="248">
        <f>'6-PlantInService'!F20</f>
        <v>3354129788.5844827</v>
      </c>
      <c r="G21" s="248">
        <f>'6-PlantInService'!G20</f>
        <v>2263017843.8072162</v>
      </c>
      <c r="H21" s="248">
        <f>'6-PlantInService'!H20</f>
        <v>354174066.60798311</v>
      </c>
      <c r="I21" s="248">
        <f>'6-PlantInService'!I20</f>
        <v>1247812336.683892</v>
      </c>
      <c r="J21" s="248">
        <f>'6-PlantInService'!J20</f>
        <v>189290135.90612665</v>
      </c>
      <c r="K21" s="248">
        <f>'6-PlantInService'!K20</f>
        <v>84485994.067062825</v>
      </c>
      <c r="L21" s="248">
        <f>'6-PlantInService'!L20</f>
        <v>168808262.01432389</v>
      </c>
      <c r="M21" s="248">
        <f>'6-PlantInService'!M20</f>
        <v>8468400719.3307037</v>
      </c>
    </row>
    <row r="22" spans="1:14">
      <c r="A22" s="635">
        <f t="shared" si="0"/>
        <v>11</v>
      </c>
      <c r="B22" s="1121" t="s">
        <v>2941</v>
      </c>
      <c r="C22" s="248">
        <f>'6-PlantInService'!C21</f>
        <v>81898670.463887021</v>
      </c>
      <c r="D22" s="248">
        <f>'6-PlantInService'!D21</f>
        <v>164708798.40418896</v>
      </c>
      <c r="E22" s="248">
        <f>'6-PlantInService'!E21</f>
        <v>557690364.69114268</v>
      </c>
      <c r="F22" s="248">
        <f>'6-PlantInService'!F21</f>
        <v>3337803869.7079716</v>
      </c>
      <c r="G22" s="248">
        <f>'6-PlantInService'!G21</f>
        <v>2267000465.5567203</v>
      </c>
      <c r="H22" s="248">
        <f>'6-PlantInService'!H21</f>
        <v>357358231.15162766</v>
      </c>
      <c r="I22" s="248">
        <f>'6-PlantInService'!I21</f>
        <v>1247335361.2583385</v>
      </c>
      <c r="J22" s="248">
        <f>'6-PlantInService'!J21</f>
        <v>189937864.06141493</v>
      </c>
      <c r="K22" s="248">
        <f>'6-PlantInService'!K21</f>
        <v>84808332.547734067</v>
      </c>
      <c r="L22" s="248">
        <f>'6-PlantInService'!L21</f>
        <v>169009659.68885976</v>
      </c>
      <c r="M22" s="248">
        <f>'6-PlantInService'!M21</f>
        <v>8457551617.5318842</v>
      </c>
    </row>
    <row r="23" spans="1:14">
      <c r="A23" s="635">
        <f t="shared" si="0"/>
        <v>12</v>
      </c>
      <c r="B23" s="1121" t="s">
        <v>2942</v>
      </c>
      <c r="C23" s="248">
        <f>'6-PlantInService'!C22</f>
        <v>87866111.14856644</v>
      </c>
      <c r="D23" s="248">
        <f>'6-PlantInService'!D22</f>
        <v>164907956.70031324</v>
      </c>
      <c r="E23" s="248">
        <f>'6-PlantInService'!E22</f>
        <v>559289848.69396424</v>
      </c>
      <c r="F23" s="248">
        <f>'6-PlantInService'!F22</f>
        <v>3340005248.8109145</v>
      </c>
      <c r="G23" s="248">
        <f>'6-PlantInService'!G22</f>
        <v>2268750108.0349035</v>
      </c>
      <c r="H23" s="248">
        <f>'6-PlantInService'!H22</f>
        <v>362445560.92425799</v>
      </c>
      <c r="I23" s="248">
        <f>'6-PlantInService'!I22</f>
        <v>1244772135.9725165</v>
      </c>
      <c r="J23" s="248">
        <f>'6-PlantInService'!J22</f>
        <v>190107795.95587212</v>
      </c>
      <c r="K23" s="248">
        <f>'6-PlantInService'!K22</f>
        <v>84849890.173759699</v>
      </c>
      <c r="L23" s="248">
        <f>'6-PlantInService'!L22</f>
        <v>171154662.88097575</v>
      </c>
      <c r="M23" s="248">
        <f>'6-PlantInService'!M22</f>
        <v>8474149319.2960443</v>
      </c>
    </row>
    <row r="24" spans="1:14">
      <c r="A24" s="635">
        <f t="shared" si="0"/>
        <v>13</v>
      </c>
      <c r="B24" s="1121" t="s">
        <v>2943</v>
      </c>
      <c r="C24" s="248">
        <f>'6-PlantInService'!C23</f>
        <v>87876203.008566424</v>
      </c>
      <c r="D24" s="248">
        <f>'6-PlantInService'!D23</f>
        <v>164901118.05652422</v>
      </c>
      <c r="E24" s="248">
        <f>'6-PlantInService'!E23</f>
        <v>569698022.82553017</v>
      </c>
      <c r="F24" s="248">
        <f>'6-PlantInService'!F23</f>
        <v>3409447773.6593328</v>
      </c>
      <c r="G24" s="248">
        <f>'6-PlantInService'!G23</f>
        <v>2283380921.6603918</v>
      </c>
      <c r="H24" s="248">
        <f>'6-PlantInService'!H23</f>
        <v>364424080.39844126</v>
      </c>
      <c r="I24" s="248">
        <f>'6-PlantInService'!I23</f>
        <v>1245933686.1010468</v>
      </c>
      <c r="J24" s="248">
        <f>'6-PlantInService'!J23</f>
        <v>190222488.72271055</v>
      </c>
      <c r="K24" s="248">
        <f>'6-PlantInService'!K23</f>
        <v>84920373.966592565</v>
      </c>
      <c r="L24" s="248">
        <f>'6-PlantInService'!L23</f>
        <v>172640884.93140152</v>
      </c>
      <c r="M24" s="248">
        <f>'6-PlantInService'!M23</f>
        <v>8573445553.3305378</v>
      </c>
    </row>
    <row r="25" spans="1:14">
      <c r="A25" s="635">
        <f t="shared" si="0"/>
        <v>14</v>
      </c>
      <c r="B25" s="246"/>
      <c r="C25" s="246"/>
      <c r="D25" s="246"/>
      <c r="E25" s="246"/>
      <c r="F25" s="246"/>
      <c r="G25" s="246"/>
      <c r="H25" s="246"/>
      <c r="I25" s="246"/>
      <c r="J25" s="246"/>
      <c r="K25" s="246"/>
      <c r="L25" s="246"/>
      <c r="M25" s="246"/>
    </row>
    <row r="26" spans="1:14">
      <c r="A26" s="635">
        <f t="shared" si="0"/>
        <v>15</v>
      </c>
      <c r="B26" s="702" t="s">
        <v>2476</v>
      </c>
      <c r="C26" s="256"/>
      <c r="D26" s="256"/>
      <c r="E26" s="256"/>
      <c r="F26" s="256"/>
      <c r="G26" s="256"/>
      <c r="H26" s="256"/>
      <c r="I26" s="246"/>
      <c r="J26" s="246"/>
      <c r="K26" s="246"/>
      <c r="L26" s="246"/>
      <c r="M26" s="246"/>
    </row>
    <row r="27" spans="1:14">
      <c r="A27" s="635"/>
      <c r="B27" s="120"/>
      <c r="C27" s="256"/>
      <c r="D27" s="256"/>
      <c r="E27" s="256"/>
      <c r="F27" s="256"/>
      <c r="G27" s="246"/>
      <c r="H27" s="246"/>
      <c r="I27" s="246"/>
      <c r="J27" s="246"/>
      <c r="K27" s="246"/>
      <c r="L27" s="246"/>
      <c r="M27" s="246"/>
    </row>
    <row r="28" spans="1:14">
      <c r="A28" s="635"/>
      <c r="B28" s="120"/>
      <c r="C28" s="256"/>
      <c r="D28" s="256"/>
      <c r="E28" s="256"/>
      <c r="F28" s="256"/>
      <c r="G28" s="246"/>
      <c r="H28" s="246"/>
      <c r="I28" s="246"/>
      <c r="J28" s="246"/>
      <c r="K28" s="246"/>
      <c r="L28" s="246"/>
      <c r="M28" s="246"/>
    </row>
    <row r="29" spans="1:14">
      <c r="A29" s="635">
        <f>A26+1</f>
        <v>16</v>
      </c>
      <c r="B29" s="134" t="s">
        <v>2006</v>
      </c>
      <c r="C29" s="380">
        <v>350.1</v>
      </c>
      <c r="D29" s="380">
        <v>350.2</v>
      </c>
      <c r="E29" s="380">
        <v>352</v>
      </c>
      <c r="F29" s="380">
        <v>353</v>
      </c>
      <c r="G29" s="91">
        <v>354</v>
      </c>
      <c r="H29" s="91">
        <v>355</v>
      </c>
      <c r="I29" s="91">
        <v>356</v>
      </c>
      <c r="J29" s="91">
        <v>357</v>
      </c>
      <c r="K29" s="91">
        <v>358</v>
      </c>
      <c r="L29" s="91">
        <v>359</v>
      </c>
      <c r="M29" s="3"/>
    </row>
    <row r="30" spans="1:14">
      <c r="A30" s="635" t="s">
        <v>2477</v>
      </c>
      <c r="B30" s="1121" t="s">
        <v>2863</v>
      </c>
      <c r="C30" s="808">
        <v>0</v>
      </c>
      <c r="D30" s="808">
        <v>1.66E-2</v>
      </c>
      <c r="E30" s="808">
        <v>2.5700000000000001E-2</v>
      </c>
      <c r="F30" s="808">
        <v>2.47E-2</v>
      </c>
      <c r="G30" s="808">
        <v>2.4400000000000002E-2</v>
      </c>
      <c r="H30" s="808">
        <v>3.6700000000000003E-2</v>
      </c>
      <c r="I30" s="808">
        <v>3.0499999999999999E-2</v>
      </c>
      <c r="J30" s="808">
        <v>1.6500000000000001E-2</v>
      </c>
      <c r="K30" s="808">
        <v>3.8699999999999998E-2</v>
      </c>
      <c r="L30" s="808">
        <v>1.5599999999999999E-2</v>
      </c>
      <c r="M30" s="246"/>
      <c r="N30" s="569"/>
    </row>
    <row r="31" spans="1:14">
      <c r="A31" s="635" t="s">
        <v>2478</v>
      </c>
      <c r="B31" s="1121" t="s">
        <v>2932</v>
      </c>
      <c r="C31" s="808">
        <v>0</v>
      </c>
      <c r="D31" s="808">
        <v>1.66E-2</v>
      </c>
      <c r="E31" s="808">
        <v>2.5700000000000001E-2</v>
      </c>
      <c r="F31" s="808">
        <v>2.47E-2</v>
      </c>
      <c r="G31" s="808">
        <v>2.4400000000000002E-2</v>
      </c>
      <c r="H31" s="808">
        <v>3.6700000000000003E-2</v>
      </c>
      <c r="I31" s="808">
        <v>3.0499999999999999E-2</v>
      </c>
      <c r="J31" s="808">
        <v>1.6500000000000001E-2</v>
      </c>
      <c r="K31" s="808">
        <v>3.8699999999999998E-2</v>
      </c>
      <c r="L31" s="808">
        <v>1.5599999999999999E-2</v>
      </c>
      <c r="M31" s="246"/>
      <c r="N31" s="569"/>
    </row>
    <row r="32" spans="1:14">
      <c r="A32" s="635" t="s">
        <v>2479</v>
      </c>
      <c r="B32" s="1121" t="s">
        <v>2933</v>
      </c>
      <c r="C32" s="808">
        <v>0</v>
      </c>
      <c r="D32" s="808">
        <v>1.66E-2</v>
      </c>
      <c r="E32" s="808">
        <v>2.5700000000000001E-2</v>
      </c>
      <c r="F32" s="808">
        <v>2.47E-2</v>
      </c>
      <c r="G32" s="808">
        <v>2.4400000000000002E-2</v>
      </c>
      <c r="H32" s="808">
        <v>3.6700000000000003E-2</v>
      </c>
      <c r="I32" s="808">
        <v>3.0499999999999999E-2</v>
      </c>
      <c r="J32" s="808">
        <v>1.6500000000000001E-2</v>
      </c>
      <c r="K32" s="808">
        <v>3.8699999999999998E-2</v>
      </c>
      <c r="L32" s="808">
        <v>1.5599999999999999E-2</v>
      </c>
      <c r="M32" s="246"/>
      <c r="N32" s="569"/>
    </row>
    <row r="33" spans="1:14">
      <c r="A33" s="635" t="s">
        <v>2480</v>
      </c>
      <c r="B33" s="1121" t="s">
        <v>2934</v>
      </c>
      <c r="C33" s="808">
        <v>0</v>
      </c>
      <c r="D33" s="808">
        <v>1.66E-2</v>
      </c>
      <c r="E33" s="808">
        <v>2.5700000000000001E-2</v>
      </c>
      <c r="F33" s="808">
        <v>2.47E-2</v>
      </c>
      <c r="G33" s="808">
        <v>2.4400000000000002E-2</v>
      </c>
      <c r="H33" s="808">
        <v>3.6700000000000003E-2</v>
      </c>
      <c r="I33" s="808">
        <v>3.0499999999999999E-2</v>
      </c>
      <c r="J33" s="808">
        <v>1.6500000000000001E-2</v>
      </c>
      <c r="K33" s="808">
        <v>3.8699999999999998E-2</v>
      </c>
      <c r="L33" s="808">
        <v>1.5599999999999999E-2</v>
      </c>
      <c r="M33" s="246"/>
      <c r="N33" s="569"/>
    </row>
    <row r="34" spans="1:14">
      <c r="A34" s="635" t="s">
        <v>2481</v>
      </c>
      <c r="B34" s="1121" t="s">
        <v>2935</v>
      </c>
      <c r="C34" s="808">
        <v>0</v>
      </c>
      <c r="D34" s="808">
        <v>1.66E-2</v>
      </c>
      <c r="E34" s="808">
        <v>2.5700000000000001E-2</v>
      </c>
      <c r="F34" s="808">
        <v>2.47E-2</v>
      </c>
      <c r="G34" s="808">
        <v>2.4400000000000002E-2</v>
      </c>
      <c r="H34" s="808">
        <v>3.6700000000000003E-2</v>
      </c>
      <c r="I34" s="808">
        <v>3.0499999999999999E-2</v>
      </c>
      <c r="J34" s="808">
        <v>1.6500000000000001E-2</v>
      </c>
      <c r="K34" s="808">
        <v>3.8699999999999998E-2</v>
      </c>
      <c r="L34" s="808">
        <v>1.5599999999999999E-2</v>
      </c>
      <c r="M34" s="246"/>
      <c r="N34" s="569"/>
    </row>
    <row r="35" spans="1:14">
      <c r="A35" s="635" t="s">
        <v>2482</v>
      </c>
      <c r="B35" s="1121" t="s">
        <v>2936</v>
      </c>
      <c r="C35" s="808">
        <v>0</v>
      </c>
      <c r="D35" s="808">
        <v>1.66E-2</v>
      </c>
      <c r="E35" s="808">
        <v>2.5700000000000001E-2</v>
      </c>
      <c r="F35" s="808">
        <v>2.47E-2</v>
      </c>
      <c r="G35" s="808">
        <v>2.4400000000000002E-2</v>
      </c>
      <c r="H35" s="808">
        <v>3.6700000000000003E-2</v>
      </c>
      <c r="I35" s="808">
        <v>3.0499999999999999E-2</v>
      </c>
      <c r="J35" s="808">
        <v>1.6500000000000001E-2</v>
      </c>
      <c r="K35" s="808">
        <v>3.8699999999999998E-2</v>
      </c>
      <c r="L35" s="808">
        <v>1.5599999999999999E-2</v>
      </c>
      <c r="M35" s="246"/>
      <c r="N35" s="569"/>
    </row>
    <row r="36" spans="1:14">
      <c r="A36" s="635" t="s">
        <v>2483</v>
      </c>
      <c r="B36" s="1121" t="s">
        <v>2937</v>
      </c>
      <c r="C36" s="808">
        <v>0</v>
      </c>
      <c r="D36" s="808">
        <v>1.66E-2</v>
      </c>
      <c r="E36" s="808">
        <v>2.5700000000000001E-2</v>
      </c>
      <c r="F36" s="808">
        <v>2.47E-2</v>
      </c>
      <c r="G36" s="808">
        <v>2.4400000000000002E-2</v>
      </c>
      <c r="H36" s="808">
        <v>3.6700000000000003E-2</v>
      </c>
      <c r="I36" s="808">
        <v>3.0499999999999999E-2</v>
      </c>
      <c r="J36" s="808">
        <v>1.6500000000000001E-2</v>
      </c>
      <c r="K36" s="808">
        <v>3.8699999999999998E-2</v>
      </c>
      <c r="L36" s="808">
        <v>1.5599999999999999E-2</v>
      </c>
      <c r="M36" s="246"/>
      <c r="N36" s="569"/>
    </row>
    <row r="37" spans="1:14">
      <c r="A37" s="635" t="s">
        <v>2484</v>
      </c>
      <c r="B37" s="1121" t="s">
        <v>2938</v>
      </c>
      <c r="C37" s="808">
        <v>0</v>
      </c>
      <c r="D37" s="808">
        <v>1.66E-2</v>
      </c>
      <c r="E37" s="808">
        <v>2.5700000000000001E-2</v>
      </c>
      <c r="F37" s="808">
        <v>2.47E-2</v>
      </c>
      <c r="G37" s="808">
        <v>2.4400000000000002E-2</v>
      </c>
      <c r="H37" s="808">
        <v>3.6700000000000003E-2</v>
      </c>
      <c r="I37" s="808">
        <v>3.0499999999999999E-2</v>
      </c>
      <c r="J37" s="808">
        <v>1.6500000000000001E-2</v>
      </c>
      <c r="K37" s="808">
        <v>3.8699999999999998E-2</v>
      </c>
      <c r="L37" s="808">
        <v>1.5599999999999999E-2</v>
      </c>
      <c r="M37" s="246"/>
      <c r="N37" s="569"/>
    </row>
    <row r="38" spans="1:14">
      <c r="A38" s="635" t="s">
        <v>2485</v>
      </c>
      <c r="B38" s="1121" t="s">
        <v>2939</v>
      </c>
      <c r="C38" s="808">
        <v>0</v>
      </c>
      <c r="D38" s="808">
        <v>1.66E-2</v>
      </c>
      <c r="E38" s="808">
        <v>2.5700000000000001E-2</v>
      </c>
      <c r="F38" s="808">
        <v>2.47E-2</v>
      </c>
      <c r="G38" s="808">
        <v>2.4400000000000002E-2</v>
      </c>
      <c r="H38" s="808">
        <v>3.6700000000000003E-2</v>
      </c>
      <c r="I38" s="808">
        <v>3.0499999999999999E-2</v>
      </c>
      <c r="J38" s="808">
        <v>1.6500000000000001E-2</v>
      </c>
      <c r="K38" s="808">
        <v>3.8699999999999998E-2</v>
      </c>
      <c r="L38" s="808">
        <v>1.5599999999999999E-2</v>
      </c>
      <c r="M38" s="246"/>
      <c r="N38" s="569"/>
    </row>
    <row r="39" spans="1:14">
      <c r="A39" s="635" t="s">
        <v>2486</v>
      </c>
      <c r="B39" s="1121" t="s">
        <v>2940</v>
      </c>
      <c r="C39" s="808">
        <v>0</v>
      </c>
      <c r="D39" s="808">
        <v>1.66E-2</v>
      </c>
      <c r="E39" s="808">
        <v>2.5700000000000001E-2</v>
      </c>
      <c r="F39" s="808">
        <v>2.47E-2</v>
      </c>
      <c r="G39" s="808">
        <v>2.4400000000000002E-2</v>
      </c>
      <c r="H39" s="808">
        <v>3.6700000000000003E-2</v>
      </c>
      <c r="I39" s="808">
        <v>3.0499999999999999E-2</v>
      </c>
      <c r="J39" s="808">
        <v>1.6500000000000001E-2</v>
      </c>
      <c r="K39" s="808">
        <v>3.8699999999999998E-2</v>
      </c>
      <c r="L39" s="808">
        <v>1.5599999999999999E-2</v>
      </c>
      <c r="M39" s="246"/>
      <c r="N39" s="569"/>
    </row>
    <row r="40" spans="1:14">
      <c r="A40" s="635" t="s">
        <v>2487</v>
      </c>
      <c r="B40" s="1121" t="s">
        <v>2941</v>
      </c>
      <c r="C40" s="808">
        <v>0</v>
      </c>
      <c r="D40" s="808">
        <v>1.66E-2</v>
      </c>
      <c r="E40" s="808">
        <v>2.5700000000000001E-2</v>
      </c>
      <c r="F40" s="808">
        <v>2.47E-2</v>
      </c>
      <c r="G40" s="808">
        <v>2.4400000000000002E-2</v>
      </c>
      <c r="H40" s="808">
        <v>3.6700000000000003E-2</v>
      </c>
      <c r="I40" s="808">
        <v>3.0499999999999999E-2</v>
      </c>
      <c r="J40" s="808">
        <v>1.6500000000000001E-2</v>
      </c>
      <c r="K40" s="808">
        <v>3.8699999999999998E-2</v>
      </c>
      <c r="L40" s="808">
        <v>1.5599999999999999E-2</v>
      </c>
      <c r="M40" s="246"/>
    </row>
    <row r="41" spans="1:14">
      <c r="A41" s="635" t="s">
        <v>2488</v>
      </c>
      <c r="B41" s="1121" t="s">
        <v>2942</v>
      </c>
      <c r="C41" s="808">
        <v>0</v>
      </c>
      <c r="D41" s="808">
        <v>1.66E-2</v>
      </c>
      <c r="E41" s="808">
        <v>2.5700000000000001E-2</v>
      </c>
      <c r="F41" s="808">
        <v>2.47E-2</v>
      </c>
      <c r="G41" s="808">
        <v>2.4400000000000002E-2</v>
      </c>
      <c r="H41" s="808">
        <v>3.6700000000000003E-2</v>
      </c>
      <c r="I41" s="808">
        <v>3.0499999999999999E-2</v>
      </c>
      <c r="J41" s="808">
        <v>1.6500000000000001E-2</v>
      </c>
      <c r="K41" s="808">
        <v>3.8699999999999998E-2</v>
      </c>
      <c r="L41" s="808">
        <v>1.5599999999999999E-2</v>
      </c>
      <c r="M41" s="246"/>
    </row>
    <row r="42" spans="1:14">
      <c r="A42" s="635" t="s">
        <v>2489</v>
      </c>
      <c r="B42" s="1121" t="s">
        <v>2943</v>
      </c>
      <c r="C42" s="808">
        <v>0</v>
      </c>
      <c r="D42" s="808">
        <v>1.66E-2</v>
      </c>
      <c r="E42" s="808">
        <v>2.5700000000000001E-2</v>
      </c>
      <c r="F42" s="808">
        <v>2.47E-2</v>
      </c>
      <c r="G42" s="808">
        <v>2.4400000000000002E-2</v>
      </c>
      <c r="H42" s="808">
        <v>3.6700000000000003E-2</v>
      </c>
      <c r="I42" s="808">
        <v>3.0499999999999999E-2</v>
      </c>
      <c r="J42" s="808">
        <v>1.6500000000000001E-2</v>
      </c>
      <c r="K42" s="808">
        <v>3.8699999999999998E-2</v>
      </c>
      <c r="L42" s="808">
        <v>1.5599999999999999E-2</v>
      </c>
      <c r="M42" s="246"/>
    </row>
    <row r="43" spans="1:14">
      <c r="A43" s="635">
        <v>18</v>
      </c>
      <c r="C43" s="388"/>
      <c r="D43" s="388"/>
      <c r="E43" s="388"/>
      <c r="F43" s="388"/>
      <c r="G43" s="388"/>
      <c r="H43" s="388"/>
      <c r="I43" s="388"/>
      <c r="J43" s="388"/>
      <c r="K43" s="388"/>
      <c r="L43" s="388"/>
      <c r="M43" s="246"/>
    </row>
    <row r="44" spans="1:14">
      <c r="A44" s="635">
        <f t="shared" si="0"/>
        <v>19</v>
      </c>
      <c r="B44" s="517" t="s">
        <v>1060</v>
      </c>
      <c r="C44" s="257"/>
      <c r="D44" s="257"/>
      <c r="E44" s="257"/>
      <c r="F44" s="257"/>
      <c r="G44" s="569" t="s">
        <v>1922</v>
      </c>
      <c r="H44" s="257"/>
      <c r="I44" s="388"/>
      <c r="J44" s="388"/>
      <c r="K44" s="388"/>
      <c r="L44" s="388"/>
      <c r="M44" s="246"/>
    </row>
    <row r="45" spans="1:14">
      <c r="A45" s="635">
        <f t="shared" si="0"/>
        <v>20</v>
      </c>
      <c r="B45" s="256"/>
      <c r="C45" s="256"/>
      <c r="D45" s="256"/>
      <c r="E45" s="256"/>
      <c r="F45" s="256"/>
      <c r="G45" s="256"/>
      <c r="H45" s="256"/>
      <c r="I45" s="246"/>
      <c r="J45" s="246"/>
      <c r="K45" s="246"/>
      <c r="L45" s="246"/>
      <c r="M45" s="246"/>
    </row>
    <row r="46" spans="1:14">
      <c r="A46" s="635">
        <f t="shared" si="0"/>
        <v>21</v>
      </c>
      <c r="B46" s="120"/>
      <c r="C46" s="982" t="s">
        <v>12</v>
      </c>
      <c r="D46" s="256"/>
      <c r="E46" s="256"/>
      <c r="F46" s="256"/>
      <c r="G46" s="256"/>
      <c r="H46" s="256"/>
      <c r="I46" s="246"/>
      <c r="J46" s="246"/>
      <c r="K46" s="246"/>
      <c r="L46" s="246"/>
      <c r="M46" s="246"/>
    </row>
    <row r="47" spans="1:14">
      <c r="A47" s="635">
        <f t="shared" si="0"/>
        <v>22</v>
      </c>
      <c r="B47" s="120"/>
      <c r="C47" s="982" t="s">
        <v>1057</v>
      </c>
      <c r="D47" s="256"/>
      <c r="E47" s="256"/>
      <c r="F47" s="256"/>
      <c r="G47" s="256"/>
      <c r="H47" s="256"/>
      <c r="I47" s="246"/>
      <c r="J47" s="246"/>
      <c r="K47" s="246"/>
      <c r="L47" s="246"/>
      <c r="M47" s="635" t="s">
        <v>211</v>
      </c>
    </row>
    <row r="48" spans="1:14">
      <c r="A48" s="635">
        <f t="shared" si="0"/>
        <v>23</v>
      </c>
      <c r="B48" s="134" t="s">
        <v>2006</v>
      </c>
      <c r="C48" s="380">
        <v>350.1</v>
      </c>
      <c r="D48" s="380">
        <v>350.2</v>
      </c>
      <c r="E48" s="380">
        <v>352</v>
      </c>
      <c r="F48" s="380">
        <v>353</v>
      </c>
      <c r="G48" s="380">
        <v>354</v>
      </c>
      <c r="H48" s="380">
        <v>355</v>
      </c>
      <c r="I48" s="91">
        <v>356</v>
      </c>
      <c r="J48" s="91">
        <v>357</v>
      </c>
      <c r="K48" s="91">
        <v>358</v>
      </c>
      <c r="L48" s="91">
        <v>359</v>
      </c>
      <c r="M48" s="3" t="s">
        <v>215</v>
      </c>
    </row>
    <row r="49" spans="1:13">
      <c r="A49" s="635">
        <f t="shared" si="0"/>
        <v>24</v>
      </c>
      <c r="B49" s="1121" t="s">
        <v>2932</v>
      </c>
      <c r="C49" s="250">
        <f>C12*$C$30/12</f>
        <v>0</v>
      </c>
      <c r="D49" s="250">
        <f t="shared" ref="D49:D60" si="1">D12*$D30/12</f>
        <v>228702.24939958984</v>
      </c>
      <c r="E49" s="250">
        <f t="shared" ref="E49:E60" si="2">E12*$E30/12</f>
        <v>1138472.7581982927</v>
      </c>
      <c r="F49" s="250">
        <f t="shared" ref="F49:F60" si="3">F12*$F30/12</f>
        <v>6687886.1321742674</v>
      </c>
      <c r="G49" s="250">
        <f t="shared" ref="G49:G60" si="4">G12*$G30/12</f>
        <v>4542448.8387965197</v>
      </c>
      <c r="H49" s="250">
        <f t="shared" ref="H49:H60" si="5">H12*$H30/12</f>
        <v>991689.74679432239</v>
      </c>
      <c r="I49" s="250">
        <f t="shared" ref="I49:I60" si="6">I12*$I30/12</f>
        <v>3141255.4677464361</v>
      </c>
      <c r="J49" s="250">
        <f t="shared" ref="J49:J60" si="7">J12*$J30/12</f>
        <v>255073.77020730244</v>
      </c>
      <c r="K49" s="250">
        <f t="shared" ref="K49:K60" si="8">K12*$K30/12</f>
        <v>264292.2070505388</v>
      </c>
      <c r="L49" s="250">
        <f t="shared" ref="L49:L60" si="9">L12*$L30/12</f>
        <v>236635.21123455852</v>
      </c>
      <c r="M49" s="248">
        <f>SUM(C49:L49)</f>
        <v>17486456.381601829</v>
      </c>
    </row>
    <row r="50" spans="1:13">
      <c r="A50" s="635">
        <f t="shared" si="0"/>
        <v>25</v>
      </c>
      <c r="B50" s="1121" t="s">
        <v>2933</v>
      </c>
      <c r="C50" s="250">
        <f t="shared" ref="C50:C60" si="10">C13*$C$30/12</f>
        <v>0</v>
      </c>
      <c r="D50" s="250">
        <f t="shared" si="1"/>
        <v>228707.04949708984</v>
      </c>
      <c r="E50" s="250">
        <f t="shared" si="2"/>
        <v>1132629.1609625074</v>
      </c>
      <c r="F50" s="250">
        <f t="shared" si="3"/>
        <v>6689659.967259746</v>
      </c>
      <c r="G50" s="250">
        <f t="shared" si="4"/>
        <v>4536368.7293151785</v>
      </c>
      <c r="H50" s="250">
        <f t="shared" si="5"/>
        <v>1026680.9508968689</v>
      </c>
      <c r="I50" s="250">
        <f t="shared" si="6"/>
        <v>3132768.1452068654</v>
      </c>
      <c r="J50" s="250">
        <f t="shared" si="7"/>
        <v>255278.03738272024</v>
      </c>
      <c r="K50" s="250">
        <f t="shared" si="8"/>
        <v>264443.29299377929</v>
      </c>
      <c r="L50" s="250">
        <f t="shared" si="9"/>
        <v>208163.75780343541</v>
      </c>
      <c r="M50" s="248">
        <f t="shared" ref="M50:M60" si="11">SUM(C50:L50)</f>
        <v>17474699.091318194</v>
      </c>
    </row>
    <row r="51" spans="1:13">
      <c r="A51" s="635">
        <f t="shared" si="0"/>
        <v>26</v>
      </c>
      <c r="B51" s="1121" t="s">
        <v>2934</v>
      </c>
      <c r="C51" s="250">
        <f t="shared" si="10"/>
        <v>0</v>
      </c>
      <c r="D51" s="250">
        <f t="shared" si="1"/>
        <v>229334.62482258983</v>
      </c>
      <c r="E51" s="250">
        <f t="shared" si="2"/>
        <v>1145539.8450776287</v>
      </c>
      <c r="F51" s="250">
        <f t="shared" si="3"/>
        <v>6703280.2100622291</v>
      </c>
      <c r="G51" s="250">
        <f t="shared" si="4"/>
        <v>4500032.9972029654</v>
      </c>
      <c r="H51" s="250">
        <f t="shared" si="5"/>
        <v>1039729.0849985778</v>
      </c>
      <c r="I51" s="250">
        <f t="shared" si="6"/>
        <v>3139036.8550424273</v>
      </c>
      <c r="J51" s="250">
        <f t="shared" si="7"/>
        <v>255913.89188035167</v>
      </c>
      <c r="K51" s="250">
        <f t="shared" si="8"/>
        <v>266950.74343859061</v>
      </c>
      <c r="L51" s="250">
        <f t="shared" si="9"/>
        <v>210222.62887937145</v>
      </c>
      <c r="M51" s="248">
        <f t="shared" si="11"/>
        <v>17490040.881404731</v>
      </c>
    </row>
    <row r="52" spans="1:13">
      <c r="A52" s="635">
        <f t="shared" si="0"/>
        <v>27</v>
      </c>
      <c r="B52" s="1121" t="s">
        <v>2935</v>
      </c>
      <c r="C52" s="250">
        <f t="shared" si="10"/>
        <v>0</v>
      </c>
      <c r="D52" s="250">
        <f t="shared" si="1"/>
        <v>229265.16350473664</v>
      </c>
      <c r="E52" s="250">
        <f t="shared" si="2"/>
        <v>1141094.8929118367</v>
      </c>
      <c r="F52" s="250">
        <f t="shared" si="3"/>
        <v>6710402.5649683103</v>
      </c>
      <c r="G52" s="250">
        <f t="shared" si="4"/>
        <v>4526042.2602200722</v>
      </c>
      <c r="H52" s="250">
        <f t="shared" si="5"/>
        <v>1048214.7372440854</v>
      </c>
      <c r="I52" s="250">
        <f t="shared" si="6"/>
        <v>3154661.3217542502</v>
      </c>
      <c r="J52" s="250">
        <f t="shared" si="7"/>
        <v>256246.89275364077</v>
      </c>
      <c r="K52" s="250">
        <f t="shared" si="8"/>
        <v>269144.47412516869</v>
      </c>
      <c r="L52" s="250">
        <f t="shared" si="9"/>
        <v>209889.84680690581</v>
      </c>
      <c r="M52" s="248">
        <f t="shared" si="11"/>
        <v>17544962.154289007</v>
      </c>
    </row>
    <row r="53" spans="1:13">
      <c r="A53" s="635">
        <f t="shared" si="0"/>
        <v>28</v>
      </c>
      <c r="B53" s="1121" t="s">
        <v>2936</v>
      </c>
      <c r="C53" s="250">
        <f t="shared" si="10"/>
        <v>0</v>
      </c>
      <c r="D53" s="250">
        <f t="shared" si="1"/>
        <v>229265.95974796565</v>
      </c>
      <c r="E53" s="250">
        <f t="shared" si="2"/>
        <v>1157229.2043401767</v>
      </c>
      <c r="F53" s="250">
        <f t="shared" si="3"/>
        <v>6773145.3507044734</v>
      </c>
      <c r="G53" s="250">
        <f t="shared" si="4"/>
        <v>4579025.9280692721</v>
      </c>
      <c r="H53" s="250">
        <f t="shared" si="5"/>
        <v>1053896.5864099991</v>
      </c>
      <c r="I53" s="250">
        <f t="shared" si="6"/>
        <v>3162506.9964501872</v>
      </c>
      <c r="J53" s="250">
        <f t="shared" si="7"/>
        <v>256590.89688009434</v>
      </c>
      <c r="K53" s="250">
        <f t="shared" si="8"/>
        <v>269419.54522553616</v>
      </c>
      <c r="L53" s="250">
        <f t="shared" si="9"/>
        <v>210080.2052789166</v>
      </c>
      <c r="M53" s="248">
        <f t="shared" si="11"/>
        <v>17691160.673106622</v>
      </c>
    </row>
    <row r="54" spans="1:13">
      <c r="A54" s="635">
        <f t="shared" si="0"/>
        <v>29</v>
      </c>
      <c r="B54" s="1121" t="s">
        <v>2937</v>
      </c>
      <c r="C54" s="250">
        <f t="shared" si="10"/>
        <v>0</v>
      </c>
      <c r="D54" s="250">
        <f t="shared" si="1"/>
        <v>229224.35185588259</v>
      </c>
      <c r="E54" s="250">
        <f t="shared" si="2"/>
        <v>1175277.0568974733</v>
      </c>
      <c r="F54" s="250">
        <f t="shared" si="3"/>
        <v>6798799.6305266088</v>
      </c>
      <c r="G54" s="250">
        <f t="shared" si="4"/>
        <v>4591426.7079503667</v>
      </c>
      <c r="H54" s="250">
        <f t="shared" si="5"/>
        <v>1056252.5378378548</v>
      </c>
      <c r="I54" s="250">
        <f t="shared" si="6"/>
        <v>3157961.1765045426</v>
      </c>
      <c r="J54" s="250">
        <f t="shared" si="7"/>
        <v>257286.61618754969</v>
      </c>
      <c r="K54" s="250">
        <f t="shared" si="8"/>
        <v>269989.54541857255</v>
      </c>
      <c r="L54" s="250">
        <f t="shared" si="9"/>
        <v>218854.00095331995</v>
      </c>
      <c r="M54" s="248">
        <f t="shared" si="11"/>
        <v>17755071.624132171</v>
      </c>
    </row>
    <row r="55" spans="1:13">
      <c r="A55" s="635">
        <f t="shared" si="0"/>
        <v>30</v>
      </c>
      <c r="B55" s="1121" t="s">
        <v>2938</v>
      </c>
      <c r="C55" s="250">
        <f t="shared" si="10"/>
        <v>0</v>
      </c>
      <c r="D55" s="250">
        <f t="shared" si="1"/>
        <v>228989.37542073484</v>
      </c>
      <c r="E55" s="250">
        <f t="shared" si="2"/>
        <v>1182288.3862098153</v>
      </c>
      <c r="F55" s="250">
        <f t="shared" si="3"/>
        <v>6821130.5133475186</v>
      </c>
      <c r="G55" s="250">
        <f t="shared" si="4"/>
        <v>4598079.5906536905</v>
      </c>
      <c r="H55" s="250">
        <f t="shared" si="5"/>
        <v>1062396.2911508523</v>
      </c>
      <c r="I55" s="250">
        <f t="shared" si="6"/>
        <v>3163876.1144685987</v>
      </c>
      <c r="J55" s="250">
        <f t="shared" si="7"/>
        <v>259175.95905689476</v>
      </c>
      <c r="K55" s="250">
        <f t="shared" si="8"/>
        <v>271514.49824684259</v>
      </c>
      <c r="L55" s="250">
        <f t="shared" si="9"/>
        <v>218148.287376211</v>
      </c>
      <c r="M55" s="248">
        <f t="shared" si="11"/>
        <v>17805599.015931156</v>
      </c>
    </row>
    <row r="56" spans="1:13">
      <c r="A56" s="635">
        <f t="shared" si="0"/>
        <v>31</v>
      </c>
      <c r="B56" s="1121" t="s">
        <v>2939</v>
      </c>
      <c r="C56" s="250">
        <f t="shared" si="10"/>
        <v>0</v>
      </c>
      <c r="D56" s="250">
        <f t="shared" si="1"/>
        <v>228526.21654485224</v>
      </c>
      <c r="E56" s="250">
        <f t="shared" si="2"/>
        <v>1186712.5960782324</v>
      </c>
      <c r="F56" s="250">
        <f t="shared" si="3"/>
        <v>6836845.7019396955</v>
      </c>
      <c r="G56" s="250">
        <f t="shared" si="4"/>
        <v>4602782.1813027933</v>
      </c>
      <c r="H56" s="250">
        <f t="shared" si="5"/>
        <v>1070751.5071475036</v>
      </c>
      <c r="I56" s="250">
        <f t="shared" si="6"/>
        <v>3161934.786138901</v>
      </c>
      <c r="J56" s="250">
        <f t="shared" si="7"/>
        <v>259358.98736233675</v>
      </c>
      <c r="K56" s="250">
        <f t="shared" si="8"/>
        <v>271728.98517234961</v>
      </c>
      <c r="L56" s="250">
        <f t="shared" si="9"/>
        <v>218191.93507372684</v>
      </c>
      <c r="M56" s="248">
        <f t="shared" si="11"/>
        <v>17836832.896760389</v>
      </c>
    </row>
    <row r="57" spans="1:13">
      <c r="A57" s="635">
        <f t="shared" si="0"/>
        <v>32</v>
      </c>
      <c r="B57" s="1121" t="s">
        <v>2940</v>
      </c>
      <c r="C57" s="250">
        <f t="shared" si="10"/>
        <v>0</v>
      </c>
      <c r="D57" s="250">
        <f t="shared" si="1"/>
        <v>227873.92476073685</v>
      </c>
      <c r="E57" s="250">
        <f t="shared" si="2"/>
        <v>1195679.3107345884</v>
      </c>
      <c r="F57" s="250">
        <f t="shared" si="3"/>
        <v>6897061.5400686795</v>
      </c>
      <c r="G57" s="250">
        <f t="shared" si="4"/>
        <v>4605668.7590075741</v>
      </c>
      <c r="H57" s="250">
        <f t="shared" si="5"/>
        <v>1072796.5930678742</v>
      </c>
      <c r="I57" s="250">
        <f t="shared" si="6"/>
        <v>3167178.6627815664</v>
      </c>
      <c r="J57" s="250">
        <f t="shared" si="7"/>
        <v>259823.95448986045</v>
      </c>
      <c r="K57" s="250">
        <f t="shared" si="8"/>
        <v>272137.29042651958</v>
      </c>
      <c r="L57" s="250">
        <f t="shared" si="9"/>
        <v>218652.95211015336</v>
      </c>
      <c r="M57" s="248">
        <f t="shared" si="11"/>
        <v>17916872.987447552</v>
      </c>
    </row>
    <row r="58" spans="1:13">
      <c r="A58" s="635">
        <f t="shared" si="0"/>
        <v>33</v>
      </c>
      <c r="B58" s="1121" t="s">
        <v>2941</v>
      </c>
      <c r="C58" s="250">
        <f t="shared" si="10"/>
        <v>0</v>
      </c>
      <c r="D58" s="250">
        <f t="shared" si="1"/>
        <v>227848.16928800082</v>
      </c>
      <c r="E58" s="250">
        <f t="shared" si="2"/>
        <v>1199517.3887417025</v>
      </c>
      <c r="F58" s="250">
        <f t="shared" si="3"/>
        <v>6903917.1481697261</v>
      </c>
      <c r="G58" s="250">
        <f t="shared" si="4"/>
        <v>4601469.6157413395</v>
      </c>
      <c r="H58" s="250">
        <f t="shared" si="5"/>
        <v>1083182.3537094151</v>
      </c>
      <c r="I58" s="250">
        <f t="shared" si="6"/>
        <v>3171523.0224048924</v>
      </c>
      <c r="J58" s="250">
        <f t="shared" si="7"/>
        <v>260273.93687092417</v>
      </c>
      <c r="K58" s="250">
        <f t="shared" si="8"/>
        <v>272467.33086627763</v>
      </c>
      <c r="L58" s="250">
        <f t="shared" si="9"/>
        <v>219450.74061862103</v>
      </c>
      <c r="M58" s="248">
        <f t="shared" si="11"/>
        <v>17939649.706410896</v>
      </c>
    </row>
    <row r="59" spans="1:13">
      <c r="A59" s="635">
        <f t="shared" si="0"/>
        <v>34</v>
      </c>
      <c r="B59" s="1121" t="s">
        <v>2942</v>
      </c>
      <c r="C59" s="250">
        <f t="shared" si="10"/>
        <v>0</v>
      </c>
      <c r="D59" s="250">
        <f t="shared" si="1"/>
        <v>227847.17112579473</v>
      </c>
      <c r="E59" s="250">
        <f t="shared" si="2"/>
        <v>1194386.8643801974</v>
      </c>
      <c r="F59" s="250">
        <f t="shared" si="3"/>
        <v>6870312.9651489081</v>
      </c>
      <c r="G59" s="250">
        <f t="shared" si="4"/>
        <v>4609567.6132986648</v>
      </c>
      <c r="H59" s="250">
        <f t="shared" si="5"/>
        <v>1092920.5902720613</v>
      </c>
      <c r="I59" s="250">
        <f t="shared" si="6"/>
        <v>3170310.7098649438</v>
      </c>
      <c r="J59" s="250">
        <f t="shared" si="7"/>
        <v>261164.56308444554</v>
      </c>
      <c r="K59" s="250">
        <f t="shared" si="8"/>
        <v>273506.87246644235</v>
      </c>
      <c r="L59" s="250">
        <f t="shared" si="9"/>
        <v>219712.55759551769</v>
      </c>
      <c r="M59" s="248">
        <f t="shared" si="11"/>
        <v>17919729.907236975</v>
      </c>
    </row>
    <row r="60" spans="1:13">
      <c r="A60" s="635">
        <f t="shared" si="0"/>
        <v>35</v>
      </c>
      <c r="B60" s="1121" t="s">
        <v>2943</v>
      </c>
      <c r="C60" s="250">
        <f t="shared" si="10"/>
        <v>0</v>
      </c>
      <c r="D60" s="250">
        <f t="shared" si="1"/>
        <v>228122.6734354333</v>
      </c>
      <c r="E60" s="250">
        <f t="shared" si="2"/>
        <v>1197812.4259529067</v>
      </c>
      <c r="F60" s="250">
        <f t="shared" si="3"/>
        <v>6874844.137135799</v>
      </c>
      <c r="G60" s="250">
        <f t="shared" si="4"/>
        <v>4613125.2196709709</v>
      </c>
      <c r="H60" s="250">
        <f t="shared" si="5"/>
        <v>1108479.3404933559</v>
      </c>
      <c r="I60" s="250">
        <f t="shared" si="6"/>
        <v>3163795.8455968127</v>
      </c>
      <c r="J60" s="250">
        <f t="shared" si="7"/>
        <v>261398.2194393242</v>
      </c>
      <c r="K60" s="250">
        <f t="shared" si="8"/>
        <v>273640.89581037505</v>
      </c>
      <c r="L60" s="250">
        <f t="shared" si="9"/>
        <v>222501.0617452685</v>
      </c>
      <c r="M60" s="98">
        <f t="shared" si="11"/>
        <v>17943719.819280244</v>
      </c>
    </row>
    <row r="61" spans="1:13">
      <c r="A61" s="635">
        <f t="shared" si="0"/>
        <v>36</v>
      </c>
      <c r="B61" s="247" t="s">
        <v>216</v>
      </c>
      <c r="C61" s="248">
        <f>SUM(C49:C60)</f>
        <v>0</v>
      </c>
      <c r="D61" s="248">
        <f t="shared" ref="D61:L61" si="12">SUM(D49:D60)</f>
        <v>2743706.929403407</v>
      </c>
      <c r="E61" s="248">
        <f t="shared" si="12"/>
        <v>14046639.890485357</v>
      </c>
      <c r="F61" s="248">
        <f t="shared" si="12"/>
        <v>81567285.86150597</v>
      </c>
      <c r="G61" s="248">
        <f t="shared" si="12"/>
        <v>54906038.441229418</v>
      </c>
      <c r="H61" s="248">
        <f t="shared" si="12"/>
        <v>12706990.320022769</v>
      </c>
      <c r="I61" s="248">
        <f t="shared" si="12"/>
        <v>37886809.103960425</v>
      </c>
      <c r="J61" s="248">
        <f t="shared" si="12"/>
        <v>3097585.7255954449</v>
      </c>
      <c r="K61" s="248">
        <f t="shared" si="12"/>
        <v>3239235.6812409931</v>
      </c>
      <c r="L61" s="248">
        <f t="shared" si="12"/>
        <v>2610503.185476006</v>
      </c>
      <c r="M61" s="7"/>
    </row>
    <row r="62" spans="1:13">
      <c r="A62" s="635">
        <f t="shared" si="0"/>
        <v>37</v>
      </c>
      <c r="B62" s="246"/>
      <c r="C62" s="246"/>
      <c r="D62" s="246"/>
      <c r="E62" s="246"/>
      <c r="F62" s="246"/>
      <c r="G62" s="246"/>
      <c r="H62" s="246"/>
      <c r="I62" s="246"/>
      <c r="J62" s="246"/>
      <c r="K62" s="246"/>
      <c r="L62" s="513" t="s">
        <v>1062</v>
      </c>
      <c r="M62" s="248">
        <f>SUM(M49:M60)</f>
        <v>212804795.13891977</v>
      </c>
    </row>
    <row r="63" spans="1:13">
      <c r="A63" s="635">
        <f t="shared" si="0"/>
        <v>38</v>
      </c>
      <c r="B63" s="246"/>
      <c r="C63" s="246"/>
      <c r="D63" s="246"/>
      <c r="E63" s="246"/>
      <c r="F63" s="246"/>
      <c r="G63" s="246"/>
      <c r="H63" s="246"/>
      <c r="I63" s="246"/>
      <c r="J63" s="246"/>
      <c r="K63" s="246"/>
      <c r="L63" s="809" t="s">
        <v>1063</v>
      </c>
      <c r="M63" s="246"/>
    </row>
    <row r="64" spans="1:13">
      <c r="A64" s="635">
        <f t="shared" si="0"/>
        <v>39</v>
      </c>
      <c r="B64" s="1" t="s">
        <v>1099</v>
      </c>
      <c r="C64" s="246"/>
      <c r="D64" s="246"/>
      <c r="E64" s="246"/>
      <c r="F64" s="246"/>
      <c r="G64" s="246"/>
      <c r="H64" s="246"/>
      <c r="I64" s="246"/>
      <c r="J64" s="246"/>
      <c r="K64" s="246"/>
      <c r="L64" s="246"/>
      <c r="M64" s="246"/>
    </row>
    <row r="65" spans="1:13">
      <c r="A65" s="635">
        <f t="shared" si="0"/>
        <v>40</v>
      </c>
      <c r="B65" s="246"/>
      <c r="C65" s="246"/>
      <c r="D65" s="246"/>
      <c r="E65" s="246"/>
      <c r="F65" s="246"/>
      <c r="G65" s="246"/>
      <c r="H65" s="246"/>
      <c r="I65" s="246"/>
      <c r="J65" s="246"/>
      <c r="K65" s="246"/>
      <c r="L65" s="246"/>
      <c r="M65" s="246"/>
    </row>
    <row r="66" spans="1:13">
      <c r="A66" s="635">
        <f t="shared" si="0"/>
        <v>41</v>
      </c>
      <c r="B66" s="246"/>
      <c r="C66" s="246"/>
      <c r="D66" s="91">
        <v>360</v>
      </c>
      <c r="E66" s="91">
        <v>361</v>
      </c>
      <c r="F66" s="91">
        <v>362</v>
      </c>
      <c r="G66" s="246"/>
      <c r="H66" s="53" t="s">
        <v>198</v>
      </c>
      <c r="I66" s="3"/>
      <c r="J66" s="246"/>
      <c r="K66" s="246"/>
      <c r="L66" s="246"/>
      <c r="M66" s="246"/>
    </row>
    <row r="67" spans="1:13">
      <c r="A67" s="635">
        <f t="shared" si="0"/>
        <v>42</v>
      </c>
      <c r="B67" s="515" t="s">
        <v>1100</v>
      </c>
      <c r="C67" s="246"/>
      <c r="D67" s="250">
        <f>'6-PlantInService'!C34</f>
        <v>0</v>
      </c>
      <c r="E67" s="250">
        <f>'6-PlantInService'!D34</f>
        <v>0</v>
      </c>
      <c r="F67" s="250">
        <f>'6-PlantInService'!E34</f>
        <v>0</v>
      </c>
      <c r="G67" s="256"/>
      <c r="H67" s="517" t="s">
        <v>2726</v>
      </c>
      <c r="I67" s="519"/>
      <c r="J67" s="246"/>
      <c r="K67" s="246"/>
      <c r="L67" s="246"/>
      <c r="M67" s="246"/>
    </row>
    <row r="68" spans="1:13">
      <c r="A68" s="635">
        <f t="shared" si="0"/>
        <v>43</v>
      </c>
      <c r="B68" s="515" t="s">
        <v>1101</v>
      </c>
      <c r="C68" s="246"/>
      <c r="D68" s="490">
        <f>'6-PlantInService'!C35</f>
        <v>0</v>
      </c>
      <c r="E68" s="490">
        <f>'6-PlantInService'!D35</f>
        <v>0</v>
      </c>
      <c r="F68" s="490">
        <f>'6-PlantInService'!E35</f>
        <v>0</v>
      </c>
      <c r="G68" s="256"/>
      <c r="H68" s="517" t="s">
        <v>2727</v>
      </c>
      <c r="I68" s="246"/>
      <c r="J68" s="246"/>
      <c r="K68" s="246"/>
      <c r="M68" s="246"/>
    </row>
    <row r="69" spans="1:13">
      <c r="A69" s="635">
        <f t="shared" si="0"/>
        <v>44</v>
      </c>
      <c r="B69" s="515" t="s">
        <v>1102</v>
      </c>
      <c r="C69" s="246"/>
      <c r="D69" s="250">
        <f>AVERAGE(D67:D68)</f>
        <v>0</v>
      </c>
      <c r="E69" s="250">
        <f>AVERAGE(E67:E68)</f>
        <v>0</v>
      </c>
      <c r="F69" s="250">
        <f>AVERAGE(F67:F68)</f>
        <v>0</v>
      </c>
      <c r="G69" s="256"/>
      <c r="H69" s="1049"/>
      <c r="I69" s="519"/>
      <c r="J69" s="246"/>
      <c r="K69" s="246"/>
      <c r="M69" s="246"/>
    </row>
    <row r="70" spans="1:13">
      <c r="A70" s="635">
        <f t="shared" si="0"/>
        <v>45</v>
      </c>
      <c r="D70" s="14"/>
      <c r="E70" s="14"/>
      <c r="F70" s="14"/>
      <c r="G70" s="14"/>
      <c r="H70" s="14"/>
      <c r="J70" s="246"/>
      <c r="K70" s="246"/>
      <c r="M70" s="246"/>
    </row>
    <row r="71" spans="1:13">
      <c r="A71" s="635">
        <f t="shared" si="0"/>
        <v>46</v>
      </c>
      <c r="B71" s="702" t="s">
        <v>2038</v>
      </c>
      <c r="C71" s="246"/>
      <c r="D71" s="256"/>
      <c r="E71" s="256"/>
      <c r="F71" s="14"/>
      <c r="G71" s="14"/>
      <c r="H71" s="14"/>
      <c r="J71" s="256"/>
      <c r="K71" s="256"/>
      <c r="L71" s="250"/>
      <c r="M71" s="246"/>
    </row>
    <row r="72" spans="1:13">
      <c r="A72" s="635">
        <f t="shared" si="0"/>
        <v>47</v>
      </c>
      <c r="B72" s="246"/>
      <c r="D72" s="380">
        <v>360</v>
      </c>
      <c r="E72" s="380">
        <v>361</v>
      </c>
      <c r="F72" s="380">
        <v>362</v>
      </c>
      <c r="G72" s="14"/>
      <c r="H72" s="14"/>
      <c r="J72" s="256"/>
      <c r="K72" s="256"/>
      <c r="L72" s="250"/>
      <c r="M72" s="246"/>
    </row>
    <row r="73" spans="1:13">
      <c r="A73" s="635">
        <f t="shared" si="0"/>
        <v>48</v>
      </c>
      <c r="D73" s="257">
        <f>'18-DepRates'!$G20</f>
        <v>1.67E-2</v>
      </c>
      <c r="E73" s="257">
        <f>'18-DepRates'!$G21</f>
        <v>3.04E-2</v>
      </c>
      <c r="F73" s="257">
        <f>'18-DepRates'!$G22</f>
        <v>3.1300000000000001E-2</v>
      </c>
      <c r="G73" s="14"/>
      <c r="H73" s="14"/>
      <c r="J73" s="256"/>
      <c r="K73" s="256"/>
      <c r="L73" s="250"/>
      <c r="M73" s="246"/>
    </row>
    <row r="74" spans="1:13">
      <c r="A74" s="635">
        <f t="shared" si="0"/>
        <v>49</v>
      </c>
      <c r="D74" s="14"/>
      <c r="E74" s="14"/>
      <c r="F74" s="14"/>
      <c r="G74" s="14"/>
      <c r="H74" s="14"/>
      <c r="J74" s="256"/>
      <c r="K74" s="256"/>
      <c r="L74" s="121"/>
      <c r="M74" s="246"/>
    </row>
    <row r="75" spans="1:13">
      <c r="A75" s="635">
        <f t="shared" si="0"/>
        <v>50</v>
      </c>
      <c r="B75" t="s">
        <v>394</v>
      </c>
      <c r="D75" s="14"/>
      <c r="E75" s="14"/>
      <c r="F75" s="517" t="s">
        <v>1923</v>
      </c>
      <c r="G75" s="14"/>
      <c r="H75" s="14"/>
      <c r="J75" s="256"/>
      <c r="K75" s="256"/>
      <c r="L75" s="257"/>
      <c r="M75" s="246"/>
    </row>
    <row r="76" spans="1:13">
      <c r="A76" s="635">
        <f t="shared" si="0"/>
        <v>51</v>
      </c>
      <c r="J76" s="256"/>
      <c r="K76" s="256"/>
      <c r="L76" s="257"/>
      <c r="M76" s="246"/>
    </row>
    <row r="77" spans="1:13">
      <c r="A77" s="635">
        <f t="shared" si="0"/>
        <v>52</v>
      </c>
      <c r="D77" s="91">
        <v>360</v>
      </c>
      <c r="E77" s="91">
        <v>361</v>
      </c>
      <c r="F77" s="91">
        <v>362</v>
      </c>
      <c r="G77" s="390" t="s">
        <v>215</v>
      </c>
      <c r="J77" s="256"/>
      <c r="K77" s="256"/>
      <c r="L77" s="257"/>
      <c r="M77" s="246"/>
    </row>
    <row r="78" spans="1:13">
      <c r="A78" s="635">
        <f t="shared" ref="A78:A91" si="13">A77+1</f>
        <v>53</v>
      </c>
      <c r="D78" s="7">
        <f xml:space="preserve"> D69*D73</f>
        <v>0</v>
      </c>
      <c r="E78" s="7">
        <f xml:space="preserve"> E69*E73</f>
        <v>0</v>
      </c>
      <c r="F78" s="7">
        <f xml:space="preserve"> F69*F73</f>
        <v>0</v>
      </c>
      <c r="G78" s="7">
        <f>SUM(D78:F78)</f>
        <v>0</v>
      </c>
      <c r="H78" s="16" t="s">
        <v>1103</v>
      </c>
      <c r="J78" s="256"/>
      <c r="K78" s="256"/>
      <c r="L78" s="250"/>
      <c r="M78" s="246"/>
    </row>
    <row r="79" spans="1:13">
      <c r="A79" s="635">
        <f t="shared" si="13"/>
        <v>54</v>
      </c>
      <c r="H79" s="16" t="s">
        <v>1104</v>
      </c>
      <c r="J79" s="256"/>
      <c r="K79" s="256"/>
      <c r="L79" s="256"/>
      <c r="M79" s="246"/>
    </row>
    <row r="80" spans="1:13">
      <c r="A80" s="635">
        <f t="shared" si="13"/>
        <v>55</v>
      </c>
      <c r="J80" s="256"/>
      <c r="K80" s="256"/>
      <c r="L80" s="256"/>
      <c r="M80" s="246"/>
    </row>
    <row r="81" spans="1:13">
      <c r="A81" s="635">
        <f t="shared" si="13"/>
        <v>56</v>
      </c>
      <c r="B81" s="1" t="s">
        <v>1105</v>
      </c>
      <c r="J81" s="256"/>
      <c r="K81" s="256"/>
      <c r="L81" s="256"/>
      <c r="M81" s="246"/>
    </row>
    <row r="82" spans="1:13">
      <c r="A82" s="635">
        <f t="shared" si="13"/>
        <v>57</v>
      </c>
      <c r="B82" s="246"/>
      <c r="C82" s="246"/>
      <c r="D82" s="246"/>
      <c r="E82" s="246"/>
      <c r="F82" s="246"/>
      <c r="G82" s="246"/>
      <c r="H82" s="246"/>
      <c r="I82" s="246"/>
      <c r="J82" s="246"/>
      <c r="K82" s="246"/>
      <c r="L82" s="246"/>
      <c r="M82" s="246"/>
    </row>
    <row r="83" spans="1:13">
      <c r="A83" s="635">
        <f t="shared" si="13"/>
        <v>58</v>
      </c>
      <c r="B83" s="602" t="s">
        <v>1064</v>
      </c>
      <c r="C83" s="246"/>
      <c r="D83" s="246"/>
      <c r="E83" s="246"/>
      <c r="F83" s="246"/>
      <c r="G83" s="246"/>
      <c r="H83" s="391">
        <v>236723303</v>
      </c>
      <c r="I83" s="519" t="s">
        <v>1066</v>
      </c>
      <c r="J83" s="246"/>
      <c r="K83" s="246"/>
      <c r="L83" s="246"/>
      <c r="M83" s="246"/>
    </row>
    <row r="84" spans="1:13">
      <c r="A84" s="635">
        <f t="shared" si="13"/>
        <v>59</v>
      </c>
      <c r="B84" s="515" t="s">
        <v>1065</v>
      </c>
      <c r="C84" s="246"/>
      <c r="D84" s="246"/>
      <c r="E84" s="246"/>
      <c r="F84" s="246"/>
      <c r="G84" s="246"/>
      <c r="H84" s="109">
        <v>238988799</v>
      </c>
      <c r="I84" s="519" t="s">
        <v>1067</v>
      </c>
      <c r="J84" s="246"/>
      <c r="K84" s="246"/>
      <c r="L84" s="246"/>
      <c r="M84" s="246"/>
    </row>
    <row r="85" spans="1:13">
      <c r="A85" s="635">
        <f t="shared" si="13"/>
        <v>60</v>
      </c>
      <c r="B85" s="602" t="s">
        <v>1068</v>
      </c>
      <c r="C85" s="246"/>
      <c r="D85" s="246"/>
      <c r="E85" s="246"/>
      <c r="F85" s="246"/>
      <c r="G85" s="246"/>
      <c r="H85" s="248">
        <f>SUM(H83:H84)</f>
        <v>475712102</v>
      </c>
      <c r="I85" s="519" t="str">
        <f>"Line "&amp;A83&amp;" + Line "&amp;A84&amp;""</f>
        <v>Line 58 + Line 59</v>
      </c>
      <c r="J85" s="246"/>
      <c r="K85" s="246"/>
      <c r="L85" s="246"/>
      <c r="M85" s="246"/>
    </row>
    <row r="86" spans="1:13">
      <c r="A86" s="635">
        <f t="shared" si="13"/>
        <v>61</v>
      </c>
      <c r="B86" s="602" t="s">
        <v>104</v>
      </c>
      <c r="C86" s="246"/>
      <c r="D86" s="246"/>
      <c r="E86" s="246"/>
      <c r="F86" s="246"/>
      <c r="G86" s="246"/>
      <c r="H86" s="266">
        <f>'27-Allocators'!G15</f>
        <v>5.6231891976617258E-2</v>
      </c>
      <c r="I86" s="123" t="str">
        <f>"27-Allocators, Line "&amp;'27-Allocators'!A15&amp;""</f>
        <v>27-Allocators, Line 9</v>
      </c>
      <c r="J86" s="246"/>
      <c r="K86" s="246"/>
      <c r="L86" s="246"/>
      <c r="M86" s="246"/>
    </row>
    <row r="87" spans="1:13">
      <c r="A87" s="635">
        <f t="shared" si="13"/>
        <v>62</v>
      </c>
      <c r="B87" s="602" t="s">
        <v>1069</v>
      </c>
      <c r="C87" s="246"/>
      <c r="D87" s="246"/>
      <c r="E87" s="246"/>
      <c r="F87" s="246"/>
      <c r="G87" s="246"/>
      <c r="H87" s="248">
        <f>H85*H86</f>
        <v>26750191.53163353</v>
      </c>
      <c r="I87" s="519" t="str">
        <f>"Line "&amp;A85&amp;" * Line "&amp;A86&amp;""</f>
        <v>Line 60 * Line 61</v>
      </c>
      <c r="J87" s="246"/>
      <c r="K87" s="246"/>
      <c r="L87" s="246"/>
      <c r="M87" s="246"/>
    </row>
    <row r="88" spans="1:13">
      <c r="A88" s="635">
        <f t="shared" si="13"/>
        <v>63</v>
      </c>
      <c r="B88" s="602"/>
      <c r="C88" s="515"/>
      <c r="D88" s="246"/>
      <c r="E88" s="246"/>
      <c r="F88" s="246"/>
      <c r="G88" s="246"/>
      <c r="H88" s="246"/>
      <c r="I88" s="246"/>
      <c r="J88" s="246"/>
      <c r="K88" s="246"/>
      <c r="L88" s="246"/>
      <c r="M88" s="246"/>
    </row>
    <row r="89" spans="1:13">
      <c r="A89" s="635">
        <f t="shared" si="13"/>
        <v>64</v>
      </c>
      <c r="B89" s="90" t="s">
        <v>1879</v>
      </c>
      <c r="C89" s="246"/>
      <c r="D89" s="246"/>
      <c r="E89" s="246"/>
      <c r="F89" s="246"/>
      <c r="G89" s="246"/>
      <c r="H89" s="246"/>
      <c r="I89" s="246"/>
      <c r="J89" s="246"/>
      <c r="K89" s="246"/>
      <c r="L89" s="246"/>
      <c r="M89" s="246"/>
    </row>
    <row r="90" spans="1:13">
      <c r="A90" s="635">
        <f t="shared" si="13"/>
        <v>65</v>
      </c>
      <c r="B90" s="602"/>
      <c r="C90" s="515"/>
      <c r="D90" s="246"/>
      <c r="E90" s="246"/>
      <c r="F90" s="246"/>
      <c r="G90" s="246"/>
      <c r="H90" s="246"/>
      <c r="I90" s="246"/>
      <c r="J90" s="246"/>
      <c r="K90" s="246"/>
      <c r="L90" s="246"/>
      <c r="M90" s="246"/>
    </row>
    <row r="91" spans="1:13">
      <c r="A91" s="635">
        <f t="shared" si="13"/>
        <v>66</v>
      </c>
      <c r="B91" s="602" t="s">
        <v>1878</v>
      </c>
      <c r="C91" s="246"/>
      <c r="D91" s="246"/>
      <c r="E91" s="246"/>
      <c r="F91" s="3" t="s">
        <v>194</v>
      </c>
      <c r="G91" s="3" t="s">
        <v>198</v>
      </c>
      <c r="H91" s="246"/>
      <c r="I91" s="246"/>
    </row>
    <row r="92" spans="1:13">
      <c r="A92" s="635">
        <f>A91+1</f>
        <v>67</v>
      </c>
      <c r="B92" s="519" t="s">
        <v>1055</v>
      </c>
      <c r="C92" s="246"/>
      <c r="D92" s="246"/>
      <c r="E92" s="246"/>
      <c r="F92" s="263">
        <f>M62</f>
        <v>212804795.13891977</v>
      </c>
      <c r="G92" s="519" t="str">
        <f>"Line "&amp;A62&amp;", Col 12"</f>
        <v>Line 37, Col 12</v>
      </c>
      <c r="H92" s="246"/>
      <c r="I92" s="246"/>
    </row>
    <row r="93" spans="1:13">
      <c r="A93" s="635">
        <f>A92+1</f>
        <v>68</v>
      </c>
      <c r="B93" s="519" t="s">
        <v>1071</v>
      </c>
      <c r="C93" s="246"/>
      <c r="D93" s="246"/>
      <c r="E93" s="246"/>
      <c r="F93" s="248">
        <f>G78</f>
        <v>0</v>
      </c>
      <c r="G93" s="519" t="str">
        <f>"Line "&amp;A78&amp;""</f>
        <v>Line 53</v>
      </c>
      <c r="H93" s="246"/>
      <c r="I93" s="246"/>
    </row>
    <row r="94" spans="1:13">
      <c r="A94" s="635">
        <f>A93+1</f>
        <v>69</v>
      </c>
      <c r="B94" s="519" t="s">
        <v>1070</v>
      </c>
      <c r="C94" s="246"/>
      <c r="D94" s="246"/>
      <c r="E94" s="246"/>
      <c r="F94" s="98">
        <f>H87</f>
        <v>26750191.53163353</v>
      </c>
      <c r="G94" s="519" t="str">
        <f>"Line "&amp;A87&amp;""</f>
        <v>Line 62</v>
      </c>
      <c r="H94" s="246"/>
      <c r="I94" s="246"/>
    </row>
    <row r="95" spans="1:13">
      <c r="A95" s="635">
        <f>A94+1</f>
        <v>70</v>
      </c>
      <c r="B95" s="246"/>
      <c r="C95" s="246"/>
      <c r="D95" s="246"/>
      <c r="E95" s="247" t="s">
        <v>1106</v>
      </c>
      <c r="F95" s="263">
        <f>SUM(F92:F94)</f>
        <v>239554986.6705533</v>
      </c>
      <c r="G95" s="519" t="str">
        <f>"Line "&amp;A92&amp;" + Line "&amp;A93&amp;" + Line "&amp;A94&amp;""</f>
        <v>Line 67 + Line 68 + Line 69</v>
      </c>
      <c r="H95" s="246"/>
      <c r="I95" s="246"/>
    </row>
    <row r="96" spans="1:13">
      <c r="A96" s="246"/>
      <c r="B96" s="1" t="s">
        <v>256</v>
      </c>
      <c r="C96" s="246"/>
      <c r="D96" s="246"/>
      <c r="E96" s="246"/>
      <c r="F96" s="246"/>
      <c r="G96" s="246"/>
      <c r="H96" s="246"/>
      <c r="I96" s="246"/>
    </row>
    <row r="97" spans="1:10">
      <c r="A97" s="246"/>
      <c r="B97" s="515" t="s">
        <v>1601</v>
      </c>
      <c r="C97" s="246"/>
      <c r="D97" s="246"/>
      <c r="E97" s="246"/>
      <c r="F97" s="246"/>
      <c r="G97" s="246"/>
      <c r="H97" s="246"/>
      <c r="I97" s="246"/>
    </row>
    <row r="98" spans="1:10">
      <c r="A98" s="246"/>
      <c r="B98" s="517" t="str">
        <f>"same account, times the Monthly Depreciation Rate for that account.  Monthly rate = annual rates on Line "&amp;A30&amp;" etc. divided by 12."</f>
        <v>same account, times the Monthly Depreciation Rate for that account.  Monthly rate = annual rates on Line 17a etc. divided by 12.</v>
      </c>
      <c r="C98" s="256"/>
      <c r="D98" s="256"/>
      <c r="E98" s="256"/>
      <c r="F98" s="256"/>
      <c r="G98" s="256"/>
      <c r="H98" s="256"/>
      <c r="I98" s="256"/>
      <c r="J98" s="14"/>
    </row>
    <row r="99" spans="1:10">
      <c r="A99" s="246"/>
      <c r="B99" s="517" t="str">
        <f>"2) Depreciation Expense for each account is equal to the Average BOY/EOY value on Line "&amp;A69&amp;" times the"</f>
        <v>2) Depreciation Expense for each account is equal to the Average BOY/EOY value on Line 44 times the</v>
      </c>
      <c r="C99" s="256"/>
      <c r="D99" s="256"/>
      <c r="E99" s="256"/>
      <c r="F99" s="256"/>
      <c r="G99" s="256"/>
      <c r="H99" s="256"/>
      <c r="I99" s="256"/>
      <c r="J99" s="14"/>
    </row>
    <row r="100" spans="1:10">
      <c r="B100" s="517" t="str">
        <f>"Depreciation Rate on Line "&amp;A73&amp;"."</f>
        <v>Depreciation Rate on Line 48.</v>
      </c>
      <c r="C100" s="14"/>
      <c r="D100" s="14"/>
      <c r="E100" s="14"/>
      <c r="F100" s="14"/>
      <c r="G100" s="14"/>
      <c r="H100" s="14"/>
      <c r="I100" s="14"/>
      <c r="J100" s="14"/>
    </row>
    <row r="101" spans="1:10">
      <c r="B101" s="45" t="s">
        <v>417</v>
      </c>
      <c r="C101" s="14"/>
      <c r="D101" s="14"/>
      <c r="E101" s="14"/>
      <c r="F101" s="14"/>
      <c r="G101" s="14"/>
      <c r="H101" s="14"/>
      <c r="I101" s="14"/>
      <c r="J101" s="14"/>
    </row>
    <row r="102" spans="1:10">
      <c r="B102" s="517" t="s">
        <v>2490</v>
      </c>
      <c r="C102" s="14"/>
      <c r="D102" s="14"/>
      <c r="E102" s="14"/>
      <c r="F102" s="14"/>
      <c r="G102" s="14"/>
      <c r="H102" s="14"/>
      <c r="I102" s="14"/>
      <c r="J102" s="14"/>
    </row>
    <row r="103" spans="1:10">
      <c r="B103" s="517" t="s">
        <v>2491</v>
      </c>
      <c r="C103" s="14"/>
      <c r="D103" s="14"/>
      <c r="E103" s="14"/>
      <c r="F103" s="14"/>
      <c r="G103" s="14"/>
      <c r="H103" s="14"/>
      <c r="I103" s="14"/>
      <c r="J103" s="14"/>
    </row>
    <row r="104" spans="1:10">
      <c r="B104" s="14" t="s">
        <v>2492</v>
      </c>
      <c r="C104" s="14"/>
      <c r="D104" s="14"/>
      <c r="E104" s="14"/>
      <c r="F104" s="14"/>
      <c r="G104" s="14"/>
      <c r="H104" s="14"/>
      <c r="I104" s="14"/>
      <c r="J104" s="14"/>
    </row>
    <row r="105" spans="1:10">
      <c r="B105" s="14" t="s">
        <v>2493</v>
      </c>
      <c r="C105" s="14"/>
      <c r="D105" s="14"/>
      <c r="E105" s="14"/>
      <c r="F105" s="14"/>
      <c r="G105" s="14"/>
      <c r="H105" s="14"/>
      <c r="I105" s="14"/>
      <c r="J105" s="14"/>
    </row>
    <row r="106" spans="1:10">
      <c r="B106" s="517" t="s">
        <v>2013</v>
      </c>
      <c r="C106" s="14"/>
      <c r="D106" s="14"/>
      <c r="E106" s="14"/>
      <c r="F106" s="14"/>
      <c r="G106" s="14"/>
      <c r="H106" s="14"/>
      <c r="I106" s="14"/>
      <c r="J106" s="14"/>
    </row>
    <row r="107" spans="1:10">
      <c r="B107" s="517" t="str">
        <f>"for Distribution Plant - ISO on Line "&amp;A78&amp;" utilizing the weighted-average (by time) of the annual depreciation rates in effect in the Prior Year."</f>
        <v>for Distribution Plant - ISO on Line 53 utilizing the weighted-average (by time) of the annual depreciation rates in effect in the Prior Year.</v>
      </c>
      <c r="C107" s="14"/>
      <c r="D107" s="14"/>
      <c r="E107" s="14"/>
      <c r="F107" s="14"/>
      <c r="G107" s="14"/>
      <c r="H107" s="14"/>
      <c r="I107" s="14"/>
      <c r="J107" s="14"/>
    </row>
  </sheetData>
  <pageMargins left="0.7" right="0.7" top="0.75" bottom="0.75" header="0.3" footer="0.3"/>
  <pageSetup scale="63" orientation="landscape" cellComments="asDisplayed" r:id="rId1"/>
  <headerFooter>
    <oddHeader>&amp;CSchedule 17
Depreciation Expense
&amp;RTO2019 Draft Annual Update
Attachment 5
TO13 True Up TRR</oddHeader>
    <oddFooter>&amp;R17-Depreciation</oddFooter>
  </headerFooter>
  <rowBreaks count="1" manualBreakCount="1">
    <brk id="63"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ColWidth="8.85546875" defaultRowHeight="12.75"/>
  <cols>
    <col min="1" max="1" width="4.7109375" style="1158" customWidth="1"/>
    <col min="2" max="3" width="8.85546875" style="1158"/>
    <col min="4" max="4" width="38.7109375" style="1158" customWidth="1"/>
    <col min="5" max="7" width="8.85546875" style="515"/>
    <col min="8" max="16384" width="8.85546875" style="1158"/>
  </cols>
  <sheetData>
    <row r="1" spans="1:7">
      <c r="A1" s="418" t="s">
        <v>1107</v>
      </c>
      <c r="B1" s="515"/>
      <c r="C1" s="515"/>
      <c r="D1" s="515"/>
    </row>
    <row r="2" spans="1:7">
      <c r="A2" s="515"/>
      <c r="B2" s="515"/>
      <c r="C2" s="515"/>
      <c r="D2" s="515"/>
    </row>
    <row r="3" spans="1:7">
      <c r="A3" s="515"/>
      <c r="B3" s="418" t="s">
        <v>351</v>
      </c>
      <c r="C3" s="515"/>
      <c r="D3" s="515"/>
      <c r="E3" s="635" t="s">
        <v>411</v>
      </c>
      <c r="F3" s="635"/>
      <c r="G3" s="635"/>
    </row>
    <row r="4" spans="1:7">
      <c r="A4" s="515"/>
      <c r="B4" s="515"/>
      <c r="C4" s="249" t="s">
        <v>12</v>
      </c>
      <c r="D4" s="515"/>
      <c r="E4" s="635" t="s">
        <v>1108</v>
      </c>
      <c r="F4" s="4" t="s">
        <v>1109</v>
      </c>
      <c r="G4" s="4"/>
    </row>
    <row r="5" spans="1:7">
      <c r="A5" s="53" t="s">
        <v>360</v>
      </c>
      <c r="B5" s="515"/>
      <c r="C5" s="390" t="s">
        <v>110</v>
      </c>
      <c r="D5" s="390" t="s">
        <v>111</v>
      </c>
      <c r="E5" s="3" t="s">
        <v>1110</v>
      </c>
      <c r="F5" s="3" t="s">
        <v>1111</v>
      </c>
      <c r="G5" s="3" t="s">
        <v>215</v>
      </c>
    </row>
    <row r="6" spans="1:7" ht="15" customHeight="1">
      <c r="A6" s="635">
        <v>1</v>
      </c>
      <c r="B6" s="515"/>
      <c r="C6" s="809">
        <v>350.1</v>
      </c>
      <c r="D6" s="519" t="s">
        <v>1112</v>
      </c>
      <c r="E6" s="569">
        <v>0</v>
      </c>
      <c r="F6" s="569">
        <v>0</v>
      </c>
      <c r="G6" s="569">
        <v>0</v>
      </c>
    </row>
    <row r="7" spans="1:7" ht="15" customHeight="1">
      <c r="A7" s="635">
        <f>A6+1</f>
        <v>2</v>
      </c>
      <c r="B7" s="515"/>
      <c r="C7" s="809">
        <v>350.2</v>
      </c>
      <c r="D7" s="519" t="s">
        <v>1113</v>
      </c>
      <c r="E7" s="569">
        <v>1.66E-2</v>
      </c>
      <c r="F7" s="569">
        <v>0</v>
      </c>
      <c r="G7" s="569">
        <v>1.66E-2</v>
      </c>
    </row>
    <row r="8" spans="1:7">
      <c r="A8" s="635">
        <f t="shared" ref="A8:A16" si="0">A7+1</f>
        <v>3</v>
      </c>
      <c r="B8" s="515"/>
      <c r="C8" s="809">
        <v>352</v>
      </c>
      <c r="D8" s="519" t="s">
        <v>1114</v>
      </c>
      <c r="E8" s="569">
        <v>1.7999999999999999E-2</v>
      </c>
      <c r="F8" s="569">
        <v>7.7000000000000002E-3</v>
      </c>
      <c r="G8" s="569">
        <v>2.5700000000000001E-2</v>
      </c>
    </row>
    <row r="9" spans="1:7">
      <c r="A9" s="635">
        <f t="shared" si="0"/>
        <v>4</v>
      </c>
      <c r="B9" s="515"/>
      <c r="C9" s="809">
        <v>353</v>
      </c>
      <c r="D9" s="519" t="s">
        <v>1115</v>
      </c>
      <c r="E9" s="569">
        <v>2.1999999999999999E-2</v>
      </c>
      <c r="F9" s="569">
        <v>2.7000000000000001E-3</v>
      </c>
      <c r="G9" s="569">
        <v>2.47E-2</v>
      </c>
    </row>
    <row r="10" spans="1:7">
      <c r="A10" s="635">
        <f t="shared" si="0"/>
        <v>5</v>
      </c>
      <c r="B10" s="515"/>
      <c r="C10" s="809">
        <v>354</v>
      </c>
      <c r="D10" s="519" t="s">
        <v>1319</v>
      </c>
      <c r="E10" s="569">
        <v>1.35E-2</v>
      </c>
      <c r="F10" s="569">
        <v>1.09E-2</v>
      </c>
      <c r="G10" s="569">
        <v>2.4400000000000002E-2</v>
      </c>
    </row>
    <row r="11" spans="1:7">
      <c r="A11" s="635">
        <f t="shared" si="0"/>
        <v>6</v>
      </c>
      <c r="B11" s="515"/>
      <c r="C11" s="809">
        <v>355</v>
      </c>
      <c r="D11" s="519" t="s">
        <v>1116</v>
      </c>
      <c r="E11" s="569">
        <v>0.02</v>
      </c>
      <c r="F11" s="569">
        <v>1.67E-2</v>
      </c>
      <c r="G11" s="569">
        <v>3.6700000000000003E-2</v>
      </c>
    </row>
    <row r="12" spans="1:7">
      <c r="A12" s="635">
        <f t="shared" si="0"/>
        <v>7</v>
      </c>
      <c r="B12" s="515"/>
      <c r="C12" s="809">
        <v>356</v>
      </c>
      <c r="D12" s="519" t="s">
        <v>1117</v>
      </c>
      <c r="E12" s="569">
        <v>0.02</v>
      </c>
      <c r="F12" s="569">
        <v>1.0500000000000001E-2</v>
      </c>
      <c r="G12" s="569">
        <v>3.0499999999999999E-2</v>
      </c>
    </row>
    <row r="13" spans="1:7">
      <c r="A13" s="635">
        <f t="shared" si="0"/>
        <v>8</v>
      </c>
      <c r="B13" s="515"/>
      <c r="C13" s="809">
        <v>357</v>
      </c>
      <c r="D13" s="519" t="s">
        <v>1118</v>
      </c>
      <c r="E13" s="569">
        <v>1.6500000000000001E-2</v>
      </c>
      <c r="F13" s="569">
        <v>0</v>
      </c>
      <c r="G13" s="569">
        <v>1.6500000000000001E-2</v>
      </c>
    </row>
    <row r="14" spans="1:7">
      <c r="A14" s="635">
        <f t="shared" si="0"/>
        <v>9</v>
      </c>
      <c r="B14" s="515"/>
      <c r="C14" s="809">
        <v>358</v>
      </c>
      <c r="D14" s="519" t="s">
        <v>1119</v>
      </c>
      <c r="E14" s="569">
        <v>3.2599999999999997E-2</v>
      </c>
      <c r="F14" s="569">
        <v>6.1000000000000004E-3</v>
      </c>
      <c r="G14" s="569">
        <v>3.8699999999999998E-2</v>
      </c>
    </row>
    <row r="15" spans="1:7">
      <c r="A15" s="635">
        <f t="shared" si="0"/>
        <v>10</v>
      </c>
      <c r="B15" s="515"/>
      <c r="C15" s="809">
        <v>359</v>
      </c>
      <c r="D15" s="519" t="s">
        <v>1120</v>
      </c>
      <c r="E15" s="569">
        <v>1.5599999999999999E-2</v>
      </c>
      <c r="F15" s="569">
        <v>0</v>
      </c>
      <c r="G15" s="569">
        <v>1.5599999999999999E-2</v>
      </c>
    </row>
    <row r="16" spans="1:7">
      <c r="A16" s="635">
        <f t="shared" si="0"/>
        <v>11</v>
      </c>
      <c r="B16" s="515"/>
      <c r="C16" s="515"/>
      <c r="D16" s="515"/>
    </row>
    <row r="17" spans="1:7">
      <c r="A17" s="515"/>
      <c r="B17" s="418" t="s">
        <v>352</v>
      </c>
      <c r="C17" s="515"/>
      <c r="D17" s="515"/>
      <c r="E17" s="635" t="s">
        <v>411</v>
      </c>
      <c r="F17" s="635"/>
      <c r="G17" s="635"/>
    </row>
    <row r="18" spans="1:7">
      <c r="A18" s="515"/>
      <c r="B18" s="515"/>
      <c r="C18" s="249" t="s">
        <v>12</v>
      </c>
      <c r="D18" s="515"/>
      <c r="E18" s="635" t="s">
        <v>1108</v>
      </c>
      <c r="F18" s="4" t="s">
        <v>1109</v>
      </c>
      <c r="G18" s="4"/>
    </row>
    <row r="19" spans="1:7">
      <c r="A19" s="515"/>
      <c r="B19" s="515"/>
      <c r="C19" s="390" t="s">
        <v>110</v>
      </c>
      <c r="D19" s="390" t="s">
        <v>111</v>
      </c>
      <c r="E19" s="3" t="s">
        <v>1110</v>
      </c>
      <c r="F19" s="3" t="s">
        <v>1111</v>
      </c>
      <c r="G19" s="3" t="s">
        <v>215</v>
      </c>
    </row>
    <row r="20" spans="1:7">
      <c r="A20" s="635">
        <f>A16+1</f>
        <v>12</v>
      </c>
      <c r="B20" s="515"/>
      <c r="C20" s="515">
        <v>360</v>
      </c>
      <c r="D20" s="519" t="s">
        <v>1121</v>
      </c>
      <c r="E20" s="999">
        <v>1.67E-2</v>
      </c>
      <c r="F20" s="999">
        <v>0</v>
      </c>
      <c r="G20" s="999">
        <v>1.67E-2</v>
      </c>
    </row>
    <row r="21" spans="1:7">
      <c r="A21" s="635">
        <f>A20+1</f>
        <v>13</v>
      </c>
      <c r="B21" s="515"/>
      <c r="C21" s="515">
        <v>361</v>
      </c>
      <c r="D21" s="519" t="s">
        <v>1114</v>
      </c>
      <c r="E21" s="999">
        <v>2.3300000000000001E-2</v>
      </c>
      <c r="F21" s="999">
        <v>7.1000000000000004E-3</v>
      </c>
      <c r="G21" s="999">
        <v>3.04E-2</v>
      </c>
    </row>
    <row r="22" spans="1:7">
      <c r="A22" s="635">
        <f>A21+1</f>
        <v>14</v>
      </c>
      <c r="B22" s="515"/>
      <c r="C22" s="515">
        <v>362</v>
      </c>
      <c r="D22" s="519" t="s">
        <v>1115</v>
      </c>
      <c r="E22" s="999">
        <v>2.1700000000000001E-2</v>
      </c>
      <c r="F22" s="999">
        <v>9.5999999999999992E-3</v>
      </c>
      <c r="G22" s="999">
        <v>3.1300000000000001E-2</v>
      </c>
    </row>
    <row r="23" spans="1:7">
      <c r="A23" s="515"/>
      <c r="B23" s="515"/>
      <c r="C23" s="515"/>
      <c r="D23" s="515"/>
    </row>
    <row r="24" spans="1:7">
      <c r="A24" s="515"/>
      <c r="B24" s="418" t="s">
        <v>1122</v>
      </c>
      <c r="C24" s="515"/>
      <c r="D24" s="515"/>
      <c r="E24" s="635" t="s">
        <v>411</v>
      </c>
    </row>
    <row r="25" spans="1:7">
      <c r="A25" s="515"/>
      <c r="B25" s="515"/>
      <c r="C25" s="249" t="s">
        <v>12</v>
      </c>
      <c r="D25" s="515"/>
      <c r="E25" s="635" t="s">
        <v>1108</v>
      </c>
      <c r="F25" s="4" t="s">
        <v>1109</v>
      </c>
      <c r="G25" s="4"/>
    </row>
    <row r="26" spans="1:7">
      <c r="A26" s="515"/>
      <c r="B26" s="515"/>
      <c r="C26" s="390" t="s">
        <v>110</v>
      </c>
      <c r="D26" s="390" t="s">
        <v>111</v>
      </c>
      <c r="E26" s="3" t="s">
        <v>1110</v>
      </c>
      <c r="F26" s="3" t="s">
        <v>1111</v>
      </c>
      <c r="G26" s="3" t="s">
        <v>215</v>
      </c>
    </row>
    <row r="27" spans="1:7">
      <c r="A27" s="635">
        <f>A22+1</f>
        <v>15</v>
      </c>
      <c r="B27" s="515"/>
      <c r="C27" s="515">
        <v>389</v>
      </c>
      <c r="D27" s="519" t="s">
        <v>1121</v>
      </c>
      <c r="E27" s="999">
        <v>1.67E-2</v>
      </c>
      <c r="F27" s="999">
        <v>0</v>
      </c>
      <c r="G27" s="999">
        <v>1.67E-2</v>
      </c>
    </row>
    <row r="28" spans="1:7">
      <c r="A28" s="635">
        <f t="shared" ref="A28:A42" si="1">A27+1</f>
        <v>16</v>
      </c>
      <c r="B28" s="515"/>
      <c r="C28" s="515">
        <v>390</v>
      </c>
      <c r="D28" s="519" t="s">
        <v>1114</v>
      </c>
      <c r="E28" s="999">
        <v>2.41E-2</v>
      </c>
      <c r="F28" s="999">
        <v>3.3E-3</v>
      </c>
      <c r="G28" s="999">
        <v>2.7400000000000001E-2</v>
      </c>
    </row>
    <row r="29" spans="1:7">
      <c r="A29" s="635">
        <f t="shared" si="1"/>
        <v>17</v>
      </c>
      <c r="B29" s="515"/>
      <c r="C29" s="515">
        <v>391.1</v>
      </c>
      <c r="D29" s="999" t="s">
        <v>1123</v>
      </c>
      <c r="E29" s="999">
        <f>G29-F29</f>
        <v>0.05</v>
      </c>
      <c r="F29" s="999">
        <v>0</v>
      </c>
      <c r="G29" s="999">
        <v>0.05</v>
      </c>
    </row>
    <row r="30" spans="1:7">
      <c r="A30" s="635">
        <f t="shared" si="1"/>
        <v>18</v>
      </c>
      <c r="B30" s="515"/>
      <c r="C30" s="515">
        <v>391.5</v>
      </c>
      <c r="D30" s="999" t="s">
        <v>1794</v>
      </c>
      <c r="E30" s="999">
        <f t="shared" ref="E30:E53" si="2">G30-F30</f>
        <v>0.2</v>
      </c>
      <c r="F30" s="999">
        <v>0</v>
      </c>
      <c r="G30" s="999">
        <v>0.2</v>
      </c>
    </row>
    <row r="31" spans="1:7">
      <c r="A31" s="635">
        <f t="shared" si="1"/>
        <v>19</v>
      </c>
      <c r="B31" s="515"/>
      <c r="C31" s="515">
        <v>391.6</v>
      </c>
      <c r="D31" s="999" t="s">
        <v>1795</v>
      </c>
      <c r="E31" s="999">
        <f t="shared" si="2"/>
        <v>0.2</v>
      </c>
      <c r="F31" s="999">
        <v>0</v>
      </c>
      <c r="G31" s="999">
        <v>0.2</v>
      </c>
    </row>
    <row r="32" spans="1:7">
      <c r="A32" s="635">
        <f t="shared" si="1"/>
        <v>20</v>
      </c>
      <c r="B32" s="515"/>
      <c r="C32" s="515">
        <v>391.2</v>
      </c>
      <c r="D32" s="999" t="s">
        <v>1796</v>
      </c>
      <c r="E32" s="999">
        <f t="shared" si="2"/>
        <v>0.2</v>
      </c>
      <c r="F32" s="999">
        <v>0</v>
      </c>
      <c r="G32" s="999">
        <v>0.2</v>
      </c>
    </row>
    <row r="33" spans="1:11">
      <c r="A33" s="635">
        <f t="shared" si="1"/>
        <v>21</v>
      </c>
      <c r="B33" s="515"/>
      <c r="C33" s="515">
        <v>391.3</v>
      </c>
      <c r="D33" s="999" t="s">
        <v>1797</v>
      </c>
      <c r="E33" s="999">
        <f t="shared" si="2"/>
        <v>0.2</v>
      </c>
      <c r="F33" s="999">
        <v>0</v>
      </c>
      <c r="G33" s="999">
        <v>0.2</v>
      </c>
    </row>
    <row r="34" spans="1:11">
      <c r="A34" s="635">
        <f t="shared" si="1"/>
        <v>22</v>
      </c>
      <c r="B34" s="515"/>
      <c r="C34" s="513">
        <v>391.7</v>
      </c>
      <c r="D34" s="999" t="s">
        <v>1798</v>
      </c>
      <c r="E34" s="999">
        <f t="shared" si="2"/>
        <v>0.2</v>
      </c>
      <c r="F34" s="999">
        <v>0</v>
      </c>
      <c r="G34" s="999">
        <v>0.2</v>
      </c>
    </row>
    <row r="35" spans="1:11">
      <c r="A35" s="635">
        <f t="shared" si="1"/>
        <v>23</v>
      </c>
      <c r="B35" s="515"/>
      <c r="C35" s="513">
        <v>391.4</v>
      </c>
      <c r="D35" s="999" t="s">
        <v>1799</v>
      </c>
      <c r="E35" s="999">
        <f t="shared" si="2"/>
        <v>0.1429</v>
      </c>
      <c r="F35" s="999">
        <v>0</v>
      </c>
      <c r="G35" s="999">
        <v>0.1429</v>
      </c>
    </row>
    <row r="36" spans="1:11">
      <c r="A36" s="635">
        <f t="shared" si="1"/>
        <v>24</v>
      </c>
      <c r="B36" s="515"/>
      <c r="C36" s="515">
        <v>391.4</v>
      </c>
      <c r="D36" s="999" t="s">
        <v>1800</v>
      </c>
      <c r="E36" s="999">
        <f t="shared" si="2"/>
        <v>0.1</v>
      </c>
      <c r="F36" s="999">
        <v>0</v>
      </c>
      <c r="G36" s="999">
        <v>0.1</v>
      </c>
    </row>
    <row r="37" spans="1:11">
      <c r="A37" s="635">
        <f t="shared" si="1"/>
        <v>25</v>
      </c>
      <c r="B37" s="515"/>
      <c r="C37" s="513">
        <v>391.4</v>
      </c>
      <c r="D37" s="999" t="s">
        <v>1801</v>
      </c>
      <c r="E37" s="999">
        <f t="shared" si="2"/>
        <v>6.6699999999999995E-2</v>
      </c>
      <c r="F37" s="999">
        <v>0</v>
      </c>
      <c r="G37" s="999">
        <v>6.6699999999999995E-2</v>
      </c>
    </row>
    <row r="38" spans="1:11">
      <c r="A38" s="635">
        <f t="shared" si="1"/>
        <v>26</v>
      </c>
      <c r="B38" s="515"/>
      <c r="C38" s="513">
        <v>391.4</v>
      </c>
      <c r="D38" s="999" t="s">
        <v>1802</v>
      </c>
      <c r="E38" s="999">
        <f t="shared" si="2"/>
        <v>0.05</v>
      </c>
      <c r="F38" s="999">
        <v>0</v>
      </c>
      <c r="G38" s="999">
        <v>0.05</v>
      </c>
    </row>
    <row r="39" spans="1:11" ht="15">
      <c r="A39" s="635">
        <f t="shared" si="1"/>
        <v>27</v>
      </c>
      <c r="B39" s="515"/>
      <c r="C39" s="513">
        <v>391.4</v>
      </c>
      <c r="D39" s="999" t="s">
        <v>1803</v>
      </c>
      <c r="E39" s="999">
        <f t="shared" si="2"/>
        <v>0.04</v>
      </c>
      <c r="F39" s="999">
        <v>0</v>
      </c>
      <c r="G39" s="999">
        <v>0.04</v>
      </c>
      <c r="I39" s="393"/>
      <c r="J39" s="393"/>
      <c r="K39" s="393"/>
    </row>
    <row r="40" spans="1:11" ht="15">
      <c r="A40" s="635">
        <f t="shared" si="1"/>
        <v>28</v>
      </c>
      <c r="B40" s="515"/>
      <c r="C40" s="513">
        <v>393</v>
      </c>
      <c r="D40" s="515" t="s">
        <v>1804</v>
      </c>
      <c r="E40" s="999">
        <f t="shared" si="2"/>
        <v>0.05</v>
      </c>
      <c r="F40" s="999">
        <v>0</v>
      </c>
      <c r="G40" s="999">
        <v>0.05</v>
      </c>
      <c r="I40" s="393"/>
      <c r="J40" s="393"/>
      <c r="K40" s="393"/>
    </row>
    <row r="41" spans="1:11" ht="15">
      <c r="A41" s="635">
        <f t="shared" si="1"/>
        <v>29</v>
      </c>
      <c r="B41" s="515"/>
      <c r="C41" s="513">
        <v>395</v>
      </c>
      <c r="D41" s="515" t="s">
        <v>1805</v>
      </c>
      <c r="E41" s="999">
        <f t="shared" si="2"/>
        <v>6.6699999999999995E-2</v>
      </c>
      <c r="F41" s="999">
        <v>0</v>
      </c>
      <c r="G41" s="999">
        <v>6.6699999999999995E-2</v>
      </c>
      <c r="I41" s="393"/>
      <c r="J41" s="393"/>
      <c r="K41" s="393"/>
    </row>
    <row r="42" spans="1:11" ht="15">
      <c r="A42" s="635">
        <f t="shared" si="1"/>
        <v>30</v>
      </c>
      <c r="B42" s="515"/>
      <c r="C42" s="513">
        <v>398</v>
      </c>
      <c r="D42" s="515" t="s">
        <v>1806</v>
      </c>
      <c r="E42" s="999">
        <f t="shared" si="2"/>
        <v>0.05</v>
      </c>
      <c r="F42" s="999">
        <v>0</v>
      </c>
      <c r="G42" s="999">
        <v>0.05</v>
      </c>
      <c r="I42" s="393"/>
      <c r="J42" s="393"/>
      <c r="K42" s="393"/>
    </row>
    <row r="43" spans="1:11" ht="15">
      <c r="A43" s="635">
        <f>A42+1</f>
        <v>31</v>
      </c>
      <c r="B43" s="515"/>
      <c r="C43" s="513">
        <v>397</v>
      </c>
      <c r="D43" s="515" t="s">
        <v>2793</v>
      </c>
      <c r="E43" s="999">
        <v>0.2</v>
      </c>
      <c r="F43" s="999">
        <v>0</v>
      </c>
      <c r="G43" s="999">
        <v>0.2</v>
      </c>
      <c r="I43" s="393"/>
      <c r="J43" s="393"/>
      <c r="K43" s="393"/>
    </row>
    <row r="44" spans="1:11" ht="15">
      <c r="A44" s="635">
        <f t="shared" ref="A44:A53" si="3">A43+1</f>
        <v>32</v>
      </c>
      <c r="B44" s="515"/>
      <c r="C44" s="513">
        <v>397</v>
      </c>
      <c r="D44" s="515" t="s">
        <v>1807</v>
      </c>
      <c r="E44" s="999">
        <v>0.1429</v>
      </c>
      <c r="F44" s="999">
        <v>0</v>
      </c>
      <c r="G44" s="999">
        <v>0.1429</v>
      </c>
      <c r="I44" s="393"/>
      <c r="J44" s="393"/>
      <c r="K44" s="393"/>
    </row>
    <row r="45" spans="1:11" ht="15">
      <c r="A45" s="635">
        <f t="shared" si="3"/>
        <v>33</v>
      </c>
      <c r="B45" s="515"/>
      <c r="C45" s="513">
        <v>397</v>
      </c>
      <c r="D45" s="515" t="s">
        <v>1808</v>
      </c>
      <c r="E45" s="999">
        <f t="shared" si="2"/>
        <v>0.1</v>
      </c>
      <c r="F45" s="999">
        <v>0</v>
      </c>
      <c r="G45" s="999">
        <v>0.1</v>
      </c>
      <c r="I45" s="393"/>
      <c r="J45" s="393"/>
      <c r="K45" s="393"/>
    </row>
    <row r="46" spans="1:11" ht="15">
      <c r="A46" s="635">
        <f t="shared" si="3"/>
        <v>34</v>
      </c>
      <c r="B46" s="515"/>
      <c r="C46" s="513">
        <v>397</v>
      </c>
      <c r="D46" s="515" t="s">
        <v>1809</v>
      </c>
      <c r="E46" s="999">
        <v>6.6699999999999995E-2</v>
      </c>
      <c r="F46" s="999">
        <v>0</v>
      </c>
      <c r="G46" s="999">
        <v>6.6699999999999995E-2</v>
      </c>
      <c r="I46" s="393"/>
      <c r="J46" s="393"/>
      <c r="K46" s="393"/>
    </row>
    <row r="47" spans="1:11" ht="15">
      <c r="A47" s="635">
        <f t="shared" si="3"/>
        <v>35</v>
      </c>
      <c r="B47" s="515"/>
      <c r="C47" s="513">
        <v>397</v>
      </c>
      <c r="D47" s="515" t="s">
        <v>2794</v>
      </c>
      <c r="E47" s="1251">
        <v>0.05</v>
      </c>
      <c r="F47" s="999">
        <v>0</v>
      </c>
      <c r="G47" s="1251">
        <v>0.05</v>
      </c>
      <c r="I47" s="393"/>
      <c r="J47" s="393"/>
      <c r="K47" s="393"/>
    </row>
    <row r="48" spans="1:11">
      <c r="A48" s="635">
        <f t="shared" si="3"/>
        <v>36</v>
      </c>
      <c r="B48" s="515"/>
      <c r="C48" s="513">
        <v>397</v>
      </c>
      <c r="D48" s="515" t="s">
        <v>1810</v>
      </c>
      <c r="E48" s="999">
        <v>5.9400000000000001E-2</v>
      </c>
      <c r="F48" s="999">
        <v>1.1999999999999999E-3</v>
      </c>
      <c r="G48" s="999">
        <v>6.0600000000000001E-2</v>
      </c>
    </row>
    <row r="49" spans="1:7">
      <c r="A49" s="635">
        <f t="shared" si="3"/>
        <v>37</v>
      </c>
      <c r="B49" s="515"/>
      <c r="C49" s="513">
        <v>397</v>
      </c>
      <c r="D49" s="515" t="s">
        <v>1811</v>
      </c>
      <c r="E49" s="999">
        <v>3.6499999999999998E-2</v>
      </c>
      <c r="F49" s="999">
        <v>1E-3</v>
      </c>
      <c r="G49" s="999">
        <v>3.7499999999999999E-2</v>
      </c>
    </row>
    <row r="50" spans="1:7">
      <c r="A50" s="635">
        <f t="shared" si="3"/>
        <v>38</v>
      </c>
      <c r="B50" s="515"/>
      <c r="C50" s="513">
        <v>392</v>
      </c>
      <c r="D50" s="515" t="s">
        <v>1812</v>
      </c>
      <c r="E50" s="999">
        <f t="shared" si="2"/>
        <v>0.1429</v>
      </c>
      <c r="F50" s="999">
        <v>0</v>
      </c>
      <c r="G50" s="999">
        <v>0.1429</v>
      </c>
    </row>
    <row r="51" spans="1:7">
      <c r="A51" s="635">
        <f t="shared" si="3"/>
        <v>39</v>
      </c>
      <c r="B51" s="515"/>
      <c r="C51" s="513">
        <v>394.4</v>
      </c>
      <c r="D51" s="515" t="s">
        <v>1813</v>
      </c>
      <c r="E51" s="999">
        <f t="shared" si="2"/>
        <v>0.1</v>
      </c>
      <c r="F51" s="999">
        <v>0</v>
      </c>
      <c r="G51" s="999">
        <v>0.1</v>
      </c>
    </row>
    <row r="52" spans="1:7">
      <c r="A52" s="635">
        <f t="shared" si="3"/>
        <v>40</v>
      </c>
      <c r="B52" s="515"/>
      <c r="C52" s="513">
        <v>394.5</v>
      </c>
      <c r="D52" s="515" t="s">
        <v>1814</v>
      </c>
      <c r="E52" s="999">
        <f t="shared" si="2"/>
        <v>0.1</v>
      </c>
      <c r="F52" s="999">
        <v>0</v>
      </c>
      <c r="G52" s="999">
        <v>0.1</v>
      </c>
    </row>
    <row r="53" spans="1:7">
      <c r="A53" s="635">
        <f t="shared" si="3"/>
        <v>41</v>
      </c>
      <c r="B53" s="515"/>
      <c r="C53" s="513">
        <v>396</v>
      </c>
      <c r="D53" s="515" t="s">
        <v>1815</v>
      </c>
      <c r="E53" s="999">
        <f t="shared" si="2"/>
        <v>6.6699999999999995E-2</v>
      </c>
      <c r="F53" s="999">
        <v>0</v>
      </c>
      <c r="G53" s="999">
        <v>6.6699999999999995E-2</v>
      </c>
    </row>
    <row r="54" spans="1:7">
      <c r="A54" s="515"/>
      <c r="B54" s="515"/>
      <c r="C54" s="515"/>
      <c r="D54" s="515"/>
    </row>
    <row r="55" spans="1:7">
      <c r="A55" s="515"/>
      <c r="B55" s="418" t="s">
        <v>1124</v>
      </c>
      <c r="C55" s="515"/>
      <c r="D55" s="515"/>
      <c r="E55" s="635" t="s">
        <v>411</v>
      </c>
    </row>
    <row r="56" spans="1:7">
      <c r="A56" s="515"/>
      <c r="B56" s="515"/>
      <c r="C56" s="249" t="s">
        <v>12</v>
      </c>
      <c r="D56" s="515"/>
      <c r="E56" s="635" t="s">
        <v>1108</v>
      </c>
      <c r="F56" s="4" t="s">
        <v>1109</v>
      </c>
      <c r="G56" s="4"/>
    </row>
    <row r="57" spans="1:7">
      <c r="A57" s="515"/>
      <c r="B57" s="515"/>
      <c r="C57" s="390" t="s">
        <v>110</v>
      </c>
      <c r="D57" s="390" t="s">
        <v>111</v>
      </c>
      <c r="E57" s="3" t="s">
        <v>1110</v>
      </c>
      <c r="F57" s="3" t="s">
        <v>1111</v>
      </c>
      <c r="G57" s="3" t="s">
        <v>215</v>
      </c>
    </row>
    <row r="58" spans="1:7">
      <c r="A58" s="635">
        <f>A53+1</f>
        <v>42</v>
      </c>
      <c r="B58" s="515"/>
      <c r="C58" s="513">
        <v>302</v>
      </c>
      <c r="D58" s="519" t="s">
        <v>1125</v>
      </c>
      <c r="E58" s="999">
        <v>2.52E-2</v>
      </c>
      <c r="F58" s="999">
        <v>0</v>
      </c>
      <c r="G58" s="999">
        <v>2.52E-2</v>
      </c>
    </row>
    <row r="59" spans="1:7">
      <c r="A59" s="635">
        <f t="shared" ref="A59:A64" si="4">A58+1</f>
        <v>43</v>
      </c>
      <c r="B59" s="515"/>
      <c r="C59" s="513">
        <v>303</v>
      </c>
      <c r="D59" s="519" t="s">
        <v>1126</v>
      </c>
      <c r="E59" s="999">
        <v>2.5000000000000001E-2</v>
      </c>
      <c r="F59" s="999">
        <v>0</v>
      </c>
      <c r="G59" s="999">
        <v>2.5000000000000001E-2</v>
      </c>
    </row>
    <row r="60" spans="1:7">
      <c r="A60" s="635">
        <f t="shared" si="4"/>
        <v>44</v>
      </c>
      <c r="B60" s="515"/>
      <c r="C60" s="513">
        <v>301</v>
      </c>
      <c r="D60" s="519" t="s">
        <v>1127</v>
      </c>
      <c r="E60" s="999">
        <v>0.05</v>
      </c>
      <c r="F60" s="999">
        <v>0</v>
      </c>
      <c r="G60" s="999">
        <v>0.05</v>
      </c>
    </row>
    <row r="61" spans="1:7">
      <c r="A61" s="635">
        <f t="shared" si="4"/>
        <v>45</v>
      </c>
      <c r="B61" s="515"/>
      <c r="C61" s="513">
        <v>303</v>
      </c>
      <c r="D61" s="519" t="s">
        <v>1128</v>
      </c>
      <c r="E61" s="999">
        <v>0.20580000000000001</v>
      </c>
      <c r="F61" s="999">
        <v>0</v>
      </c>
      <c r="G61" s="999">
        <v>0.20580000000000001</v>
      </c>
    </row>
    <row r="62" spans="1:7">
      <c r="A62" s="635">
        <f t="shared" si="4"/>
        <v>46</v>
      </c>
      <c r="B62" s="515"/>
      <c r="C62" s="513">
        <v>303</v>
      </c>
      <c r="D62" s="519" t="s">
        <v>1129</v>
      </c>
      <c r="E62" s="999">
        <v>0.14929999999999999</v>
      </c>
      <c r="F62" s="999">
        <v>0</v>
      </c>
      <c r="G62" s="999">
        <v>0.14929999999999999</v>
      </c>
    </row>
    <row r="63" spans="1:7">
      <c r="A63" s="635">
        <f t="shared" si="4"/>
        <v>47</v>
      </c>
      <c r="B63" s="515"/>
      <c r="C63" s="513">
        <v>303</v>
      </c>
      <c r="D63" s="519" t="s">
        <v>1130</v>
      </c>
      <c r="E63" s="999">
        <v>0.1245</v>
      </c>
      <c r="F63" s="999">
        <v>0</v>
      </c>
      <c r="G63" s="999">
        <v>0.1245</v>
      </c>
    </row>
    <row r="64" spans="1:7">
      <c r="A64" s="635">
        <f t="shared" si="4"/>
        <v>48</v>
      </c>
      <c r="B64" s="515"/>
      <c r="C64" s="513">
        <v>303</v>
      </c>
      <c r="D64" s="519" t="s">
        <v>1131</v>
      </c>
      <c r="E64" s="999">
        <v>6.7799999999999999E-2</v>
      </c>
      <c r="F64" s="999">
        <v>0</v>
      </c>
      <c r="G64" s="999">
        <v>6.7799999999999999E-2</v>
      </c>
    </row>
    <row r="65" spans="1:6">
      <c r="A65" s="515"/>
      <c r="B65" s="517" t="s">
        <v>1965</v>
      </c>
      <c r="C65" s="517"/>
      <c r="D65" s="517"/>
      <c r="E65" s="517"/>
      <c r="F65" s="517"/>
    </row>
    <row r="66" spans="1:6">
      <c r="A66" s="515"/>
      <c r="B66" s="517" t="s">
        <v>1964</v>
      </c>
      <c r="C66" s="517"/>
      <c r="D66" s="517"/>
      <c r="E66" s="517"/>
      <c r="F66" s="517"/>
    </row>
  </sheetData>
  <pageMargins left="0.7" right="0.7" top="0.75" bottom="0.75" header="0.3" footer="0.3"/>
  <pageSetup scale="75" orientation="portrait" cellComments="asDisplayed" r:id="rId1"/>
  <headerFooter>
    <oddHeader>&amp;CSchedule 18
Depreciation Rates
&amp;RTO2019 Draft Annual Update
Attachment 5
TO13 True Up TRR</oddHeader>
    <oddFooter>&amp;R18-DepRates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0"/>
  <sheetViews>
    <sheetView zoomScaleNormal="100" workbookViewId="0"/>
  </sheetViews>
  <sheetFormatPr defaultColWidth="9.140625" defaultRowHeight="12.75"/>
  <cols>
    <col min="1" max="1" width="5.7109375" style="528" customWidth="1"/>
    <col min="2" max="2" width="50.7109375" style="528" customWidth="1"/>
    <col min="3" max="3" width="14.7109375" style="526" customWidth="1"/>
    <col min="4" max="4" width="16.28515625" style="526" customWidth="1"/>
    <col min="5" max="5" width="14.7109375" style="526" customWidth="1"/>
    <col min="6" max="6" width="12.7109375" style="987" customWidth="1"/>
    <col min="7" max="7" width="16.7109375" style="953" customWidth="1"/>
    <col min="8" max="9" width="14.7109375" style="954" customWidth="1"/>
    <col min="10" max="12" width="14.7109375" style="528" customWidth="1"/>
    <col min="13" max="13" width="9.140625" style="515"/>
    <col min="14" max="14" width="10.7109375" style="515" bestFit="1" customWidth="1"/>
    <col min="15" max="16384" width="9.140625" style="515"/>
  </cols>
  <sheetData>
    <row r="1" spans="1:12" ht="12.75" customHeight="1">
      <c r="A1" s="438" t="s">
        <v>1399</v>
      </c>
      <c r="C1" s="439"/>
      <c r="D1" s="440"/>
      <c r="E1" s="440"/>
      <c r="F1" s="441"/>
      <c r="G1" s="442"/>
      <c r="H1" s="442"/>
      <c r="I1" s="442"/>
      <c r="J1" s="442"/>
      <c r="K1" s="515"/>
      <c r="L1" s="515"/>
    </row>
    <row r="2" spans="1:12" ht="12.75" customHeight="1">
      <c r="A2" s="443"/>
      <c r="C2" s="439"/>
      <c r="D2" s="440"/>
      <c r="E2" s="440"/>
      <c r="F2" s="444"/>
      <c r="G2" s="773" t="s">
        <v>332</v>
      </c>
      <c r="H2" s="525"/>
      <c r="I2" s="440"/>
      <c r="J2" s="442"/>
      <c r="K2" s="442"/>
      <c r="L2" s="442"/>
    </row>
    <row r="3" spans="1:12" ht="12.75" customHeight="1">
      <c r="A3" s="445"/>
      <c r="B3" s="446" t="s">
        <v>1400</v>
      </c>
      <c r="C3" s="448"/>
      <c r="D3" s="448"/>
      <c r="E3" s="448"/>
      <c r="F3" s="449"/>
      <c r="G3" s="447"/>
      <c r="H3" s="447"/>
      <c r="I3" s="447"/>
      <c r="J3" s="447"/>
      <c r="K3" s="447"/>
      <c r="L3" s="450"/>
    </row>
    <row r="4" spans="1:12" ht="12.75" customHeight="1">
      <c r="A4" s="451"/>
      <c r="B4" s="443"/>
      <c r="C4" s="452"/>
      <c r="D4" s="452"/>
      <c r="E4" s="452"/>
      <c r="F4" s="453"/>
      <c r="G4" s="26"/>
      <c r="H4" s="26"/>
      <c r="I4" s="26"/>
      <c r="J4" s="26"/>
      <c r="K4" s="26"/>
      <c r="L4" s="442"/>
    </row>
    <row r="5" spans="1:12" ht="12.75" customHeight="1">
      <c r="A5" s="447"/>
      <c r="B5" s="454" t="s">
        <v>391</v>
      </c>
      <c r="C5" s="454" t="s">
        <v>375</v>
      </c>
      <c r="D5" s="454" t="s">
        <v>376</v>
      </c>
      <c r="E5" s="454" t="s">
        <v>377</v>
      </c>
      <c r="F5" s="455" t="s">
        <v>378</v>
      </c>
      <c r="G5" s="454" t="s">
        <v>379</v>
      </c>
      <c r="H5" s="454" t="s">
        <v>380</v>
      </c>
      <c r="I5" s="454" t="s">
        <v>593</v>
      </c>
      <c r="J5" s="454" t="s">
        <v>1040</v>
      </c>
      <c r="K5" s="454" t="s">
        <v>1056</v>
      </c>
      <c r="L5" s="454" t="s">
        <v>1059</v>
      </c>
    </row>
    <row r="6" spans="1:12" ht="12.75" customHeight="1">
      <c r="A6" s="451"/>
      <c r="B6" s="443"/>
      <c r="C6" s="616" t="s">
        <v>1401</v>
      </c>
      <c r="D6" s="452"/>
      <c r="E6" s="452"/>
      <c r="F6" s="949" t="s">
        <v>393</v>
      </c>
      <c r="G6" s="616" t="s">
        <v>1402</v>
      </c>
      <c r="H6" s="456"/>
      <c r="I6" s="456"/>
      <c r="J6" s="616" t="s">
        <v>1403</v>
      </c>
      <c r="K6" s="616" t="s">
        <v>1404</v>
      </c>
      <c r="L6" s="617" t="s">
        <v>1405</v>
      </c>
    </row>
    <row r="7" spans="1:12" ht="12.75" customHeight="1">
      <c r="C7" s="950"/>
      <c r="D7" s="951"/>
      <c r="E7" s="951"/>
      <c r="F7" s="952"/>
      <c r="J7" s="955"/>
    </row>
    <row r="8" spans="1:12">
      <c r="A8" s="457"/>
      <c r="B8" s="1398" t="s">
        <v>1406</v>
      </c>
      <c r="C8" s="1400" t="s">
        <v>1407</v>
      </c>
      <c r="D8" s="1400"/>
      <c r="E8" s="1400"/>
      <c r="F8" s="458"/>
      <c r="G8" s="1401" t="s">
        <v>1408</v>
      </c>
      <c r="H8" s="1401"/>
      <c r="I8" s="1402"/>
      <c r="J8" s="1404" t="s">
        <v>1409</v>
      </c>
      <c r="K8" s="1401"/>
      <c r="L8" s="1402"/>
    </row>
    <row r="9" spans="1:12">
      <c r="A9" s="53"/>
      <c r="B9" s="1399"/>
      <c r="C9" s="948" t="s">
        <v>215</v>
      </c>
      <c r="D9" s="948" t="s">
        <v>1410</v>
      </c>
      <c r="E9" s="459" t="s">
        <v>1411</v>
      </c>
      <c r="F9" s="460" t="s">
        <v>1343</v>
      </c>
      <c r="G9" s="459" t="s">
        <v>215</v>
      </c>
      <c r="H9" s="459" t="s">
        <v>1410</v>
      </c>
      <c r="I9" s="459" t="s">
        <v>1411</v>
      </c>
      <c r="J9" s="948" t="s">
        <v>215</v>
      </c>
      <c r="K9" s="459" t="s">
        <v>1410</v>
      </c>
      <c r="L9" s="459" t="s">
        <v>1411</v>
      </c>
    </row>
    <row r="10" spans="1:12">
      <c r="A10" s="53" t="s">
        <v>360</v>
      </c>
      <c r="B10" s="461" t="s">
        <v>1412</v>
      </c>
      <c r="C10" s="274"/>
      <c r="D10" s="274"/>
      <c r="E10" s="462"/>
      <c r="F10" s="463"/>
      <c r="G10" s="462"/>
      <c r="H10" s="462"/>
      <c r="I10" s="462"/>
      <c r="J10" s="274"/>
      <c r="K10" s="462"/>
      <c r="L10" s="462"/>
    </row>
    <row r="11" spans="1:12">
      <c r="A11" s="635">
        <v>1</v>
      </c>
      <c r="B11" s="535" t="s">
        <v>1413</v>
      </c>
      <c r="C11" s="956">
        <f t="shared" ref="C11:C42" si="0">SUM(D11:E11)</f>
        <v>7342063.9400000004</v>
      </c>
      <c r="D11" s="1145">
        <v>3520700.4444488105</v>
      </c>
      <c r="E11" s="1145">
        <v>3821363.4955511899</v>
      </c>
      <c r="F11" s="957" t="s">
        <v>3034</v>
      </c>
      <c r="G11" s="1327">
        <f t="shared" ref="G11:G24" si="1">SUM(H11:I11)</f>
        <v>-209296</v>
      </c>
      <c r="H11" s="1145">
        <v>-1000</v>
      </c>
      <c r="I11" s="1145">
        <v>-208296</v>
      </c>
      <c r="J11" s="1315">
        <f t="shared" ref="J11:J42" si="2">SUM(K11:L11)</f>
        <v>7132767.9400000004</v>
      </c>
      <c r="K11" s="1315">
        <f t="shared" ref="K11:K42" si="3">D11+H11</f>
        <v>3519700.4444488105</v>
      </c>
      <c r="L11" s="1315">
        <f t="shared" ref="L11:L42" si="4">E11+I11</f>
        <v>3613067.4955511899</v>
      </c>
    </row>
    <row r="12" spans="1:12">
      <c r="A12" s="635">
        <f t="shared" ref="A12:A43" si="5">A11+1</f>
        <v>2</v>
      </c>
      <c r="B12" s="535" t="s">
        <v>1414</v>
      </c>
      <c r="C12" s="956">
        <f t="shared" si="0"/>
        <v>147368.85</v>
      </c>
      <c r="D12" s="1145">
        <v>0</v>
      </c>
      <c r="E12" s="1145">
        <v>147368.85</v>
      </c>
      <c r="F12" s="957"/>
      <c r="G12" s="1327">
        <f t="shared" si="1"/>
        <v>0</v>
      </c>
      <c r="H12" s="1145"/>
      <c r="I12" s="1145"/>
      <c r="J12" s="1315">
        <f t="shared" si="2"/>
        <v>147368.85</v>
      </c>
      <c r="K12" s="1315">
        <f t="shared" si="3"/>
        <v>0</v>
      </c>
      <c r="L12" s="1315">
        <f t="shared" si="4"/>
        <v>147368.85</v>
      </c>
    </row>
    <row r="13" spans="1:12">
      <c r="A13" s="635">
        <f t="shared" si="5"/>
        <v>3</v>
      </c>
      <c r="B13" s="661" t="s">
        <v>1415</v>
      </c>
      <c r="C13" s="956">
        <f t="shared" si="0"/>
        <v>0</v>
      </c>
      <c r="D13" s="1145">
        <v>0</v>
      </c>
      <c r="E13" s="1145">
        <v>0</v>
      </c>
      <c r="F13" s="957"/>
      <c r="G13" s="1327">
        <f t="shared" si="1"/>
        <v>0</v>
      </c>
      <c r="H13" s="1145"/>
      <c r="I13" s="1145"/>
      <c r="J13" s="1315">
        <f t="shared" si="2"/>
        <v>0</v>
      </c>
      <c r="K13" s="1315">
        <f t="shared" si="3"/>
        <v>0</v>
      </c>
      <c r="L13" s="1315">
        <f t="shared" si="4"/>
        <v>0</v>
      </c>
    </row>
    <row r="14" spans="1:12">
      <c r="A14" s="635">
        <f t="shared" si="5"/>
        <v>4</v>
      </c>
      <c r="B14" s="661" t="s">
        <v>1416</v>
      </c>
      <c r="C14" s="956">
        <f t="shared" si="0"/>
        <v>633249.69999999995</v>
      </c>
      <c r="D14" s="1145">
        <v>355803.25389260246</v>
      </c>
      <c r="E14" s="1145">
        <v>277446.4461073975</v>
      </c>
      <c r="F14" s="957" t="s">
        <v>616</v>
      </c>
      <c r="G14" s="1327">
        <f t="shared" si="1"/>
        <v>-110000</v>
      </c>
      <c r="H14" s="1145">
        <v>-110000</v>
      </c>
      <c r="I14" s="1145"/>
      <c r="J14" s="1315">
        <f t="shared" si="2"/>
        <v>523249.69999999995</v>
      </c>
      <c r="K14" s="1315">
        <f t="shared" si="3"/>
        <v>245803.25389260246</v>
      </c>
      <c r="L14" s="1315">
        <f t="shared" si="4"/>
        <v>277446.4461073975</v>
      </c>
    </row>
    <row r="15" spans="1:12">
      <c r="A15" s="635">
        <f t="shared" si="5"/>
        <v>5</v>
      </c>
      <c r="B15" s="661" t="s">
        <v>1417</v>
      </c>
      <c r="C15" s="956">
        <f t="shared" si="0"/>
        <v>9884566.6100000013</v>
      </c>
      <c r="D15" s="1145">
        <v>7859613.1286844797</v>
      </c>
      <c r="E15" s="1145">
        <v>2024953.4813155211</v>
      </c>
      <c r="F15" s="957"/>
      <c r="G15" s="1327">
        <f t="shared" si="1"/>
        <v>0</v>
      </c>
      <c r="H15" s="1145"/>
      <c r="I15" s="1145"/>
      <c r="J15" s="1315">
        <f t="shared" si="2"/>
        <v>9884566.6100000013</v>
      </c>
      <c r="K15" s="1315">
        <f t="shared" si="3"/>
        <v>7859613.1286844797</v>
      </c>
      <c r="L15" s="1315">
        <f t="shared" si="4"/>
        <v>2024953.4813155211</v>
      </c>
    </row>
    <row r="16" spans="1:12">
      <c r="A16" s="635">
        <f t="shared" si="5"/>
        <v>6</v>
      </c>
      <c r="B16" s="661" t="s">
        <v>1418</v>
      </c>
      <c r="C16" s="956">
        <f t="shared" si="0"/>
        <v>39115071.090000004</v>
      </c>
      <c r="D16" s="1145">
        <v>0</v>
      </c>
      <c r="E16" s="1145">
        <v>39115071.090000004</v>
      </c>
      <c r="F16" s="958" t="s">
        <v>610</v>
      </c>
      <c r="G16" s="1327">
        <f t="shared" si="1"/>
        <v>-39115071.090000004</v>
      </c>
      <c r="H16" s="1145"/>
      <c r="I16" s="1145">
        <v>-39115071.090000004</v>
      </c>
      <c r="J16" s="1315">
        <f t="shared" si="2"/>
        <v>0</v>
      </c>
      <c r="K16" s="1315">
        <f t="shared" si="3"/>
        <v>0</v>
      </c>
      <c r="L16" s="1315">
        <f t="shared" si="4"/>
        <v>0</v>
      </c>
    </row>
    <row r="17" spans="1:12">
      <c r="A17" s="635">
        <f t="shared" si="5"/>
        <v>7</v>
      </c>
      <c r="B17" s="661" t="s">
        <v>1419</v>
      </c>
      <c r="C17" s="956">
        <f t="shared" si="0"/>
        <v>5180970.9600000009</v>
      </c>
      <c r="D17" s="1145">
        <v>3963546.0231334683</v>
      </c>
      <c r="E17" s="1145">
        <v>1217424.9368665328</v>
      </c>
      <c r="F17" s="957"/>
      <c r="G17" s="1327">
        <f t="shared" si="1"/>
        <v>0</v>
      </c>
      <c r="H17" s="1145"/>
      <c r="I17" s="1145"/>
      <c r="J17" s="1315">
        <f t="shared" si="2"/>
        <v>5180970.9600000009</v>
      </c>
      <c r="K17" s="1315">
        <f t="shared" si="3"/>
        <v>3963546.0231334683</v>
      </c>
      <c r="L17" s="1315">
        <f t="shared" si="4"/>
        <v>1217424.9368665328</v>
      </c>
    </row>
    <row r="18" spans="1:12">
      <c r="A18" s="635">
        <f t="shared" si="5"/>
        <v>8</v>
      </c>
      <c r="B18" s="661" t="s">
        <v>1420</v>
      </c>
      <c r="C18" s="956">
        <f t="shared" si="0"/>
        <v>73.83</v>
      </c>
      <c r="D18" s="1145">
        <v>0</v>
      </c>
      <c r="E18" s="1145">
        <v>73.83</v>
      </c>
      <c r="F18" s="957" t="s">
        <v>611</v>
      </c>
      <c r="G18" s="1327">
        <f t="shared" si="1"/>
        <v>-73.83</v>
      </c>
      <c r="H18" s="1145"/>
      <c r="I18" s="1145">
        <v>-73.83</v>
      </c>
      <c r="J18" s="1315">
        <f t="shared" si="2"/>
        <v>0</v>
      </c>
      <c r="K18" s="1315">
        <f t="shared" si="3"/>
        <v>0</v>
      </c>
      <c r="L18" s="1315">
        <f t="shared" si="4"/>
        <v>0</v>
      </c>
    </row>
    <row r="19" spans="1:12">
      <c r="A19" s="635">
        <f t="shared" si="5"/>
        <v>9</v>
      </c>
      <c r="B19" s="661" t="s">
        <v>1421</v>
      </c>
      <c r="C19" s="956">
        <f t="shared" si="0"/>
        <v>17148417.510000002</v>
      </c>
      <c r="D19" s="1145">
        <v>14423322.76077345</v>
      </c>
      <c r="E19" s="1145">
        <v>2725094.749226551</v>
      </c>
      <c r="F19" s="957"/>
      <c r="G19" s="1327">
        <f t="shared" si="1"/>
        <v>0</v>
      </c>
      <c r="H19" s="1145"/>
      <c r="I19" s="1145"/>
      <c r="J19" s="1315">
        <f t="shared" si="2"/>
        <v>17148417.510000002</v>
      </c>
      <c r="K19" s="1315">
        <f t="shared" si="3"/>
        <v>14423322.76077345</v>
      </c>
      <c r="L19" s="1315">
        <f t="shared" si="4"/>
        <v>2725094.749226551</v>
      </c>
    </row>
    <row r="20" spans="1:12">
      <c r="A20" s="635">
        <f t="shared" si="5"/>
        <v>10</v>
      </c>
      <c r="B20" s="661" t="s">
        <v>1422</v>
      </c>
      <c r="C20" s="956">
        <f t="shared" si="0"/>
        <v>4002506.2500000009</v>
      </c>
      <c r="D20" s="1145">
        <v>2841206.1609331486</v>
      </c>
      <c r="E20" s="1145">
        <v>1161300.0890668521</v>
      </c>
      <c r="F20" s="957"/>
      <c r="G20" s="1327">
        <f t="shared" si="1"/>
        <v>0</v>
      </c>
      <c r="H20" s="1145"/>
      <c r="I20" s="1145"/>
      <c r="J20" s="1315">
        <f t="shared" si="2"/>
        <v>4002506.2500000009</v>
      </c>
      <c r="K20" s="1315">
        <f t="shared" si="3"/>
        <v>2841206.1609331486</v>
      </c>
      <c r="L20" s="1315">
        <f t="shared" si="4"/>
        <v>1161300.0890668521</v>
      </c>
    </row>
    <row r="21" spans="1:12">
      <c r="A21" s="635">
        <f t="shared" si="5"/>
        <v>11</v>
      </c>
      <c r="B21" s="661" t="s">
        <v>1423</v>
      </c>
      <c r="C21" s="956">
        <f t="shared" si="0"/>
        <v>1032205.1200000001</v>
      </c>
      <c r="D21" s="1145">
        <v>0</v>
      </c>
      <c r="E21" s="1145">
        <v>1032205.1200000001</v>
      </c>
      <c r="F21" s="957"/>
      <c r="G21" s="1327">
        <f t="shared" si="1"/>
        <v>0</v>
      </c>
      <c r="H21" s="1145"/>
      <c r="I21" s="1145"/>
      <c r="J21" s="1315">
        <f t="shared" si="2"/>
        <v>1032205.1200000001</v>
      </c>
      <c r="K21" s="1315">
        <f t="shared" si="3"/>
        <v>0</v>
      </c>
      <c r="L21" s="1315">
        <f t="shared" si="4"/>
        <v>1032205.1200000001</v>
      </c>
    </row>
    <row r="22" spans="1:12">
      <c r="A22" s="635">
        <f t="shared" si="5"/>
        <v>12</v>
      </c>
      <c r="B22" s="661" t="s">
        <v>1424</v>
      </c>
      <c r="C22" s="956">
        <f t="shared" si="0"/>
        <v>4733731.24</v>
      </c>
      <c r="D22" s="1145">
        <v>3855138.5199945122</v>
      </c>
      <c r="E22" s="1145">
        <v>878592.72000548814</v>
      </c>
      <c r="F22" s="957"/>
      <c r="G22" s="1326">
        <f t="shared" si="1"/>
        <v>0</v>
      </c>
      <c r="H22" s="1145"/>
      <c r="I22" s="1145"/>
      <c r="J22" s="1315">
        <f t="shared" si="2"/>
        <v>4733731.24</v>
      </c>
      <c r="K22" s="1315">
        <f t="shared" si="3"/>
        <v>3855138.5199945122</v>
      </c>
      <c r="L22" s="1315">
        <f t="shared" si="4"/>
        <v>878592.72000548814</v>
      </c>
    </row>
    <row r="23" spans="1:12">
      <c r="A23" s="635">
        <f t="shared" si="5"/>
        <v>13</v>
      </c>
      <c r="B23" s="661" t="s">
        <v>1425</v>
      </c>
      <c r="C23" s="956">
        <f t="shared" si="0"/>
        <v>1390335.0200000003</v>
      </c>
      <c r="D23" s="1145">
        <v>1156421.97503766</v>
      </c>
      <c r="E23" s="1145">
        <v>233913.0449623403</v>
      </c>
      <c r="F23" s="957"/>
      <c r="G23" s="1327">
        <f t="shared" si="1"/>
        <v>0</v>
      </c>
      <c r="H23" s="1145"/>
      <c r="I23" s="1145"/>
      <c r="J23" s="1315">
        <f t="shared" si="2"/>
        <v>1390335.0200000003</v>
      </c>
      <c r="K23" s="1315">
        <f t="shared" si="3"/>
        <v>1156421.97503766</v>
      </c>
      <c r="L23" s="1315">
        <f t="shared" si="4"/>
        <v>233913.0449623403</v>
      </c>
    </row>
    <row r="24" spans="1:12">
      <c r="A24" s="635">
        <f t="shared" si="5"/>
        <v>14</v>
      </c>
      <c r="B24" s="661" t="s">
        <v>1426</v>
      </c>
      <c r="C24" s="956">
        <f t="shared" si="0"/>
        <v>9539402.9500000011</v>
      </c>
      <c r="D24" s="1145">
        <v>0</v>
      </c>
      <c r="E24" s="1145">
        <v>9539402.9500000011</v>
      </c>
      <c r="F24" s="957" t="s">
        <v>612</v>
      </c>
      <c r="G24" s="1327">
        <f t="shared" si="1"/>
        <v>-9539402.9500000011</v>
      </c>
      <c r="H24" s="1145">
        <v>0</v>
      </c>
      <c r="I24" s="1145">
        <v>-9539402.9500000011</v>
      </c>
      <c r="J24" s="1315">
        <f t="shared" si="2"/>
        <v>0</v>
      </c>
      <c r="K24" s="1315">
        <f t="shared" si="3"/>
        <v>0</v>
      </c>
      <c r="L24" s="1315">
        <f t="shared" si="4"/>
        <v>0</v>
      </c>
    </row>
    <row r="25" spans="1:12">
      <c r="A25" s="635">
        <f t="shared" si="5"/>
        <v>15</v>
      </c>
      <c r="B25" s="661" t="s">
        <v>1427</v>
      </c>
      <c r="C25" s="956">
        <f t="shared" si="0"/>
        <v>243419.62</v>
      </c>
      <c r="D25" s="1145">
        <v>0</v>
      </c>
      <c r="E25" s="1145">
        <v>243419.62</v>
      </c>
      <c r="F25" s="959"/>
      <c r="G25" s="1327">
        <v>0</v>
      </c>
      <c r="H25" s="1147"/>
      <c r="I25" s="1147"/>
      <c r="J25" s="1315">
        <f t="shared" si="2"/>
        <v>243419.62</v>
      </c>
      <c r="K25" s="1315">
        <f t="shared" si="3"/>
        <v>0</v>
      </c>
      <c r="L25" s="1315">
        <f t="shared" si="4"/>
        <v>243419.62</v>
      </c>
    </row>
    <row r="26" spans="1:12">
      <c r="A26" s="635">
        <f t="shared" si="5"/>
        <v>16</v>
      </c>
      <c r="B26" s="661" t="s">
        <v>1428</v>
      </c>
      <c r="C26" s="956">
        <f t="shared" si="0"/>
        <v>-267656.76</v>
      </c>
      <c r="D26" s="1145">
        <v>0</v>
      </c>
      <c r="E26" s="1145">
        <v>-267656.76</v>
      </c>
      <c r="F26" s="957"/>
      <c r="G26" s="1327">
        <f t="shared" ref="G26:G61" si="6">SUM(H26:I26)</f>
        <v>0</v>
      </c>
      <c r="H26" s="1145"/>
      <c r="I26" s="1145"/>
      <c r="J26" s="1315">
        <f t="shared" si="2"/>
        <v>-267656.76</v>
      </c>
      <c r="K26" s="1315">
        <f t="shared" si="3"/>
        <v>0</v>
      </c>
      <c r="L26" s="1315">
        <f t="shared" si="4"/>
        <v>-267656.76</v>
      </c>
    </row>
    <row r="27" spans="1:12">
      <c r="A27" s="635">
        <f t="shared" si="5"/>
        <v>17</v>
      </c>
      <c r="B27" s="661" t="s">
        <v>1429</v>
      </c>
      <c r="C27" s="956">
        <f t="shared" si="0"/>
        <v>-34008592.770000003</v>
      </c>
      <c r="D27" s="1145">
        <v>59372.142903069354</v>
      </c>
      <c r="E27" s="1145">
        <v>-34067964.91290307</v>
      </c>
      <c r="F27" s="957" t="s">
        <v>613</v>
      </c>
      <c r="G27" s="1326">
        <f t="shared" si="6"/>
        <v>34008592.770000003</v>
      </c>
      <c r="H27" s="1145">
        <v>-59372.142903069354</v>
      </c>
      <c r="I27" s="1145">
        <v>34067964.91290307</v>
      </c>
      <c r="J27" s="1315">
        <f t="shared" si="2"/>
        <v>0</v>
      </c>
      <c r="K27" s="1315">
        <f t="shared" si="3"/>
        <v>0</v>
      </c>
      <c r="L27" s="1315">
        <f t="shared" si="4"/>
        <v>0</v>
      </c>
    </row>
    <row r="28" spans="1:12">
      <c r="A28" s="120">
        <f t="shared" si="5"/>
        <v>18</v>
      </c>
      <c r="B28" s="661" t="s">
        <v>2046</v>
      </c>
      <c r="C28" s="956">
        <f t="shared" si="0"/>
        <v>11261715.680000002</v>
      </c>
      <c r="D28" s="1145">
        <v>7614977.0022573378</v>
      </c>
      <c r="E28" s="1145">
        <v>3646738.6777426642</v>
      </c>
      <c r="F28" s="1000"/>
      <c r="G28" s="1327">
        <f t="shared" si="6"/>
        <v>0</v>
      </c>
      <c r="H28" s="1145"/>
      <c r="I28" s="1145"/>
      <c r="J28" s="1316">
        <f t="shared" si="2"/>
        <v>11261715.680000002</v>
      </c>
      <c r="K28" s="1316">
        <f t="shared" si="3"/>
        <v>7614977.0022573378</v>
      </c>
      <c r="L28" s="1316">
        <f t="shared" si="4"/>
        <v>3646738.6777426642</v>
      </c>
    </row>
    <row r="29" spans="1:12">
      <c r="A29" s="120">
        <f t="shared" si="5"/>
        <v>19</v>
      </c>
      <c r="B29" s="661" t="s">
        <v>2047</v>
      </c>
      <c r="C29" s="956">
        <f t="shared" si="0"/>
        <v>22300196.759999994</v>
      </c>
      <c r="D29" s="1145">
        <v>7181443.7834314564</v>
      </c>
      <c r="E29" s="1145">
        <v>15118752.976568539</v>
      </c>
      <c r="F29" s="957" t="s">
        <v>2980</v>
      </c>
      <c r="G29" s="1326">
        <f t="shared" si="6"/>
        <v>-14261.210000000001</v>
      </c>
      <c r="H29" s="1145">
        <v>-10752.37829914215</v>
      </c>
      <c r="I29" s="1145">
        <v>-3508.8317008578501</v>
      </c>
      <c r="J29" s="1316">
        <f t="shared" si="2"/>
        <v>22285935.549999997</v>
      </c>
      <c r="K29" s="1316">
        <f t="shared" si="3"/>
        <v>7170691.4051323142</v>
      </c>
      <c r="L29" s="1316">
        <f t="shared" si="4"/>
        <v>15115244.144867681</v>
      </c>
    </row>
    <row r="30" spans="1:12">
      <c r="A30" s="120">
        <f t="shared" si="5"/>
        <v>20</v>
      </c>
      <c r="B30" s="661" t="s">
        <v>1430</v>
      </c>
      <c r="C30" s="956">
        <f t="shared" si="0"/>
        <v>-17053.750000000004</v>
      </c>
      <c r="D30" s="1145">
        <v>-14125.699797822484</v>
      </c>
      <c r="E30" s="1145">
        <v>-2928.0502021775205</v>
      </c>
      <c r="F30" s="957"/>
      <c r="G30" s="1327">
        <f t="shared" si="6"/>
        <v>0</v>
      </c>
      <c r="H30" s="1145"/>
      <c r="I30" s="1145"/>
      <c r="J30" s="1315">
        <f t="shared" si="2"/>
        <v>-17053.750000000004</v>
      </c>
      <c r="K30" s="1315">
        <f t="shared" si="3"/>
        <v>-14125.699797822484</v>
      </c>
      <c r="L30" s="1315">
        <f t="shared" si="4"/>
        <v>-2928.0502021775205</v>
      </c>
    </row>
    <row r="31" spans="1:12">
      <c r="A31" s="120">
        <f t="shared" si="5"/>
        <v>21</v>
      </c>
      <c r="B31" s="661" t="s">
        <v>1431</v>
      </c>
      <c r="C31" s="956">
        <f t="shared" si="0"/>
        <v>657016.02000000014</v>
      </c>
      <c r="D31" s="1145">
        <v>645937.6100000001</v>
      </c>
      <c r="E31" s="1145">
        <v>11078.41</v>
      </c>
      <c r="F31" s="957"/>
      <c r="G31" s="1327">
        <f t="shared" si="6"/>
        <v>0</v>
      </c>
      <c r="H31" s="1145"/>
      <c r="I31" s="1145"/>
      <c r="J31" s="1315">
        <f t="shared" si="2"/>
        <v>657016.02000000014</v>
      </c>
      <c r="K31" s="1315">
        <f t="shared" si="3"/>
        <v>645937.6100000001</v>
      </c>
      <c r="L31" s="1315">
        <f t="shared" si="4"/>
        <v>11078.41</v>
      </c>
    </row>
    <row r="32" spans="1:12">
      <c r="A32" s="120">
        <f t="shared" si="5"/>
        <v>22</v>
      </c>
      <c r="B32" s="661" t="s">
        <v>1432</v>
      </c>
      <c r="C32" s="956">
        <f t="shared" si="0"/>
        <v>7758571.0500000007</v>
      </c>
      <c r="D32" s="1145">
        <v>3680576.399773078</v>
      </c>
      <c r="E32" s="1145">
        <v>4077994.6502269227</v>
      </c>
      <c r="F32" s="957"/>
      <c r="G32" s="1327">
        <f t="shared" si="6"/>
        <v>0</v>
      </c>
      <c r="H32" s="1145"/>
      <c r="I32" s="1145"/>
      <c r="J32" s="1315">
        <f t="shared" si="2"/>
        <v>7758571.0500000007</v>
      </c>
      <c r="K32" s="1315">
        <f t="shared" si="3"/>
        <v>3680576.399773078</v>
      </c>
      <c r="L32" s="1315">
        <f t="shared" si="4"/>
        <v>4077994.6502269227</v>
      </c>
    </row>
    <row r="33" spans="1:14">
      <c r="A33" s="120">
        <f t="shared" si="5"/>
        <v>23</v>
      </c>
      <c r="B33" s="661" t="s">
        <v>1433</v>
      </c>
      <c r="C33" s="956">
        <f t="shared" si="0"/>
        <v>2351738.6100000003</v>
      </c>
      <c r="D33" s="1145">
        <v>1995566.8597141691</v>
      </c>
      <c r="E33" s="1145">
        <v>356171.75028583116</v>
      </c>
      <c r="F33" s="957"/>
      <c r="G33" s="1327">
        <f t="shared" si="6"/>
        <v>0</v>
      </c>
      <c r="H33" s="1145"/>
      <c r="I33" s="1145"/>
      <c r="J33" s="1315">
        <f t="shared" si="2"/>
        <v>2351738.6100000003</v>
      </c>
      <c r="K33" s="1315">
        <f t="shared" si="3"/>
        <v>1995566.8597141691</v>
      </c>
      <c r="L33" s="1315">
        <f t="shared" si="4"/>
        <v>356171.75028583116</v>
      </c>
    </row>
    <row r="34" spans="1:14">
      <c r="A34" s="120">
        <f t="shared" si="5"/>
        <v>24</v>
      </c>
      <c r="B34" s="661" t="s">
        <v>1434</v>
      </c>
      <c r="C34" s="956">
        <f t="shared" si="0"/>
        <v>944337.63000000012</v>
      </c>
      <c r="D34" s="1145">
        <v>0</v>
      </c>
      <c r="E34" s="1145">
        <v>944337.63000000012</v>
      </c>
      <c r="F34" s="957"/>
      <c r="G34" s="1327">
        <f t="shared" si="6"/>
        <v>0</v>
      </c>
      <c r="H34" s="1145"/>
      <c r="I34" s="1145"/>
      <c r="J34" s="1315">
        <f t="shared" si="2"/>
        <v>944337.63000000012</v>
      </c>
      <c r="K34" s="1315">
        <f t="shared" si="3"/>
        <v>0</v>
      </c>
      <c r="L34" s="1315">
        <f t="shared" si="4"/>
        <v>944337.63000000012</v>
      </c>
    </row>
    <row r="35" spans="1:14">
      <c r="A35" s="120">
        <f t="shared" si="5"/>
        <v>25</v>
      </c>
      <c r="B35" s="661" t="s">
        <v>1435</v>
      </c>
      <c r="C35" s="956">
        <f t="shared" si="0"/>
        <v>8901559.0099999979</v>
      </c>
      <c r="D35" s="1145">
        <v>5528.6026917413601</v>
      </c>
      <c r="E35" s="1145">
        <v>8896030.4073082563</v>
      </c>
      <c r="F35" s="957"/>
      <c r="G35" s="1327">
        <f t="shared" si="6"/>
        <v>0</v>
      </c>
      <c r="H35" s="1145"/>
      <c r="I35" s="1145"/>
      <c r="J35" s="1315">
        <f t="shared" si="2"/>
        <v>8901559.0099999979</v>
      </c>
      <c r="K35" s="1315">
        <f t="shared" si="3"/>
        <v>5528.6026917413601</v>
      </c>
      <c r="L35" s="1315">
        <f t="shared" si="4"/>
        <v>8896030.4073082563</v>
      </c>
    </row>
    <row r="36" spans="1:14">
      <c r="A36" s="120">
        <f t="shared" si="5"/>
        <v>26</v>
      </c>
      <c r="B36" s="661" t="s">
        <v>1436</v>
      </c>
      <c r="C36" s="956">
        <f t="shared" si="0"/>
        <v>6500000.1600000001</v>
      </c>
      <c r="D36" s="1145">
        <v>0</v>
      </c>
      <c r="E36" s="1145">
        <v>6500000.1600000001</v>
      </c>
      <c r="F36" s="957"/>
      <c r="G36" s="1327">
        <f t="shared" si="6"/>
        <v>0</v>
      </c>
      <c r="H36" s="1145"/>
      <c r="I36" s="1145"/>
      <c r="J36" s="1315">
        <f t="shared" si="2"/>
        <v>6500000.1600000001</v>
      </c>
      <c r="K36" s="1315">
        <f t="shared" si="3"/>
        <v>0</v>
      </c>
      <c r="L36" s="1315">
        <f t="shared" si="4"/>
        <v>6500000.1600000001</v>
      </c>
    </row>
    <row r="37" spans="1:14">
      <c r="A37" s="120">
        <f t="shared" si="5"/>
        <v>27</v>
      </c>
      <c r="B37" s="661" t="s">
        <v>1437</v>
      </c>
      <c r="C37" s="956">
        <f t="shared" si="0"/>
        <v>107252.15000000001</v>
      </c>
      <c r="D37" s="1145">
        <v>0</v>
      </c>
      <c r="E37" s="1145">
        <v>107252.15000000001</v>
      </c>
      <c r="F37" s="957"/>
      <c r="G37" s="1327">
        <f t="shared" si="6"/>
        <v>0</v>
      </c>
      <c r="H37" s="1145"/>
      <c r="I37" s="1145"/>
      <c r="J37" s="1315">
        <f t="shared" si="2"/>
        <v>107252.15000000001</v>
      </c>
      <c r="K37" s="1315">
        <f t="shared" si="3"/>
        <v>0</v>
      </c>
      <c r="L37" s="1315">
        <f t="shared" si="4"/>
        <v>107252.15000000001</v>
      </c>
    </row>
    <row r="38" spans="1:14">
      <c r="A38" s="120">
        <f t="shared" si="5"/>
        <v>28</v>
      </c>
      <c r="B38" s="661" t="s">
        <v>1438</v>
      </c>
      <c r="C38" s="956">
        <f t="shared" si="0"/>
        <v>189601.02000000002</v>
      </c>
      <c r="D38" s="1145">
        <v>0</v>
      </c>
      <c r="E38" s="1145">
        <v>189601.02000000002</v>
      </c>
      <c r="F38" s="957"/>
      <c r="G38" s="1327">
        <f t="shared" si="6"/>
        <v>0</v>
      </c>
      <c r="H38" s="1145"/>
      <c r="I38" s="1145"/>
      <c r="J38" s="1315">
        <f t="shared" si="2"/>
        <v>189601.02000000002</v>
      </c>
      <c r="K38" s="1315">
        <f t="shared" si="3"/>
        <v>0</v>
      </c>
      <c r="L38" s="1315">
        <f t="shared" si="4"/>
        <v>189601.02000000002</v>
      </c>
    </row>
    <row r="39" spans="1:14">
      <c r="A39" s="120">
        <f t="shared" si="5"/>
        <v>29</v>
      </c>
      <c r="B39" s="661" t="s">
        <v>1439</v>
      </c>
      <c r="C39" s="956">
        <f t="shared" si="0"/>
        <v>2384823.7600000002</v>
      </c>
      <c r="D39" s="1145">
        <v>2049481.7976254995</v>
      </c>
      <c r="E39" s="1145">
        <v>335341.96237450064</v>
      </c>
      <c r="F39" s="957"/>
      <c r="G39" s="1327">
        <f t="shared" si="6"/>
        <v>0</v>
      </c>
      <c r="H39" s="1145"/>
      <c r="I39" s="1145"/>
      <c r="J39" s="1315">
        <f t="shared" si="2"/>
        <v>2384823.7600000002</v>
      </c>
      <c r="K39" s="1315">
        <f t="shared" si="3"/>
        <v>2049481.7976254995</v>
      </c>
      <c r="L39" s="1315">
        <f t="shared" si="4"/>
        <v>335341.96237450064</v>
      </c>
    </row>
    <row r="40" spans="1:14">
      <c r="A40" s="120">
        <f t="shared" si="5"/>
        <v>30</v>
      </c>
      <c r="B40" s="661" t="s">
        <v>1440</v>
      </c>
      <c r="C40" s="956">
        <f t="shared" si="0"/>
        <v>192593.95</v>
      </c>
      <c r="D40" s="1145">
        <v>0</v>
      </c>
      <c r="E40" s="1145">
        <v>192593.95</v>
      </c>
      <c r="F40" s="957"/>
      <c r="G40" s="1327">
        <f t="shared" si="6"/>
        <v>0</v>
      </c>
      <c r="H40" s="1145"/>
      <c r="I40" s="1145"/>
      <c r="J40" s="1315">
        <f t="shared" si="2"/>
        <v>192593.95</v>
      </c>
      <c r="K40" s="1315">
        <f t="shared" si="3"/>
        <v>0</v>
      </c>
      <c r="L40" s="1315">
        <f t="shared" si="4"/>
        <v>192593.95</v>
      </c>
    </row>
    <row r="41" spans="1:14">
      <c r="A41" s="120">
        <f t="shared" si="5"/>
        <v>31</v>
      </c>
      <c r="B41" s="661" t="s">
        <v>1441</v>
      </c>
      <c r="C41" s="956">
        <f t="shared" si="0"/>
        <v>158593.22999999995</v>
      </c>
      <c r="D41" s="1145">
        <v>39766.94647017221</v>
      </c>
      <c r="E41" s="1145">
        <v>118826.28352982775</v>
      </c>
      <c r="F41" s="957"/>
      <c r="G41" s="1327">
        <f t="shared" si="6"/>
        <v>0</v>
      </c>
      <c r="H41" s="1145"/>
      <c r="I41" s="1145"/>
      <c r="J41" s="1315">
        <f t="shared" si="2"/>
        <v>158593.22999999995</v>
      </c>
      <c r="K41" s="1315">
        <f t="shared" si="3"/>
        <v>39766.94647017221</v>
      </c>
      <c r="L41" s="1315">
        <f t="shared" si="4"/>
        <v>118826.28352982775</v>
      </c>
    </row>
    <row r="42" spans="1:14">
      <c r="A42" s="120">
        <f t="shared" si="5"/>
        <v>32</v>
      </c>
      <c r="B42" s="661" t="s">
        <v>2683</v>
      </c>
      <c r="C42" s="956">
        <f t="shared" si="0"/>
        <v>7271761</v>
      </c>
      <c r="D42" s="1145">
        <v>0</v>
      </c>
      <c r="E42" s="1145">
        <v>7271761</v>
      </c>
      <c r="F42" s="957" t="s">
        <v>615</v>
      </c>
      <c r="G42" s="1327">
        <f t="shared" si="6"/>
        <v>-7271761.1554480009</v>
      </c>
      <c r="H42" s="1145">
        <v>0</v>
      </c>
      <c r="I42" s="1145">
        <v>-7271761.1554480009</v>
      </c>
      <c r="J42" s="1315">
        <f t="shared" si="2"/>
        <v>-0.15544800087809563</v>
      </c>
      <c r="K42" s="1315">
        <f t="shared" si="3"/>
        <v>0</v>
      </c>
      <c r="L42" s="1315">
        <f t="shared" si="4"/>
        <v>-0.15544800087809563</v>
      </c>
      <c r="N42" s="522"/>
    </row>
    <row r="43" spans="1:14">
      <c r="A43" s="120">
        <f t="shared" si="5"/>
        <v>33</v>
      </c>
      <c r="B43" s="661" t="s">
        <v>2684</v>
      </c>
      <c r="C43" s="956">
        <f t="shared" ref="C43:C59" si="7">SUM(D43:E43)</f>
        <v>18769248.559999999</v>
      </c>
      <c r="D43" s="1145">
        <v>24.560000000000002</v>
      </c>
      <c r="E43" s="1145">
        <v>18769224</v>
      </c>
      <c r="F43" s="957" t="s">
        <v>615</v>
      </c>
      <c r="G43" s="1327">
        <f t="shared" si="6"/>
        <v>-18769224</v>
      </c>
      <c r="H43" s="1145">
        <v>0</v>
      </c>
      <c r="I43" s="1145">
        <v>-18769224</v>
      </c>
      <c r="J43" s="1315">
        <f t="shared" ref="J43:J59" si="8">SUM(K43:L43)</f>
        <v>24.560000000000002</v>
      </c>
      <c r="K43" s="1315">
        <f t="shared" ref="K43:K59" si="9">D43+H43</f>
        <v>24.560000000000002</v>
      </c>
      <c r="L43" s="1315">
        <f t="shared" ref="L43:L59" si="10">E43+I43</f>
        <v>0</v>
      </c>
      <c r="N43" s="522"/>
    </row>
    <row r="44" spans="1:14">
      <c r="A44" s="120">
        <f t="shared" ref="A44:A63" si="11">A43+1</f>
        <v>34</v>
      </c>
      <c r="B44" s="661" t="s">
        <v>2685</v>
      </c>
      <c r="C44" s="956">
        <f t="shared" si="7"/>
        <v>9880802.8300000001</v>
      </c>
      <c r="D44" s="1145">
        <v>2225.2299809298802</v>
      </c>
      <c r="E44" s="1145">
        <v>9878577.6000190694</v>
      </c>
      <c r="F44" s="957" t="s">
        <v>615</v>
      </c>
      <c r="G44" s="1327">
        <f t="shared" si="6"/>
        <v>-6876266.3374832012</v>
      </c>
      <c r="H44" s="1145">
        <v>0</v>
      </c>
      <c r="I44" s="1145">
        <v>-6876266.3374832012</v>
      </c>
      <c r="J44" s="1315">
        <f t="shared" si="8"/>
        <v>3004536.492516798</v>
      </c>
      <c r="K44" s="1315">
        <f t="shared" si="9"/>
        <v>2225.2299809298802</v>
      </c>
      <c r="L44" s="1315">
        <f t="shared" si="10"/>
        <v>3002311.2625358682</v>
      </c>
      <c r="N44" s="522"/>
    </row>
    <row r="45" spans="1:14">
      <c r="A45" s="120">
        <f t="shared" si="11"/>
        <v>35</v>
      </c>
      <c r="B45" s="661" t="s">
        <v>1442</v>
      </c>
      <c r="C45" s="956">
        <f t="shared" si="7"/>
        <v>242950.01</v>
      </c>
      <c r="D45" s="1145">
        <v>0</v>
      </c>
      <c r="E45" s="1145">
        <v>242950.01</v>
      </c>
      <c r="F45" s="957"/>
      <c r="G45" s="1327">
        <f t="shared" si="6"/>
        <v>0</v>
      </c>
      <c r="H45" s="1145"/>
      <c r="I45" s="1145"/>
      <c r="J45" s="1315">
        <f t="shared" si="8"/>
        <v>242950.01</v>
      </c>
      <c r="K45" s="1315">
        <f t="shared" si="9"/>
        <v>0</v>
      </c>
      <c r="L45" s="1315">
        <f t="shared" si="10"/>
        <v>242950.01</v>
      </c>
    </row>
    <row r="46" spans="1:14">
      <c r="A46" s="120">
        <f t="shared" si="11"/>
        <v>36</v>
      </c>
      <c r="B46" s="661" t="s">
        <v>1443</v>
      </c>
      <c r="C46" s="956">
        <f t="shared" si="7"/>
        <v>1330451.2800000003</v>
      </c>
      <c r="D46" s="1145">
        <v>942210.36301308894</v>
      </c>
      <c r="E46" s="1145">
        <v>388240.91698691121</v>
      </c>
      <c r="F46" s="957"/>
      <c r="G46" s="1327">
        <f t="shared" si="6"/>
        <v>0</v>
      </c>
      <c r="H46" s="1145"/>
      <c r="I46" s="1145"/>
      <c r="J46" s="1315">
        <f t="shared" si="8"/>
        <v>1330451.2800000003</v>
      </c>
      <c r="K46" s="1315">
        <f t="shared" si="9"/>
        <v>942210.36301308894</v>
      </c>
      <c r="L46" s="1315">
        <f t="shared" si="10"/>
        <v>388240.91698691121</v>
      </c>
    </row>
    <row r="47" spans="1:14">
      <c r="A47" s="120">
        <f t="shared" si="11"/>
        <v>37</v>
      </c>
      <c r="B47" s="661" t="s">
        <v>1444</v>
      </c>
      <c r="C47" s="956">
        <f t="shared" si="7"/>
        <v>1963153.16</v>
      </c>
      <c r="D47" s="1145">
        <v>1479631.8612061054</v>
      </c>
      <c r="E47" s="1145">
        <v>483521.29879389447</v>
      </c>
      <c r="F47" s="957"/>
      <c r="G47" s="1327">
        <f t="shared" si="6"/>
        <v>0</v>
      </c>
      <c r="H47" s="1145"/>
      <c r="I47" s="1145"/>
      <c r="J47" s="1315">
        <f t="shared" si="8"/>
        <v>1963153.16</v>
      </c>
      <c r="K47" s="1315">
        <f t="shared" si="9"/>
        <v>1479631.8612061054</v>
      </c>
      <c r="L47" s="1315">
        <f t="shared" si="10"/>
        <v>483521.29879389447</v>
      </c>
    </row>
    <row r="48" spans="1:14">
      <c r="A48" s="120">
        <f t="shared" si="11"/>
        <v>38</v>
      </c>
      <c r="B48" s="661" t="s">
        <v>1445</v>
      </c>
      <c r="C48" s="956">
        <f t="shared" si="7"/>
        <v>69480.739999999758</v>
      </c>
      <c r="D48" s="1145">
        <v>425570.96529117983</v>
      </c>
      <c r="E48" s="1145">
        <v>-356090.22529118008</v>
      </c>
      <c r="F48" s="957"/>
      <c r="G48" s="1327">
        <f t="shared" si="6"/>
        <v>0</v>
      </c>
      <c r="H48" s="1145"/>
      <c r="I48" s="1145"/>
      <c r="J48" s="1315">
        <f t="shared" si="8"/>
        <v>69480.739999999758</v>
      </c>
      <c r="K48" s="1315">
        <f t="shared" si="9"/>
        <v>425570.96529117983</v>
      </c>
      <c r="L48" s="1315">
        <f t="shared" si="10"/>
        <v>-356090.22529118008</v>
      </c>
    </row>
    <row r="49" spans="1:12">
      <c r="A49" s="120">
        <f t="shared" si="11"/>
        <v>39</v>
      </c>
      <c r="B49" s="661" t="s">
        <v>1446</v>
      </c>
      <c r="C49" s="956">
        <f t="shared" si="7"/>
        <v>1952397.5699999998</v>
      </c>
      <c r="D49" s="1145">
        <v>1230389.7809359657</v>
      </c>
      <c r="E49" s="1145">
        <v>722007.78906403424</v>
      </c>
      <c r="F49" s="957"/>
      <c r="G49" s="1327">
        <f t="shared" si="6"/>
        <v>0</v>
      </c>
      <c r="H49" s="1145"/>
      <c r="I49" s="1145"/>
      <c r="J49" s="1315">
        <f t="shared" si="8"/>
        <v>1952397.5699999998</v>
      </c>
      <c r="K49" s="1315">
        <f t="shared" si="9"/>
        <v>1230389.7809359657</v>
      </c>
      <c r="L49" s="1315">
        <f t="shared" si="10"/>
        <v>722007.78906403424</v>
      </c>
    </row>
    <row r="50" spans="1:12">
      <c r="A50" s="120">
        <f t="shared" si="11"/>
        <v>40</v>
      </c>
      <c r="B50" s="517" t="s">
        <v>1834</v>
      </c>
      <c r="C50" s="956">
        <f t="shared" si="7"/>
        <v>5512531.4499999993</v>
      </c>
      <c r="D50" s="1145">
        <v>970207.06</v>
      </c>
      <c r="E50" s="1145">
        <v>4542324.3899999997</v>
      </c>
      <c r="F50" s="957"/>
      <c r="G50" s="1327">
        <f t="shared" si="6"/>
        <v>0</v>
      </c>
      <c r="H50" s="1145"/>
      <c r="I50" s="1145"/>
      <c r="J50" s="1315">
        <f t="shared" si="8"/>
        <v>5512531.4499999993</v>
      </c>
      <c r="K50" s="1315">
        <f t="shared" si="9"/>
        <v>970207.06</v>
      </c>
      <c r="L50" s="1315">
        <f t="shared" si="10"/>
        <v>4542324.3899999997</v>
      </c>
    </row>
    <row r="51" spans="1:12">
      <c r="A51" s="120">
        <f t="shared" si="11"/>
        <v>41</v>
      </c>
      <c r="B51" s="661" t="s">
        <v>1447</v>
      </c>
      <c r="C51" s="956">
        <f t="shared" si="7"/>
        <v>1655072.69</v>
      </c>
      <c r="D51" s="1145">
        <v>744.12999999999988</v>
      </c>
      <c r="E51" s="1145">
        <v>1654328.56</v>
      </c>
      <c r="F51" s="957"/>
      <c r="G51" s="1327">
        <f t="shared" si="6"/>
        <v>0</v>
      </c>
      <c r="H51" s="1145"/>
      <c r="I51" s="1145"/>
      <c r="J51" s="1315">
        <f t="shared" si="8"/>
        <v>1655072.69</v>
      </c>
      <c r="K51" s="1315">
        <f t="shared" si="9"/>
        <v>744.12999999999988</v>
      </c>
      <c r="L51" s="1315">
        <f t="shared" si="10"/>
        <v>1654328.56</v>
      </c>
    </row>
    <row r="52" spans="1:12">
      <c r="A52" s="120">
        <f t="shared" si="11"/>
        <v>42</v>
      </c>
      <c r="B52" s="661" t="s">
        <v>1448</v>
      </c>
      <c r="C52" s="956">
        <f t="shared" si="7"/>
        <v>9344323.3500000015</v>
      </c>
      <c r="D52" s="1145">
        <v>1974104.7188820143</v>
      </c>
      <c r="E52" s="1145">
        <v>7370218.6311179874</v>
      </c>
      <c r="F52" s="957" t="s">
        <v>617</v>
      </c>
      <c r="G52" s="1327">
        <f t="shared" si="6"/>
        <v>-4213791.8000000007</v>
      </c>
      <c r="H52" s="1145">
        <v>-7563.5265959953003</v>
      </c>
      <c r="I52" s="1145">
        <v>-4206228.273404005</v>
      </c>
      <c r="J52" s="1315">
        <f t="shared" si="8"/>
        <v>5130531.5500000017</v>
      </c>
      <c r="K52" s="1315">
        <f t="shared" si="9"/>
        <v>1966541.192286019</v>
      </c>
      <c r="L52" s="1315">
        <f t="shared" si="10"/>
        <v>3163990.3577139825</v>
      </c>
    </row>
    <row r="53" spans="1:12">
      <c r="A53" s="120">
        <f t="shared" si="11"/>
        <v>43</v>
      </c>
      <c r="B53" s="661" t="s">
        <v>1449</v>
      </c>
      <c r="C53" s="956">
        <f t="shared" si="7"/>
        <v>4912678.4600000018</v>
      </c>
      <c r="D53" s="1145">
        <v>2815366.6513828742</v>
      </c>
      <c r="E53" s="1145">
        <v>2097311.8086171276</v>
      </c>
      <c r="F53" s="957"/>
      <c r="G53" s="1327">
        <f t="shared" si="6"/>
        <v>0</v>
      </c>
      <c r="H53" s="1145"/>
      <c r="I53" s="1145"/>
      <c r="J53" s="1315">
        <f t="shared" si="8"/>
        <v>4912678.4600000018</v>
      </c>
      <c r="K53" s="1315">
        <f t="shared" si="9"/>
        <v>2815366.6513828742</v>
      </c>
      <c r="L53" s="1315">
        <f t="shared" si="10"/>
        <v>2097311.8086171276</v>
      </c>
    </row>
    <row r="54" spans="1:12">
      <c r="A54" s="120">
        <f t="shared" si="11"/>
        <v>44</v>
      </c>
      <c r="B54" s="661" t="s">
        <v>1450</v>
      </c>
      <c r="C54" s="956">
        <f t="shared" si="7"/>
        <v>17986496.110000003</v>
      </c>
      <c r="D54" s="1145">
        <v>2655912.7903451058</v>
      </c>
      <c r="E54" s="1145">
        <v>15330583.319654897</v>
      </c>
      <c r="F54" s="957"/>
      <c r="G54" s="1326">
        <f t="shared" si="6"/>
        <v>0</v>
      </c>
      <c r="H54" s="1145"/>
      <c r="I54" s="1145"/>
      <c r="J54" s="1315">
        <f t="shared" si="8"/>
        <v>17986496.110000003</v>
      </c>
      <c r="K54" s="1315">
        <f t="shared" si="9"/>
        <v>2655912.7903451058</v>
      </c>
      <c r="L54" s="1315">
        <f t="shared" si="10"/>
        <v>15330583.319654897</v>
      </c>
    </row>
    <row r="55" spans="1:12">
      <c r="A55" s="120">
        <f t="shared" si="11"/>
        <v>45</v>
      </c>
      <c r="B55" s="661" t="s">
        <v>1643</v>
      </c>
      <c r="C55" s="956">
        <f t="shared" si="7"/>
        <v>6638413.8500000006</v>
      </c>
      <c r="D55" s="1145">
        <v>1696790.28</v>
      </c>
      <c r="E55" s="1145">
        <v>4941623.57</v>
      </c>
      <c r="F55" s="957"/>
      <c r="G55" s="1326">
        <f t="shared" si="6"/>
        <v>0</v>
      </c>
      <c r="H55" s="1145"/>
      <c r="I55" s="1145"/>
      <c r="J55" s="1315">
        <f t="shared" si="8"/>
        <v>6638413.8500000006</v>
      </c>
      <c r="K55" s="1315">
        <f t="shared" si="9"/>
        <v>1696790.28</v>
      </c>
      <c r="L55" s="1315">
        <f t="shared" si="10"/>
        <v>4941623.57</v>
      </c>
    </row>
    <row r="56" spans="1:12">
      <c r="A56" s="120">
        <f t="shared" si="11"/>
        <v>46</v>
      </c>
      <c r="B56" s="661" t="s">
        <v>1451</v>
      </c>
      <c r="C56" s="956">
        <f t="shared" si="7"/>
        <v>393016.65</v>
      </c>
      <c r="D56" s="1145">
        <v>0</v>
      </c>
      <c r="E56" s="1145">
        <v>393016.65</v>
      </c>
      <c r="F56" s="957"/>
      <c r="G56" s="1327">
        <f t="shared" si="6"/>
        <v>0</v>
      </c>
      <c r="H56" s="1145"/>
      <c r="I56" s="1145"/>
      <c r="J56" s="1315">
        <f t="shared" si="8"/>
        <v>393016.65</v>
      </c>
      <c r="K56" s="1315">
        <f t="shared" si="9"/>
        <v>0</v>
      </c>
      <c r="L56" s="1315">
        <f t="shared" si="10"/>
        <v>393016.65</v>
      </c>
    </row>
    <row r="57" spans="1:12">
      <c r="A57" s="120">
        <f t="shared" si="11"/>
        <v>47</v>
      </c>
      <c r="B57" s="661" t="s">
        <v>1452</v>
      </c>
      <c r="C57" s="956">
        <f t="shared" si="7"/>
        <v>388986.69</v>
      </c>
      <c r="D57" s="1145">
        <v>203477.59688660022</v>
      </c>
      <c r="E57" s="1145">
        <v>185509.09311339978</v>
      </c>
      <c r="F57" s="957"/>
      <c r="G57" s="1327">
        <f t="shared" si="6"/>
        <v>0</v>
      </c>
      <c r="H57" s="1145"/>
      <c r="I57" s="1145"/>
      <c r="J57" s="1315">
        <f t="shared" si="8"/>
        <v>388986.69</v>
      </c>
      <c r="K57" s="1315">
        <f t="shared" si="9"/>
        <v>203477.59688660022</v>
      </c>
      <c r="L57" s="1315">
        <f t="shared" si="10"/>
        <v>185509.09311339978</v>
      </c>
    </row>
    <row r="58" spans="1:12">
      <c r="A58" s="120">
        <f t="shared" si="11"/>
        <v>48</v>
      </c>
      <c r="B58" s="661" t="s">
        <v>1453</v>
      </c>
      <c r="C58" s="956">
        <f t="shared" si="7"/>
        <v>2321.62</v>
      </c>
      <c r="D58" s="1145">
        <v>0</v>
      </c>
      <c r="E58" s="1145">
        <v>2321.62</v>
      </c>
      <c r="F58" s="957"/>
      <c r="G58" s="1327">
        <f t="shared" si="6"/>
        <v>0</v>
      </c>
      <c r="H58" s="1145"/>
      <c r="I58" s="1145"/>
      <c r="J58" s="1315">
        <f t="shared" si="8"/>
        <v>2321.62</v>
      </c>
      <c r="K58" s="1315">
        <f t="shared" si="9"/>
        <v>0</v>
      </c>
      <c r="L58" s="1315">
        <f t="shared" si="10"/>
        <v>2321.62</v>
      </c>
    </row>
    <row r="59" spans="1:12" ht="15">
      <c r="A59" s="120">
        <f t="shared" si="11"/>
        <v>49</v>
      </c>
      <c r="B59" s="661" t="s">
        <v>1454</v>
      </c>
      <c r="C59" s="956">
        <f t="shared" si="7"/>
        <v>2970933.63</v>
      </c>
      <c r="D59" s="1145">
        <v>1053186.9550977601</v>
      </c>
      <c r="E59" s="1145">
        <v>1917746.67490224</v>
      </c>
      <c r="F59" s="464"/>
      <c r="G59" s="1327">
        <f t="shared" si="6"/>
        <v>0</v>
      </c>
      <c r="H59" s="1146"/>
      <c r="I59" s="1146"/>
      <c r="J59" s="1315">
        <f t="shared" si="8"/>
        <v>2970933.63</v>
      </c>
      <c r="K59" s="1315">
        <f t="shared" si="9"/>
        <v>1053186.9550977601</v>
      </c>
      <c r="L59" s="1315">
        <f t="shared" si="10"/>
        <v>1917746.67490224</v>
      </c>
    </row>
    <row r="60" spans="1:12" ht="15">
      <c r="A60" s="120">
        <f t="shared" si="11"/>
        <v>50</v>
      </c>
      <c r="B60" s="584" t="s">
        <v>561</v>
      </c>
      <c r="C60" s="961" t="s">
        <v>86</v>
      </c>
      <c r="D60" s="961" t="s">
        <v>86</v>
      </c>
      <c r="E60" s="961" t="s">
        <v>86</v>
      </c>
      <c r="F60" s="961" t="s">
        <v>86</v>
      </c>
      <c r="G60" s="1326">
        <f t="shared" si="6"/>
        <v>0</v>
      </c>
      <c r="H60" s="961" t="s">
        <v>86</v>
      </c>
      <c r="I60" s="961" t="s">
        <v>86</v>
      </c>
      <c r="J60" s="465"/>
      <c r="K60" s="465"/>
      <c r="L60" s="465"/>
    </row>
    <row r="61" spans="1:12">
      <c r="A61" s="120">
        <f t="shared" si="11"/>
        <v>51</v>
      </c>
      <c r="B61" s="661" t="s">
        <v>2458</v>
      </c>
      <c r="C61" s="962">
        <v>0</v>
      </c>
      <c r="D61" s="962">
        <v>0</v>
      </c>
      <c r="E61" s="962">
        <v>0</v>
      </c>
      <c r="F61" s="975"/>
      <c r="G61" s="1317">
        <f t="shared" si="6"/>
        <v>7813419.4487173147</v>
      </c>
      <c r="H61" s="963">
        <f>+C87*C193</f>
        <v>7813419.4487173147</v>
      </c>
      <c r="I61" s="963">
        <v>0</v>
      </c>
      <c r="J61" s="964">
        <f>SUM(K61:L61)</f>
        <v>7813419.4487173147</v>
      </c>
      <c r="K61" s="964">
        <f>D61+H61</f>
        <v>7813419.4487173147</v>
      </c>
      <c r="L61" s="964">
        <f>E61+I61</f>
        <v>0</v>
      </c>
    </row>
    <row r="62" spans="1:12">
      <c r="A62" s="120">
        <f t="shared" si="11"/>
        <v>52</v>
      </c>
      <c r="B62" s="466" t="s">
        <v>1455</v>
      </c>
      <c r="C62" s="956">
        <f>SUM(D62:E62)</f>
        <v>221093098.09</v>
      </c>
      <c r="D62" s="965">
        <f>SUM(D11:D61)</f>
        <v>76684120.654988468</v>
      </c>
      <c r="E62" s="965">
        <f>SUM(E11:E61)</f>
        <v>144408977.43501154</v>
      </c>
      <c r="F62" s="966"/>
      <c r="G62" s="1328">
        <f t="shared" ref="G62:L62" si="12">SUM(G11:G61)</f>
        <v>-44297136.15421389</v>
      </c>
      <c r="H62" s="967">
        <f t="shared" si="12"/>
        <v>7624731.4009191077</v>
      </c>
      <c r="I62" s="967">
        <f t="shared" si="12"/>
        <v>-51921867.555133</v>
      </c>
      <c r="J62" s="967">
        <f t="shared" si="12"/>
        <v>176795961.93578613</v>
      </c>
      <c r="K62" s="967">
        <f t="shared" si="12"/>
        <v>84308852.055907577</v>
      </c>
      <c r="L62" s="967">
        <f t="shared" si="12"/>
        <v>92487109.879878566</v>
      </c>
    </row>
    <row r="63" spans="1:12">
      <c r="A63" s="120">
        <f t="shared" si="11"/>
        <v>53</v>
      </c>
      <c r="B63" s="563"/>
      <c r="C63" s="968"/>
      <c r="D63" s="969"/>
      <c r="E63" s="969"/>
      <c r="F63" s="970"/>
      <c r="G63" s="971"/>
      <c r="H63" s="972"/>
      <c r="I63" s="972"/>
      <c r="J63" s="663"/>
      <c r="K63" s="663"/>
      <c r="L63" s="663"/>
    </row>
    <row r="64" spans="1:12">
      <c r="A64" s="635"/>
      <c r="B64" s="467"/>
      <c r="C64" s="969"/>
      <c r="D64" s="969"/>
      <c r="E64" s="969"/>
      <c r="F64" s="970"/>
      <c r="G64" s="973"/>
      <c r="H64" s="969"/>
      <c r="I64" s="969"/>
      <c r="J64" s="969"/>
      <c r="K64" s="969"/>
      <c r="L64" s="969"/>
    </row>
    <row r="65" spans="1:12">
      <c r="A65" s="635"/>
      <c r="B65" s="454" t="s">
        <v>391</v>
      </c>
      <c r="C65" s="454" t="s">
        <v>375</v>
      </c>
      <c r="D65" s="454" t="s">
        <v>376</v>
      </c>
      <c r="E65" s="454" t="s">
        <v>377</v>
      </c>
      <c r="F65" s="455" t="s">
        <v>378</v>
      </c>
      <c r="G65" s="454" t="s">
        <v>379</v>
      </c>
      <c r="H65" s="454" t="s">
        <v>380</v>
      </c>
      <c r="I65" s="454" t="s">
        <v>593</v>
      </c>
      <c r="J65" s="454" t="s">
        <v>1040</v>
      </c>
      <c r="K65" s="454" t="s">
        <v>1056</v>
      </c>
      <c r="L65" s="454" t="s">
        <v>1059</v>
      </c>
    </row>
    <row r="66" spans="1:12">
      <c r="A66" s="635"/>
      <c r="B66" s="467"/>
      <c r="C66" s="616" t="s">
        <v>1401</v>
      </c>
      <c r="D66" s="452"/>
      <c r="E66" s="452"/>
      <c r="F66" s="949" t="s">
        <v>393</v>
      </c>
      <c r="G66" s="616" t="s">
        <v>1402</v>
      </c>
      <c r="H66" s="456"/>
      <c r="I66" s="456"/>
      <c r="J66" s="616" t="s">
        <v>1403</v>
      </c>
      <c r="K66" s="616" t="s">
        <v>1404</v>
      </c>
      <c r="L66" s="617" t="s">
        <v>1405</v>
      </c>
    </row>
    <row r="67" spans="1:12">
      <c r="A67" s="635"/>
      <c r="C67" s="968"/>
      <c r="D67" s="969"/>
      <c r="E67" s="969"/>
      <c r="F67" s="970"/>
      <c r="G67" s="971"/>
      <c r="H67" s="969"/>
      <c r="I67" s="969"/>
      <c r="J67" s="663"/>
      <c r="K67" s="663"/>
      <c r="L67" s="663"/>
    </row>
    <row r="68" spans="1:12">
      <c r="A68" s="635"/>
      <c r="B68" s="1398" t="s">
        <v>1406</v>
      </c>
      <c r="C68" s="1400" t="s">
        <v>1407</v>
      </c>
      <c r="D68" s="1400"/>
      <c r="E68" s="1400"/>
      <c r="F68" s="458"/>
      <c r="G68" s="1401" t="s">
        <v>1408</v>
      </c>
      <c r="H68" s="1401"/>
      <c r="I68" s="1402"/>
      <c r="J68" s="1404" t="s">
        <v>1409</v>
      </c>
      <c r="K68" s="1401"/>
      <c r="L68" s="1402"/>
    </row>
    <row r="69" spans="1:12">
      <c r="A69" s="635"/>
      <c r="B69" s="1399"/>
      <c r="C69" s="948" t="s">
        <v>215</v>
      </c>
      <c r="D69" s="948" t="s">
        <v>1410</v>
      </c>
      <c r="E69" s="459" t="s">
        <v>1411</v>
      </c>
      <c r="F69" s="460" t="s">
        <v>1343</v>
      </c>
      <c r="G69" s="459" t="s">
        <v>215</v>
      </c>
      <c r="H69" s="459" t="s">
        <v>1410</v>
      </c>
      <c r="I69" s="459" t="s">
        <v>1411</v>
      </c>
      <c r="J69" s="948" t="s">
        <v>215</v>
      </c>
      <c r="K69" s="459" t="s">
        <v>1410</v>
      </c>
      <c r="L69" s="459" t="s">
        <v>1411</v>
      </c>
    </row>
    <row r="70" spans="1:12">
      <c r="A70" s="635"/>
      <c r="B70" s="468" t="s">
        <v>1456</v>
      </c>
      <c r="C70" s="274"/>
      <c r="D70" s="274"/>
      <c r="E70" s="462"/>
      <c r="F70" s="463"/>
      <c r="G70" s="462"/>
      <c r="H70" s="462"/>
      <c r="I70" s="462"/>
      <c r="J70" s="274"/>
      <c r="K70" s="462"/>
      <c r="L70" s="462"/>
    </row>
    <row r="71" spans="1:12">
      <c r="A71" s="120">
        <f>A63+1</f>
        <v>54</v>
      </c>
      <c r="B71" s="661" t="s">
        <v>1457</v>
      </c>
      <c r="C71" s="974">
        <f t="shared" ref="C71:C79" si="13">SUM(D71:E71)</f>
        <v>24220560.159999996</v>
      </c>
      <c r="D71" s="1145">
        <v>17289914.677293479</v>
      </c>
      <c r="E71" s="1145">
        <v>6930645.482706517</v>
      </c>
      <c r="F71" s="957"/>
      <c r="G71" s="971">
        <f t="shared" ref="G71:G80" si="14">SUM(H71:I71)</f>
        <v>0</v>
      </c>
      <c r="H71" s="529"/>
      <c r="I71" s="529"/>
      <c r="J71" s="1315">
        <f t="shared" ref="J71:J78" si="15">SUM(K71:L71)</f>
        <v>24220560.159999996</v>
      </c>
      <c r="K71" s="1315">
        <f t="shared" ref="K71:K80" si="16">D71+H71</f>
        <v>17289914.677293479</v>
      </c>
      <c r="L71" s="1315">
        <f t="shared" ref="L71:L80" si="17">E71+I71</f>
        <v>6930645.482706517</v>
      </c>
    </row>
    <row r="72" spans="1:12">
      <c r="A72" s="120">
        <f t="shared" ref="A72:A87" si="18">A71+1</f>
        <v>55</v>
      </c>
      <c r="B72" s="661" t="s">
        <v>1458</v>
      </c>
      <c r="C72" s="974">
        <f t="shared" si="13"/>
        <v>10791930.810000001</v>
      </c>
      <c r="D72" s="1145">
        <v>9155922.9743991364</v>
      </c>
      <c r="E72" s="1145">
        <v>1636007.8356008644</v>
      </c>
      <c r="F72" s="957"/>
      <c r="G72" s="971">
        <f t="shared" si="14"/>
        <v>0</v>
      </c>
      <c r="H72" s="529"/>
      <c r="I72" s="529"/>
      <c r="J72" s="1315">
        <f t="shared" si="15"/>
        <v>10791930.810000001</v>
      </c>
      <c r="K72" s="1315">
        <f t="shared" si="16"/>
        <v>9155922.9743991364</v>
      </c>
      <c r="L72" s="1315">
        <f t="shared" si="17"/>
        <v>1636007.8356008644</v>
      </c>
    </row>
    <row r="73" spans="1:12">
      <c r="A73" s="120">
        <f t="shared" si="18"/>
        <v>56</v>
      </c>
      <c r="B73" s="661" t="s">
        <v>1459</v>
      </c>
      <c r="C73" s="974">
        <f t="shared" si="13"/>
        <v>2386347.5300000007</v>
      </c>
      <c r="D73" s="1145">
        <v>2048868.7541387454</v>
      </c>
      <c r="E73" s="1145">
        <v>337478.77586125542</v>
      </c>
      <c r="F73" s="957"/>
      <c r="G73" s="971">
        <f t="shared" si="14"/>
        <v>0</v>
      </c>
      <c r="H73" s="529"/>
      <c r="I73" s="529"/>
      <c r="J73" s="1315">
        <f t="shared" si="15"/>
        <v>2386347.5300000007</v>
      </c>
      <c r="K73" s="1315">
        <f t="shared" si="16"/>
        <v>2048868.7541387454</v>
      </c>
      <c r="L73" s="1315">
        <f t="shared" si="17"/>
        <v>337478.77586125542</v>
      </c>
    </row>
    <row r="74" spans="1:12">
      <c r="A74" s="120">
        <f t="shared" si="18"/>
        <v>57</v>
      </c>
      <c r="B74" s="661" t="s">
        <v>1460</v>
      </c>
      <c r="C74" s="974">
        <f t="shared" si="13"/>
        <v>72359.460000000006</v>
      </c>
      <c r="D74" s="1145">
        <v>7390.4000511447894</v>
      </c>
      <c r="E74" s="1145">
        <v>64969.059948855211</v>
      </c>
      <c r="F74" s="957"/>
      <c r="G74" s="971">
        <f t="shared" si="14"/>
        <v>0</v>
      </c>
      <c r="H74" s="529"/>
      <c r="I74" s="529"/>
      <c r="J74" s="1315">
        <f t="shared" si="15"/>
        <v>72359.460000000006</v>
      </c>
      <c r="K74" s="1315">
        <f t="shared" si="16"/>
        <v>7390.4000511447894</v>
      </c>
      <c r="L74" s="1315">
        <f t="shared" si="17"/>
        <v>64969.059948855211</v>
      </c>
    </row>
    <row r="75" spans="1:12">
      <c r="A75" s="120">
        <f t="shared" si="18"/>
        <v>58</v>
      </c>
      <c r="B75" s="661" t="s">
        <v>1461</v>
      </c>
      <c r="C75" s="974">
        <f t="shared" si="13"/>
        <v>857666.39000000013</v>
      </c>
      <c r="D75" s="1145">
        <v>603961.30095756229</v>
      </c>
      <c r="E75" s="1145">
        <v>253705.08904243787</v>
      </c>
      <c r="F75" s="957"/>
      <c r="G75" s="971">
        <f t="shared" si="14"/>
        <v>0</v>
      </c>
      <c r="H75" s="529"/>
      <c r="I75" s="529"/>
      <c r="J75" s="1315">
        <f t="shared" si="15"/>
        <v>857666.39000000013</v>
      </c>
      <c r="K75" s="1315">
        <f t="shared" si="16"/>
        <v>603961.30095756229</v>
      </c>
      <c r="L75" s="1315">
        <f t="shared" si="17"/>
        <v>253705.08904243787</v>
      </c>
    </row>
    <row r="76" spans="1:12">
      <c r="A76" s="120">
        <f t="shared" si="18"/>
        <v>59</v>
      </c>
      <c r="B76" s="661" t="s">
        <v>1462</v>
      </c>
      <c r="C76" s="974">
        <f t="shared" si="13"/>
        <v>2677958.2899999996</v>
      </c>
      <c r="D76" s="1145">
        <v>2302749.9876782214</v>
      </c>
      <c r="E76" s="1145">
        <v>375208.30232177797</v>
      </c>
      <c r="F76" s="957"/>
      <c r="G76" s="971">
        <f t="shared" si="14"/>
        <v>0</v>
      </c>
      <c r="H76" s="529"/>
      <c r="I76" s="529"/>
      <c r="J76" s="1315">
        <f t="shared" si="15"/>
        <v>2677958.2899999996</v>
      </c>
      <c r="K76" s="1315">
        <f t="shared" si="16"/>
        <v>2302749.9876782214</v>
      </c>
      <c r="L76" s="1315">
        <f t="shared" si="17"/>
        <v>375208.30232177797</v>
      </c>
    </row>
    <row r="77" spans="1:12">
      <c r="A77" s="120">
        <f t="shared" si="18"/>
        <v>60</v>
      </c>
      <c r="B77" s="661" t="s">
        <v>1463</v>
      </c>
      <c r="C77" s="974">
        <f t="shared" si="13"/>
        <v>981243.77</v>
      </c>
      <c r="D77" s="1145">
        <v>848244.92439145315</v>
      </c>
      <c r="E77" s="1145">
        <v>132998.84560854686</v>
      </c>
      <c r="F77" s="957"/>
      <c r="G77" s="971">
        <f t="shared" si="14"/>
        <v>0</v>
      </c>
      <c r="H77" s="529"/>
      <c r="I77" s="529"/>
      <c r="J77" s="1315">
        <f t="shared" si="15"/>
        <v>981243.77</v>
      </c>
      <c r="K77" s="1315">
        <f t="shared" si="16"/>
        <v>848244.92439145315</v>
      </c>
      <c r="L77" s="1315">
        <f t="shared" si="17"/>
        <v>132998.84560854686</v>
      </c>
    </row>
    <row r="78" spans="1:12">
      <c r="A78" s="120">
        <f t="shared" si="18"/>
        <v>61</v>
      </c>
      <c r="B78" s="661" t="s">
        <v>1464</v>
      </c>
      <c r="C78" s="974">
        <f t="shared" si="13"/>
        <v>5744953.0399999982</v>
      </c>
      <c r="D78" s="1145">
        <v>1620665.3197741595</v>
      </c>
      <c r="E78" s="1145">
        <v>4124287.7202258389</v>
      </c>
      <c r="F78" s="957"/>
      <c r="G78" s="1050">
        <f t="shared" si="14"/>
        <v>0</v>
      </c>
      <c r="H78" s="529"/>
      <c r="I78" s="529"/>
      <c r="J78" s="1315">
        <f t="shared" si="15"/>
        <v>5744953.0399999982</v>
      </c>
      <c r="K78" s="1315">
        <f t="shared" si="16"/>
        <v>1620665.3197741595</v>
      </c>
      <c r="L78" s="1315">
        <f t="shared" si="17"/>
        <v>4124287.7202258389</v>
      </c>
    </row>
    <row r="79" spans="1:12">
      <c r="A79" s="120">
        <f t="shared" si="18"/>
        <v>62</v>
      </c>
      <c r="B79" s="661" t="s">
        <v>1465</v>
      </c>
      <c r="C79" s="974">
        <f t="shared" si="13"/>
        <v>475672744.4000001</v>
      </c>
      <c r="D79" s="1329">
        <v>203269818.45850527</v>
      </c>
      <c r="E79" s="1329">
        <v>272402925.94149482</v>
      </c>
      <c r="F79" s="1312" t="s">
        <v>2980</v>
      </c>
      <c r="G79" s="1326">
        <f t="shared" si="14"/>
        <v>-8126066.4400000013</v>
      </c>
      <c r="H79" s="1145">
        <v>-750467.88625109708</v>
      </c>
      <c r="I79" s="1145">
        <v>-7375598.5537489047</v>
      </c>
      <c r="J79" s="1315">
        <f>C79+G79</f>
        <v>467546677.9600001</v>
      </c>
      <c r="K79" s="1315">
        <f t="shared" si="16"/>
        <v>202519350.57225418</v>
      </c>
      <c r="L79" s="1315">
        <f t="shared" si="17"/>
        <v>265027327.38774592</v>
      </c>
    </row>
    <row r="80" spans="1:12">
      <c r="A80" s="120">
        <f t="shared" si="18"/>
        <v>63</v>
      </c>
      <c r="B80" s="661" t="s">
        <v>2459</v>
      </c>
      <c r="C80" s="962">
        <v>0</v>
      </c>
      <c r="D80" s="962">
        <v>0</v>
      </c>
      <c r="E80" s="962">
        <v>0</v>
      </c>
      <c r="F80" s="975"/>
      <c r="G80" s="1317">
        <f t="shared" si="14"/>
        <v>24163192.593198575</v>
      </c>
      <c r="H80" s="963">
        <f>+C87*C194</f>
        <v>24163192.593198575</v>
      </c>
      <c r="I80" s="963">
        <v>0</v>
      </c>
      <c r="J80" s="964">
        <f>SUM(K80:L80)</f>
        <v>24163192.593198575</v>
      </c>
      <c r="K80" s="964">
        <f t="shared" si="16"/>
        <v>24163192.593198575</v>
      </c>
      <c r="L80" s="964">
        <f t="shared" si="17"/>
        <v>0</v>
      </c>
    </row>
    <row r="81" spans="1:12">
      <c r="A81" s="120">
        <f t="shared" si="18"/>
        <v>64</v>
      </c>
      <c r="B81" s="467" t="s">
        <v>1466</v>
      </c>
      <c r="C81" s="1330">
        <f>SUM(C71:C80)</f>
        <v>523405763.85000008</v>
      </c>
      <c r="D81" s="1330">
        <f>SUM(D71:D80)</f>
        <v>237147536.79718918</v>
      </c>
      <c r="E81" s="1330">
        <f>SUM(E71:E80)</f>
        <v>286258227.05281091</v>
      </c>
      <c r="F81" s="1331"/>
      <c r="G81" s="1331">
        <f t="shared" ref="G81:L81" si="19">SUM(G71:G80)</f>
        <v>16037126.153198574</v>
      </c>
      <c r="H81" s="1330">
        <f t="shared" si="19"/>
        <v>23412724.706947479</v>
      </c>
      <c r="I81" s="1330">
        <f t="shared" si="19"/>
        <v>-7375598.5537489047</v>
      </c>
      <c r="J81" s="1330">
        <f t="shared" si="19"/>
        <v>539442890.00319862</v>
      </c>
      <c r="K81" s="1330">
        <f t="shared" si="19"/>
        <v>260560261.50413665</v>
      </c>
      <c r="L81" s="1330">
        <f t="shared" si="19"/>
        <v>278882628.499062</v>
      </c>
    </row>
    <row r="82" spans="1:12">
      <c r="A82" s="120">
        <f t="shared" si="18"/>
        <v>65</v>
      </c>
      <c r="B82" s="968"/>
      <c r="C82" s="1316"/>
      <c r="D82" s="1330"/>
      <c r="E82" s="1330"/>
      <c r="F82" s="1330"/>
      <c r="G82" s="1327"/>
      <c r="H82" s="1332"/>
      <c r="I82" s="1332"/>
      <c r="J82" s="1315"/>
      <c r="K82" s="1315"/>
      <c r="L82" s="1315"/>
    </row>
    <row r="83" spans="1:12">
      <c r="A83" s="120">
        <f t="shared" si="18"/>
        <v>66</v>
      </c>
      <c r="B83" s="467" t="s">
        <v>1467</v>
      </c>
      <c r="C83" s="1316">
        <f>+C62+C81</f>
        <v>744498861.94000006</v>
      </c>
      <c r="D83" s="1316">
        <f>D81+D62</f>
        <v>313831657.45217764</v>
      </c>
      <c r="E83" s="1316">
        <f>E81+E62</f>
        <v>430667204.48782241</v>
      </c>
      <c r="F83" s="1316"/>
      <c r="G83" s="1327">
        <f>+G62+G81</f>
        <v>-28260010.001015317</v>
      </c>
      <c r="H83" s="1315">
        <f>H81+H62</f>
        <v>31037456.107866585</v>
      </c>
      <c r="I83" s="1315">
        <f>I81+I62</f>
        <v>-59297466.108881906</v>
      </c>
      <c r="J83" s="1315">
        <f>J81+J62</f>
        <v>716238851.93898475</v>
      </c>
      <c r="K83" s="1315">
        <f>K81+K62</f>
        <v>344869113.56004423</v>
      </c>
      <c r="L83" s="1315">
        <f>L81+L62</f>
        <v>371369738.37894058</v>
      </c>
    </row>
    <row r="84" spans="1:12">
      <c r="A84" s="120">
        <f t="shared" si="18"/>
        <v>67</v>
      </c>
      <c r="B84" s="968"/>
      <c r="C84" s="968"/>
      <c r="D84" s="968"/>
      <c r="E84" s="968"/>
      <c r="F84" s="976"/>
      <c r="G84" s="977"/>
      <c r="H84" s="972"/>
      <c r="I84" s="972"/>
      <c r="J84" s="563"/>
      <c r="K84" s="563"/>
      <c r="L84" s="563"/>
    </row>
    <row r="85" spans="1:12">
      <c r="A85" s="120">
        <f t="shared" si="18"/>
        <v>68</v>
      </c>
      <c r="B85" s="661" t="s">
        <v>1468</v>
      </c>
      <c r="C85" s="978">
        <v>221093099</v>
      </c>
      <c r="D85" s="979" t="s">
        <v>1469</v>
      </c>
      <c r="E85" s="974" t="str">
        <f>"Must equal Line "&amp;A62&amp;", Column 2."</f>
        <v>Must equal Line 52, Column 2.</v>
      </c>
      <c r="F85" s="976"/>
      <c r="G85" s="469"/>
      <c r="H85" s="470"/>
      <c r="I85" s="470"/>
      <c r="J85" s="470"/>
      <c r="K85" s="470"/>
      <c r="L85" s="470"/>
    </row>
    <row r="86" spans="1:12">
      <c r="A86" s="120">
        <f t="shared" si="18"/>
        <v>69</v>
      </c>
      <c r="B86" s="661" t="s">
        <v>1470</v>
      </c>
      <c r="C86" s="978">
        <v>523405763</v>
      </c>
      <c r="D86" s="979" t="s">
        <v>2867</v>
      </c>
      <c r="E86" s="974" t="str">
        <f>"Must equal Line "&amp;A81&amp;", Column 2."</f>
        <v>Must equal Line 64, Column 2.</v>
      </c>
      <c r="F86" s="976"/>
      <c r="G86" s="971"/>
      <c r="H86" s="663"/>
      <c r="I86" s="663"/>
      <c r="J86" s="663"/>
      <c r="K86" s="663"/>
      <c r="L86" s="663"/>
    </row>
    <row r="87" spans="1:12">
      <c r="A87" s="120">
        <f t="shared" si="18"/>
        <v>70</v>
      </c>
      <c r="B87" s="661" t="s">
        <v>2460</v>
      </c>
      <c r="C87" s="980">
        <f>'20-AandG'!E63</f>
        <v>31976612.041915886</v>
      </c>
      <c r="D87" s="979" t="str">
        <f>"20-AandG, Note 2, "&amp;'20-AandG'!B63&amp;""</f>
        <v>20-AandG, Note 2, f</v>
      </c>
      <c r="E87" s="974"/>
      <c r="F87" s="635"/>
      <c r="G87" s="971"/>
      <c r="H87" s="663"/>
      <c r="I87" s="663"/>
      <c r="J87" s="663"/>
      <c r="K87" s="663"/>
      <c r="L87" s="663"/>
    </row>
    <row r="88" spans="1:12">
      <c r="A88" s="471"/>
      <c r="C88" s="472"/>
      <c r="D88" s="974"/>
      <c r="E88" s="974"/>
      <c r="F88" s="976"/>
      <c r="G88" s="971"/>
      <c r="H88" s="663"/>
      <c r="I88" s="663"/>
      <c r="J88" s="663"/>
      <c r="K88" s="663"/>
      <c r="L88" s="663"/>
    </row>
    <row r="89" spans="1:12">
      <c r="A89" s="563"/>
      <c r="B89" s="443" t="s">
        <v>1546</v>
      </c>
      <c r="C89" s="968"/>
      <c r="D89" s="968"/>
      <c r="E89" s="968"/>
      <c r="F89" s="976"/>
      <c r="G89" s="977"/>
      <c r="H89" s="563"/>
      <c r="I89" s="563"/>
      <c r="J89" s="563"/>
      <c r="K89" s="563"/>
      <c r="L89" s="563"/>
    </row>
    <row r="90" spans="1:12">
      <c r="A90" s="563"/>
      <c r="C90" s="968"/>
      <c r="D90" s="968"/>
      <c r="E90" s="968"/>
      <c r="F90" s="976"/>
      <c r="G90" s="977"/>
      <c r="H90" s="563"/>
      <c r="I90" s="563"/>
      <c r="J90" s="563"/>
      <c r="K90" s="563"/>
      <c r="L90" s="563"/>
    </row>
    <row r="91" spans="1:12">
      <c r="A91" s="563"/>
      <c r="B91" s="91" t="s">
        <v>391</v>
      </c>
      <c r="C91" s="454" t="s">
        <v>375</v>
      </c>
      <c r="D91" s="454" t="s">
        <v>376</v>
      </c>
      <c r="E91" s="454" t="s">
        <v>377</v>
      </c>
      <c r="F91" s="455" t="s">
        <v>378</v>
      </c>
      <c r="G91" s="454" t="s">
        <v>379</v>
      </c>
      <c r="H91" s="454" t="s">
        <v>380</v>
      </c>
      <c r="I91" s="454" t="s">
        <v>593</v>
      </c>
      <c r="J91" s="1051" t="s">
        <v>1040</v>
      </c>
      <c r="K91" s="380"/>
      <c r="L91" s="91"/>
    </row>
    <row r="92" spans="1:12">
      <c r="A92" s="563"/>
      <c r="C92" s="968" t="s">
        <v>1471</v>
      </c>
      <c r="D92" s="968" t="s">
        <v>1472</v>
      </c>
      <c r="E92" s="968" t="s">
        <v>1473</v>
      </c>
      <c r="F92" s="977" t="s">
        <v>1298</v>
      </c>
      <c r="G92" s="617" t="s">
        <v>1402</v>
      </c>
      <c r="H92" s="618" t="s">
        <v>1880</v>
      </c>
      <c r="I92" s="618" t="s">
        <v>1881</v>
      </c>
      <c r="J92" s="526"/>
      <c r="K92" s="968"/>
      <c r="L92" s="563"/>
    </row>
    <row r="93" spans="1:12">
      <c r="C93" s="968"/>
      <c r="D93" s="968"/>
      <c r="E93" s="968"/>
      <c r="F93" s="976"/>
      <c r="G93" s="977"/>
      <c r="H93" s="563"/>
      <c r="I93" s="563"/>
      <c r="J93" s="968"/>
      <c r="K93" s="968"/>
      <c r="L93" s="563"/>
    </row>
    <row r="94" spans="1:12">
      <c r="A94" s="457"/>
      <c r="B94" s="1403" t="s">
        <v>1406</v>
      </c>
      <c r="C94" s="1404" t="s">
        <v>1409</v>
      </c>
      <c r="D94" s="1401"/>
      <c r="E94" s="1402"/>
      <c r="F94" s="473" t="s">
        <v>1609</v>
      </c>
      <c r="G94" s="1395" t="s">
        <v>1474</v>
      </c>
      <c r="H94" s="1396"/>
      <c r="I94" s="1397"/>
      <c r="J94" s="1052" t="s">
        <v>1967</v>
      </c>
      <c r="K94" s="968"/>
    </row>
    <row r="95" spans="1:12">
      <c r="B95" s="1403"/>
      <c r="C95" s="948" t="s">
        <v>215</v>
      </c>
      <c r="D95" s="459" t="s">
        <v>1410</v>
      </c>
      <c r="E95" s="459" t="s">
        <v>1411</v>
      </c>
      <c r="F95" s="473" t="s">
        <v>475</v>
      </c>
      <c r="G95" s="948" t="s">
        <v>215</v>
      </c>
      <c r="H95" s="459" t="s">
        <v>1410</v>
      </c>
      <c r="I95" s="459" t="s">
        <v>1411</v>
      </c>
      <c r="J95" s="1001" t="s">
        <v>224</v>
      </c>
      <c r="K95" s="968"/>
      <c r="L95" s="563"/>
    </row>
    <row r="96" spans="1:12">
      <c r="A96" s="53" t="s">
        <v>360</v>
      </c>
      <c r="B96" s="461" t="s">
        <v>1412</v>
      </c>
      <c r="C96" s="274"/>
      <c r="D96" s="462"/>
      <c r="E96" s="462"/>
      <c r="F96" s="474"/>
      <c r="G96" s="274"/>
      <c r="H96" s="462"/>
      <c r="I96" s="462"/>
      <c r="J96" s="526"/>
      <c r="K96" s="968"/>
      <c r="L96" s="563"/>
    </row>
    <row r="97" spans="1:12">
      <c r="A97" s="120">
        <f>A87+1</f>
        <v>71</v>
      </c>
      <c r="B97" s="661" t="s">
        <v>1413</v>
      </c>
      <c r="C97" s="1316">
        <f t="shared" ref="C97:C112" si="20">J11</f>
        <v>7132767.9400000004</v>
      </c>
      <c r="D97" s="1316">
        <f t="shared" ref="D97:D112" si="21">K11</f>
        <v>3519700.4444488105</v>
      </c>
      <c r="E97" s="1316">
        <f t="shared" ref="E97:E112" si="22">L11</f>
        <v>3613067.4955511899</v>
      </c>
      <c r="F97" s="985">
        <f>J204</f>
        <v>0.38769978295393082</v>
      </c>
      <c r="G97" s="1319">
        <f t="shared" ref="G97:G128" si="23">SUM(H97:I97)</f>
        <v>2765372.5821987563</v>
      </c>
      <c r="H97" s="1319">
        <f t="shared" ref="H97:H128" si="24">D97*F97</f>
        <v>1364587.0983756576</v>
      </c>
      <c r="I97" s="1319">
        <f t="shared" ref="I97:I128" si="25">E97*F97</f>
        <v>1400785.4838230987</v>
      </c>
      <c r="J97" s="526" t="s">
        <v>2132</v>
      </c>
      <c r="K97" s="968"/>
      <c r="L97" s="563"/>
    </row>
    <row r="98" spans="1:12">
      <c r="A98" s="120">
        <f t="shared" ref="A98:A129" si="26">A97+1</f>
        <v>72</v>
      </c>
      <c r="B98" s="661" t="s">
        <v>1414</v>
      </c>
      <c r="C98" s="1316">
        <f t="shared" si="20"/>
        <v>147368.85</v>
      </c>
      <c r="D98" s="1316">
        <f t="shared" si="21"/>
        <v>0</v>
      </c>
      <c r="E98" s="1316">
        <f t="shared" si="22"/>
        <v>147368.85</v>
      </c>
      <c r="F98" s="985">
        <v>1</v>
      </c>
      <c r="G98" s="1319">
        <f t="shared" si="23"/>
        <v>147368.85</v>
      </c>
      <c r="H98" s="1319">
        <f t="shared" si="24"/>
        <v>0</v>
      </c>
      <c r="I98" s="1319">
        <f t="shared" si="25"/>
        <v>147368.85</v>
      </c>
      <c r="J98" s="1053" t="s">
        <v>2134</v>
      </c>
      <c r="K98" s="968"/>
      <c r="L98" s="563"/>
    </row>
    <row r="99" spans="1:12">
      <c r="A99" s="120">
        <f t="shared" si="26"/>
        <v>73</v>
      </c>
      <c r="B99" s="661" t="s">
        <v>1415</v>
      </c>
      <c r="C99" s="1316">
        <f t="shared" si="20"/>
        <v>0</v>
      </c>
      <c r="D99" s="1316">
        <f t="shared" si="21"/>
        <v>0</v>
      </c>
      <c r="E99" s="1316">
        <f t="shared" si="22"/>
        <v>0</v>
      </c>
      <c r="F99" s="985">
        <f>'27-Allocators'!D36</f>
        <v>0.3493195851567652</v>
      </c>
      <c r="G99" s="1319">
        <f t="shared" si="23"/>
        <v>0</v>
      </c>
      <c r="H99" s="1319">
        <f t="shared" si="24"/>
        <v>0</v>
      </c>
      <c r="I99" s="1319">
        <f t="shared" si="25"/>
        <v>0</v>
      </c>
      <c r="J99" s="526" t="str">
        <f>"27-Allocators Line "&amp;'27-Allocators'!A36&amp;""</f>
        <v>27-Allocators Line 30</v>
      </c>
      <c r="K99" s="968"/>
      <c r="L99" s="563"/>
    </row>
    <row r="100" spans="1:12">
      <c r="A100" s="120">
        <f t="shared" si="26"/>
        <v>74</v>
      </c>
      <c r="B100" s="661" t="s">
        <v>1416</v>
      </c>
      <c r="C100" s="1316">
        <f t="shared" si="20"/>
        <v>523249.69999999995</v>
      </c>
      <c r="D100" s="1316">
        <f t="shared" si="21"/>
        <v>245803.25389260246</v>
      </c>
      <c r="E100" s="1316">
        <f t="shared" si="22"/>
        <v>277446.4461073975</v>
      </c>
      <c r="F100" s="985">
        <f>'27-Allocators'!D36</f>
        <v>0.3493195851567652</v>
      </c>
      <c r="G100" s="1319">
        <f t="shared" si="23"/>
        <v>182781.36813740182</v>
      </c>
      <c r="H100" s="1319">
        <f t="shared" si="24"/>
        <v>85863.890679946926</v>
      </c>
      <c r="I100" s="1319">
        <f t="shared" si="25"/>
        <v>96917.477457454908</v>
      </c>
      <c r="J100" s="526" t="str">
        <f>"27-Allocators Line "&amp;'27-Allocators'!A36&amp;""</f>
        <v>27-Allocators Line 30</v>
      </c>
      <c r="K100" s="968"/>
      <c r="L100" s="563"/>
    </row>
    <row r="101" spans="1:12">
      <c r="A101" s="120">
        <f t="shared" si="26"/>
        <v>75</v>
      </c>
      <c r="B101" s="661" t="s">
        <v>1417</v>
      </c>
      <c r="C101" s="1316">
        <f t="shared" si="20"/>
        <v>9884566.6100000013</v>
      </c>
      <c r="D101" s="1316">
        <f t="shared" si="21"/>
        <v>7859613.1286844797</v>
      </c>
      <c r="E101" s="1316">
        <f t="shared" si="22"/>
        <v>2024953.4813155211</v>
      </c>
      <c r="F101" s="985">
        <f>'27-Allocators'!D36</f>
        <v>0.3493195851567652</v>
      </c>
      <c r="G101" s="1319">
        <f t="shared" si="23"/>
        <v>3452872.7076596133</v>
      </c>
      <c r="H101" s="1319">
        <f t="shared" si="24"/>
        <v>2745516.797604728</v>
      </c>
      <c r="I101" s="1319">
        <f t="shared" si="25"/>
        <v>707355.91005488532</v>
      </c>
      <c r="J101" s="526" t="str">
        <f>"27-Allocators Line "&amp;'27-Allocators'!A36&amp;""</f>
        <v>27-Allocators Line 30</v>
      </c>
      <c r="K101" s="968"/>
      <c r="L101" s="563"/>
    </row>
    <row r="102" spans="1:12">
      <c r="A102" s="120">
        <f t="shared" si="26"/>
        <v>76</v>
      </c>
      <c r="B102" s="661" t="s">
        <v>1418</v>
      </c>
      <c r="C102" s="1316">
        <f t="shared" si="20"/>
        <v>0</v>
      </c>
      <c r="D102" s="1316">
        <f t="shared" si="21"/>
        <v>0</v>
      </c>
      <c r="E102" s="1316">
        <f t="shared" si="22"/>
        <v>0</v>
      </c>
      <c r="F102" s="985">
        <v>0</v>
      </c>
      <c r="G102" s="1319">
        <f t="shared" si="23"/>
        <v>0</v>
      </c>
      <c r="H102" s="1319">
        <f t="shared" si="24"/>
        <v>0</v>
      </c>
      <c r="I102" s="1319">
        <f t="shared" si="25"/>
        <v>0</v>
      </c>
      <c r="J102" s="1053" t="s">
        <v>2135</v>
      </c>
      <c r="K102" s="968"/>
      <c r="L102" s="563"/>
    </row>
    <row r="103" spans="1:12">
      <c r="A103" s="120">
        <f t="shared" si="26"/>
        <v>77</v>
      </c>
      <c r="B103" s="661" t="s">
        <v>1419</v>
      </c>
      <c r="C103" s="1316">
        <f t="shared" si="20"/>
        <v>5180970.9600000009</v>
      </c>
      <c r="D103" s="1316">
        <f t="shared" si="21"/>
        <v>3963546.0231334683</v>
      </c>
      <c r="E103" s="1316">
        <f t="shared" si="22"/>
        <v>1217424.9368665328</v>
      </c>
      <c r="F103" s="985">
        <v>1</v>
      </c>
      <c r="G103" s="1319">
        <f t="shared" si="23"/>
        <v>5180970.9600000009</v>
      </c>
      <c r="H103" s="1319">
        <f t="shared" si="24"/>
        <v>3963546.0231334683</v>
      </c>
      <c r="I103" s="1319">
        <f t="shared" si="25"/>
        <v>1217424.9368665328</v>
      </c>
      <c r="J103" s="1053" t="s">
        <v>2134</v>
      </c>
      <c r="K103" s="968"/>
      <c r="L103" s="563"/>
    </row>
    <row r="104" spans="1:12">
      <c r="A104" s="120">
        <f t="shared" si="26"/>
        <v>78</v>
      </c>
      <c r="B104" s="661" t="s">
        <v>1420</v>
      </c>
      <c r="C104" s="1316">
        <f t="shared" si="20"/>
        <v>0</v>
      </c>
      <c r="D104" s="1316">
        <f t="shared" si="21"/>
        <v>0</v>
      </c>
      <c r="E104" s="1316">
        <f t="shared" si="22"/>
        <v>0</v>
      </c>
      <c r="F104" s="985">
        <v>0</v>
      </c>
      <c r="G104" s="1319">
        <f t="shared" si="23"/>
        <v>0</v>
      </c>
      <c r="H104" s="1319">
        <f t="shared" si="24"/>
        <v>0</v>
      </c>
      <c r="I104" s="1319">
        <f t="shared" si="25"/>
        <v>0</v>
      </c>
      <c r="J104" s="1053" t="s">
        <v>2135</v>
      </c>
      <c r="K104" s="974"/>
      <c r="L104" s="663"/>
    </row>
    <row r="105" spans="1:12">
      <c r="A105" s="120">
        <f t="shared" si="26"/>
        <v>79</v>
      </c>
      <c r="B105" s="661" t="s">
        <v>1421</v>
      </c>
      <c r="C105" s="1316">
        <f t="shared" si="20"/>
        <v>17148417.510000002</v>
      </c>
      <c r="D105" s="1316">
        <f t="shared" si="21"/>
        <v>14423322.76077345</v>
      </c>
      <c r="E105" s="1316">
        <f t="shared" si="22"/>
        <v>2725094.749226551</v>
      </c>
      <c r="F105" s="985">
        <f>'27-Allocators'!D42</f>
        <v>0.17710049423393739</v>
      </c>
      <c r="G105" s="1319">
        <f t="shared" si="23"/>
        <v>3036993.2163509061</v>
      </c>
      <c r="H105" s="1319">
        <f t="shared" si="24"/>
        <v>2554377.5894285762</v>
      </c>
      <c r="I105" s="1319">
        <f t="shared" si="25"/>
        <v>482615.62692232989</v>
      </c>
      <c r="J105" s="526" t="str">
        <f>"27-Allocators Line "&amp;'27-Allocators'!A42&amp;""</f>
        <v>27-Allocators Line 36</v>
      </c>
      <c r="K105" s="968"/>
      <c r="L105" s="563"/>
    </row>
    <row r="106" spans="1:12" ht="12.75" customHeight="1">
      <c r="A106" s="120">
        <f t="shared" si="26"/>
        <v>80</v>
      </c>
      <c r="B106" s="982" t="s">
        <v>1422</v>
      </c>
      <c r="C106" s="1318">
        <f t="shared" si="20"/>
        <v>4002506.2500000009</v>
      </c>
      <c r="D106" s="1318">
        <f t="shared" si="21"/>
        <v>2841206.1609331486</v>
      </c>
      <c r="E106" s="1318">
        <f t="shared" si="22"/>
        <v>1161300.0890668521</v>
      </c>
      <c r="F106" s="1062">
        <f>'27-Allocators'!D48</f>
        <v>0.13779630112008334</v>
      </c>
      <c r="G106" s="1320">
        <f t="shared" si="23"/>
        <v>551530.55646001571</v>
      </c>
      <c r="H106" s="1320">
        <f t="shared" si="24"/>
        <v>391507.69969618012</v>
      </c>
      <c r="I106" s="1320">
        <f t="shared" si="25"/>
        <v>160022.85676383556</v>
      </c>
      <c r="J106" s="526" t="str">
        <f>"27-Allocators Line "&amp;'27-Allocators'!A48&amp;""</f>
        <v>27-Allocators Line 42</v>
      </c>
      <c r="K106" s="974"/>
      <c r="L106" s="563"/>
    </row>
    <row r="107" spans="1:12">
      <c r="A107" s="120">
        <f t="shared" si="26"/>
        <v>81</v>
      </c>
      <c r="B107" s="661" t="s">
        <v>1423</v>
      </c>
      <c r="C107" s="1316">
        <f t="shared" si="20"/>
        <v>1032205.1200000001</v>
      </c>
      <c r="D107" s="1316">
        <f t="shared" si="21"/>
        <v>0</v>
      </c>
      <c r="E107" s="1316">
        <f t="shared" si="22"/>
        <v>1032205.1200000001</v>
      </c>
      <c r="F107" s="985">
        <v>1</v>
      </c>
      <c r="G107" s="1319">
        <f t="shared" si="23"/>
        <v>1032205.1200000001</v>
      </c>
      <c r="H107" s="1319">
        <f t="shared" si="24"/>
        <v>0</v>
      </c>
      <c r="I107" s="1319">
        <f t="shared" si="25"/>
        <v>1032205.1200000001</v>
      </c>
      <c r="J107" s="1053" t="s">
        <v>2134</v>
      </c>
      <c r="K107" s="968"/>
      <c r="L107" s="563"/>
    </row>
    <row r="108" spans="1:12">
      <c r="A108" s="120">
        <f t="shared" si="26"/>
        <v>82</v>
      </c>
      <c r="B108" s="661" t="s">
        <v>1424</v>
      </c>
      <c r="C108" s="1316">
        <f t="shared" si="20"/>
        <v>4733731.24</v>
      </c>
      <c r="D108" s="1316">
        <f t="shared" si="21"/>
        <v>3855138.5199945122</v>
      </c>
      <c r="E108" s="1316">
        <f t="shared" si="22"/>
        <v>878592.72000548814</v>
      </c>
      <c r="F108" s="985">
        <f>'27-Allocators'!D54</f>
        <v>0.46754315015460779</v>
      </c>
      <c r="G108" s="1319">
        <f t="shared" si="23"/>
        <v>2213223.6159348777</v>
      </c>
      <c r="H108" s="1319">
        <f t="shared" si="24"/>
        <v>1802443.6079206066</v>
      </c>
      <c r="I108" s="1319">
        <f t="shared" si="25"/>
        <v>410780.00801427121</v>
      </c>
      <c r="J108" s="526" t="str">
        <f>"27-Allocators Line "&amp;'27-Allocators'!A54&amp;""</f>
        <v>27-Allocators Line 48</v>
      </c>
      <c r="K108" s="968"/>
      <c r="L108" s="563"/>
    </row>
    <row r="109" spans="1:12">
      <c r="A109" s="120">
        <f t="shared" si="26"/>
        <v>83</v>
      </c>
      <c r="B109" s="661" t="s">
        <v>1425</v>
      </c>
      <c r="C109" s="1316">
        <f t="shared" si="20"/>
        <v>1390335.0200000003</v>
      </c>
      <c r="D109" s="1316">
        <f t="shared" si="21"/>
        <v>1156421.97503766</v>
      </c>
      <c r="E109" s="1316">
        <f t="shared" si="22"/>
        <v>233913.0449623403</v>
      </c>
      <c r="F109" s="985">
        <f>'27-Allocators'!D60</f>
        <v>1.4473399263697395E-2</v>
      </c>
      <c r="G109" s="1319">
        <f t="shared" si="23"/>
        <v>20122.873854760706</v>
      </c>
      <c r="H109" s="1319">
        <f t="shared" si="24"/>
        <v>16737.356962033555</v>
      </c>
      <c r="I109" s="1319">
        <f t="shared" si="25"/>
        <v>3385.5168927271516</v>
      </c>
      <c r="J109" s="526" t="str">
        <f>"27-Allocators Line "&amp;'27-Allocators'!A60&amp;""</f>
        <v>27-Allocators Line 54</v>
      </c>
      <c r="K109" s="968"/>
      <c r="L109" s="563"/>
    </row>
    <row r="110" spans="1:12">
      <c r="A110" s="120">
        <f t="shared" si="26"/>
        <v>84</v>
      </c>
      <c r="B110" s="661" t="s">
        <v>1426</v>
      </c>
      <c r="C110" s="1316">
        <f t="shared" si="20"/>
        <v>0</v>
      </c>
      <c r="D110" s="1316">
        <f t="shared" si="21"/>
        <v>0</v>
      </c>
      <c r="E110" s="1316">
        <f t="shared" si="22"/>
        <v>0</v>
      </c>
      <c r="F110" s="985">
        <v>0</v>
      </c>
      <c r="G110" s="1319">
        <f t="shared" si="23"/>
        <v>0</v>
      </c>
      <c r="H110" s="1319">
        <f t="shared" si="24"/>
        <v>0</v>
      </c>
      <c r="I110" s="1319">
        <f t="shared" si="25"/>
        <v>0</v>
      </c>
      <c r="J110" s="1053" t="s">
        <v>2135</v>
      </c>
      <c r="K110" s="974"/>
      <c r="L110" s="663"/>
    </row>
    <row r="111" spans="1:12">
      <c r="A111" s="120">
        <f t="shared" si="26"/>
        <v>85</v>
      </c>
      <c r="B111" s="661" t="s">
        <v>1427</v>
      </c>
      <c r="C111" s="1316">
        <f t="shared" si="20"/>
        <v>243419.62</v>
      </c>
      <c r="D111" s="1316">
        <f t="shared" si="21"/>
        <v>0</v>
      </c>
      <c r="E111" s="1316">
        <f t="shared" si="22"/>
        <v>243419.62</v>
      </c>
      <c r="F111" s="985">
        <v>0</v>
      </c>
      <c r="G111" s="1319">
        <f t="shared" si="23"/>
        <v>0</v>
      </c>
      <c r="H111" s="1319">
        <f t="shared" si="24"/>
        <v>0</v>
      </c>
      <c r="I111" s="1319">
        <f t="shared" si="25"/>
        <v>0</v>
      </c>
      <c r="J111" s="1053" t="s">
        <v>2135</v>
      </c>
      <c r="K111" s="968"/>
      <c r="L111" s="563"/>
    </row>
    <row r="112" spans="1:12">
      <c r="A112" s="120">
        <f t="shared" si="26"/>
        <v>86</v>
      </c>
      <c r="B112" s="661" t="s">
        <v>1428</v>
      </c>
      <c r="C112" s="1316">
        <f t="shared" si="20"/>
        <v>-267656.76</v>
      </c>
      <c r="D112" s="1316">
        <f t="shared" si="21"/>
        <v>0</v>
      </c>
      <c r="E112" s="1316">
        <f t="shared" si="22"/>
        <v>-267656.76</v>
      </c>
      <c r="F112" s="985">
        <v>1</v>
      </c>
      <c r="G112" s="1319">
        <f t="shared" si="23"/>
        <v>-267656.76</v>
      </c>
      <c r="H112" s="1319">
        <f t="shared" si="24"/>
        <v>0</v>
      </c>
      <c r="I112" s="1319">
        <f t="shared" si="25"/>
        <v>-267656.76</v>
      </c>
      <c r="J112" s="1053" t="s">
        <v>2134</v>
      </c>
      <c r="K112" s="968"/>
      <c r="L112" s="563"/>
    </row>
    <row r="113" spans="1:12">
      <c r="A113" s="120">
        <f t="shared" si="26"/>
        <v>87</v>
      </c>
      <c r="B113" s="661" t="s">
        <v>1429</v>
      </c>
      <c r="C113" s="1316">
        <f>SUM(D113:E113)</f>
        <v>0</v>
      </c>
      <c r="D113" s="1316">
        <f t="shared" ref="D113:E115" si="27">K27</f>
        <v>0</v>
      </c>
      <c r="E113" s="1316">
        <f t="shared" si="27"/>
        <v>0</v>
      </c>
      <c r="F113" s="985">
        <v>0</v>
      </c>
      <c r="G113" s="1319">
        <f t="shared" si="23"/>
        <v>0</v>
      </c>
      <c r="H113" s="1319">
        <f t="shared" si="24"/>
        <v>0</v>
      </c>
      <c r="I113" s="1319">
        <f t="shared" si="25"/>
        <v>0</v>
      </c>
      <c r="J113" s="1053" t="s">
        <v>2135</v>
      </c>
      <c r="K113" s="974"/>
      <c r="L113" s="663"/>
    </row>
    <row r="114" spans="1:12">
      <c r="A114" s="120">
        <f t="shared" si="26"/>
        <v>88</v>
      </c>
      <c r="B114" s="661" t="s">
        <v>2046</v>
      </c>
      <c r="C114" s="1316">
        <f t="shared" ref="C114:C145" si="28">J28</f>
        <v>11261715.680000002</v>
      </c>
      <c r="D114" s="1316">
        <f t="shared" si="27"/>
        <v>7614977.0022573378</v>
      </c>
      <c r="E114" s="1316">
        <f t="shared" si="27"/>
        <v>3646738.6777426642</v>
      </c>
      <c r="F114" s="985">
        <f>J204</f>
        <v>0.38769978295393082</v>
      </c>
      <c r="G114" s="1319">
        <f t="shared" si="23"/>
        <v>4366164.7248248802</v>
      </c>
      <c r="H114" s="1319">
        <f t="shared" si="24"/>
        <v>2952324.9309743447</v>
      </c>
      <c r="I114" s="1319">
        <f t="shared" si="25"/>
        <v>1413839.7938505355</v>
      </c>
      <c r="J114" s="526" t="s">
        <v>2132</v>
      </c>
      <c r="K114" s="526"/>
      <c r="L114" s="466"/>
    </row>
    <row r="115" spans="1:12">
      <c r="A115" s="120">
        <f t="shared" si="26"/>
        <v>89</v>
      </c>
      <c r="B115" s="661" t="s">
        <v>2047</v>
      </c>
      <c r="C115" s="1316">
        <f t="shared" si="28"/>
        <v>22285935.549999997</v>
      </c>
      <c r="D115" s="1316">
        <f t="shared" si="27"/>
        <v>7170691.4051323142</v>
      </c>
      <c r="E115" s="1316">
        <f t="shared" si="27"/>
        <v>15115244.144867681</v>
      </c>
      <c r="F115" s="985">
        <f>J204</f>
        <v>0.38769978295393082</v>
      </c>
      <c r="G115" s="1319">
        <f t="shared" si="23"/>
        <v>8640252.3756602891</v>
      </c>
      <c r="H115" s="1319">
        <f t="shared" si="24"/>
        <v>2780075.5013994155</v>
      </c>
      <c r="I115" s="1319">
        <f t="shared" si="25"/>
        <v>5860176.8742608735</v>
      </c>
      <c r="J115" s="526" t="s">
        <v>2132</v>
      </c>
      <c r="K115" s="526"/>
      <c r="L115" s="466"/>
    </row>
    <row r="116" spans="1:12">
      <c r="A116" s="120">
        <f t="shared" si="26"/>
        <v>90</v>
      </c>
      <c r="B116" s="661" t="s">
        <v>1430</v>
      </c>
      <c r="C116" s="1316">
        <f t="shared" si="28"/>
        <v>-17053.750000000004</v>
      </c>
      <c r="D116" s="1316">
        <f t="shared" ref="D116:D145" si="29">K30</f>
        <v>-14125.699797822484</v>
      </c>
      <c r="E116" s="1316">
        <f t="shared" ref="E116:E141" si="30">L30</f>
        <v>-2928.0502021775205</v>
      </c>
      <c r="F116" s="985">
        <f>'7-PlantStudy'!F28</f>
        <v>0.65381383858794784</v>
      </c>
      <c r="G116" s="1319">
        <f t="shared" si="23"/>
        <v>-11149.97774981922</v>
      </c>
      <c r="H116" s="1319">
        <f t="shared" si="24"/>
        <v>-9235.5780075553175</v>
      </c>
      <c r="I116" s="1319">
        <f t="shared" si="25"/>
        <v>-1914.3997422639015</v>
      </c>
      <c r="J116" s="526" t="str">
        <f>"7-PlantStudy, Line "&amp;'7-PlantStudy'!A28&amp;", C3"</f>
        <v>7-PlantStudy, Line 21, C3</v>
      </c>
      <c r="K116" s="968"/>
      <c r="L116" s="563"/>
    </row>
    <row r="117" spans="1:12">
      <c r="A117" s="120">
        <f t="shared" si="26"/>
        <v>91</v>
      </c>
      <c r="B117" s="661" t="s">
        <v>1431</v>
      </c>
      <c r="C117" s="1316">
        <f t="shared" si="28"/>
        <v>657016.02000000014</v>
      </c>
      <c r="D117" s="1316">
        <f t="shared" si="29"/>
        <v>645937.6100000001</v>
      </c>
      <c r="E117" s="1316">
        <f t="shared" si="30"/>
        <v>11078.41</v>
      </c>
      <c r="F117" s="985">
        <f>'7-PlantStudy'!F28</f>
        <v>0.65381383858794784</v>
      </c>
      <c r="G117" s="1319">
        <f t="shared" si="23"/>
        <v>429566.16604997602</v>
      </c>
      <c r="H117" s="1319">
        <f t="shared" si="24"/>
        <v>422322.94828242488</v>
      </c>
      <c r="I117" s="1319">
        <f t="shared" si="25"/>
        <v>7243.2177675511075</v>
      </c>
      <c r="J117" s="526" t="str">
        <f>"7-PlantStudy, Line "&amp;'7-PlantStudy'!A28&amp;", C3"</f>
        <v>7-PlantStudy, Line 21, C3</v>
      </c>
      <c r="K117" s="974"/>
      <c r="L117" s="663"/>
    </row>
    <row r="118" spans="1:12">
      <c r="A118" s="120">
        <f t="shared" si="26"/>
        <v>92</v>
      </c>
      <c r="B118" s="661" t="s">
        <v>1432</v>
      </c>
      <c r="C118" s="1316">
        <f t="shared" si="28"/>
        <v>7758571.0500000007</v>
      </c>
      <c r="D118" s="1316">
        <f t="shared" si="29"/>
        <v>3680576.399773078</v>
      </c>
      <c r="E118" s="1316">
        <f t="shared" si="30"/>
        <v>4077994.6502269227</v>
      </c>
      <c r="F118" s="985">
        <f>'7-PlantStudy'!F28</f>
        <v>0.65381383858794784</v>
      </c>
      <c r="G118" s="1319">
        <f t="shared" si="23"/>
        <v>5072661.1201578258</v>
      </c>
      <c r="H118" s="1319">
        <f t="shared" si="24"/>
        <v>2406411.7841518456</v>
      </c>
      <c r="I118" s="1319">
        <f t="shared" si="25"/>
        <v>2666249.3360059801</v>
      </c>
      <c r="J118" s="526" t="str">
        <f>"7-PlantStudy, Line "&amp;'7-PlantStudy'!A28&amp;", C3"</f>
        <v>7-PlantStudy, Line 21, C3</v>
      </c>
      <c r="K118" s="526"/>
    </row>
    <row r="119" spans="1:12">
      <c r="A119" s="120">
        <f t="shared" si="26"/>
        <v>93</v>
      </c>
      <c r="B119" s="661" t="s">
        <v>1433</v>
      </c>
      <c r="C119" s="1316">
        <f t="shared" si="28"/>
        <v>2351738.6100000003</v>
      </c>
      <c r="D119" s="1316">
        <f t="shared" si="29"/>
        <v>1995566.8597141691</v>
      </c>
      <c r="E119" s="1316">
        <f t="shared" si="30"/>
        <v>356171.75028583116</v>
      </c>
      <c r="F119" s="985">
        <f>'7-PlantStudy'!F28</f>
        <v>0.65381383858794784</v>
      </c>
      <c r="G119" s="1319">
        <f t="shared" si="23"/>
        <v>1537599.2479595849</v>
      </c>
      <c r="H119" s="1319">
        <f t="shared" si="24"/>
        <v>1304729.2287086176</v>
      </c>
      <c r="I119" s="1319">
        <f t="shared" si="25"/>
        <v>232870.01925096728</v>
      </c>
      <c r="J119" s="526" t="str">
        <f>"7-PlantStudy, Line "&amp;'7-PlantStudy'!A28&amp;", C3"</f>
        <v>7-PlantStudy, Line 21, C3</v>
      </c>
      <c r="K119" s="526"/>
    </row>
    <row r="120" spans="1:12">
      <c r="A120" s="120">
        <f t="shared" si="26"/>
        <v>94</v>
      </c>
      <c r="B120" s="661" t="s">
        <v>1434</v>
      </c>
      <c r="C120" s="1316">
        <f t="shared" si="28"/>
        <v>944337.63000000012</v>
      </c>
      <c r="D120" s="1316">
        <f t="shared" si="29"/>
        <v>0</v>
      </c>
      <c r="E120" s="1316">
        <f t="shared" si="30"/>
        <v>944337.63000000012</v>
      </c>
      <c r="F120" s="985">
        <v>1</v>
      </c>
      <c r="G120" s="1319">
        <f t="shared" si="23"/>
        <v>944337.63000000012</v>
      </c>
      <c r="H120" s="1319">
        <f t="shared" si="24"/>
        <v>0</v>
      </c>
      <c r="I120" s="1319">
        <f t="shared" si="25"/>
        <v>944337.63000000012</v>
      </c>
      <c r="J120" s="1053" t="s">
        <v>2134</v>
      </c>
      <c r="K120" s="526"/>
    </row>
    <row r="121" spans="1:12">
      <c r="A121" s="120">
        <f t="shared" si="26"/>
        <v>95</v>
      </c>
      <c r="B121" s="661" t="s">
        <v>1435</v>
      </c>
      <c r="C121" s="1316">
        <f t="shared" si="28"/>
        <v>8901559.0099999979</v>
      </c>
      <c r="D121" s="1316">
        <f t="shared" si="29"/>
        <v>5528.6026917413601</v>
      </c>
      <c r="E121" s="1316">
        <f t="shared" si="30"/>
        <v>8896030.4073082563</v>
      </c>
      <c r="F121" s="985">
        <f>'27-Allocators'!D66</f>
        <v>0.68204866846127865</v>
      </c>
      <c r="G121" s="1319">
        <f t="shared" si="23"/>
        <v>6071296.469999996</v>
      </c>
      <c r="H121" s="1319">
        <f t="shared" si="24"/>
        <v>3770.7761043536357</v>
      </c>
      <c r="I121" s="1319">
        <f t="shared" si="25"/>
        <v>6067525.6938956426</v>
      </c>
      <c r="J121" s="526" t="str">
        <f>"27-Allocators Line "&amp;'27-Allocators'!A66&amp;""</f>
        <v>27-Allocators Line 60</v>
      </c>
      <c r="K121" s="526"/>
    </row>
    <row r="122" spans="1:12">
      <c r="A122" s="120">
        <f t="shared" si="26"/>
        <v>96</v>
      </c>
      <c r="B122" s="661" t="s">
        <v>1436</v>
      </c>
      <c r="C122" s="1316">
        <f t="shared" si="28"/>
        <v>6500000.1600000001</v>
      </c>
      <c r="D122" s="1316">
        <f t="shared" si="29"/>
        <v>0</v>
      </c>
      <c r="E122" s="1316">
        <f t="shared" si="30"/>
        <v>6500000.1600000001</v>
      </c>
      <c r="F122" s="985">
        <f>'27-Allocators'!D72</f>
        <v>0.90803272771026344</v>
      </c>
      <c r="G122" s="1319">
        <f t="shared" si="23"/>
        <v>5902212.8754019486</v>
      </c>
      <c r="H122" s="1319">
        <f t="shared" si="24"/>
        <v>0</v>
      </c>
      <c r="I122" s="1319">
        <f t="shared" si="25"/>
        <v>5902212.8754019486</v>
      </c>
      <c r="J122" s="526" t="str">
        <f>"27-Allocators Line "&amp;'27-Allocators'!A72&amp;""</f>
        <v>27-Allocators Line 66</v>
      </c>
      <c r="K122" s="526"/>
    </row>
    <row r="123" spans="1:12">
      <c r="A123" s="120">
        <f t="shared" si="26"/>
        <v>97</v>
      </c>
      <c r="B123" s="661" t="s">
        <v>1437</v>
      </c>
      <c r="C123" s="1316">
        <f t="shared" si="28"/>
        <v>107252.15000000001</v>
      </c>
      <c r="D123" s="1316">
        <f t="shared" si="29"/>
        <v>0</v>
      </c>
      <c r="E123" s="1316">
        <f t="shared" si="30"/>
        <v>107252.15000000001</v>
      </c>
      <c r="F123" s="985">
        <v>1</v>
      </c>
      <c r="G123" s="1319">
        <f t="shared" si="23"/>
        <v>107252.15000000001</v>
      </c>
      <c r="H123" s="1319">
        <f t="shared" si="24"/>
        <v>0</v>
      </c>
      <c r="I123" s="1319">
        <f t="shared" si="25"/>
        <v>107252.15000000001</v>
      </c>
      <c r="J123" s="1053" t="s">
        <v>2134</v>
      </c>
      <c r="K123" s="526"/>
      <c r="L123" s="526"/>
    </row>
    <row r="124" spans="1:12">
      <c r="A124" s="120">
        <f t="shared" si="26"/>
        <v>98</v>
      </c>
      <c r="B124" s="661" t="s">
        <v>1438</v>
      </c>
      <c r="C124" s="1316">
        <f t="shared" si="28"/>
        <v>189601.02000000002</v>
      </c>
      <c r="D124" s="1316">
        <f t="shared" si="29"/>
        <v>0</v>
      </c>
      <c r="E124" s="1316">
        <f t="shared" si="30"/>
        <v>189601.02000000002</v>
      </c>
      <c r="F124" s="985">
        <v>1</v>
      </c>
      <c r="G124" s="1319">
        <f t="shared" si="23"/>
        <v>189601.02000000002</v>
      </c>
      <c r="H124" s="1319">
        <f t="shared" si="24"/>
        <v>0</v>
      </c>
      <c r="I124" s="1319">
        <f t="shared" si="25"/>
        <v>189601.02000000002</v>
      </c>
      <c r="J124" s="1053" t="s">
        <v>2134</v>
      </c>
      <c r="K124" s="526"/>
    </row>
    <row r="125" spans="1:12">
      <c r="A125" s="120">
        <f t="shared" si="26"/>
        <v>99</v>
      </c>
      <c r="B125" s="661" t="s">
        <v>1439</v>
      </c>
      <c r="C125" s="1316">
        <f t="shared" si="28"/>
        <v>2384823.7600000002</v>
      </c>
      <c r="D125" s="1316">
        <f t="shared" si="29"/>
        <v>2049481.7976254995</v>
      </c>
      <c r="E125" s="1316">
        <f t="shared" si="30"/>
        <v>335341.96237450064</v>
      </c>
      <c r="F125" s="985">
        <f>J209</f>
        <v>0.33802622067384658</v>
      </c>
      <c r="G125" s="1319">
        <f t="shared" si="23"/>
        <v>806132.96256599261</v>
      </c>
      <c r="H125" s="1319">
        <f t="shared" si="24"/>
        <v>692778.5863911889</v>
      </c>
      <c r="I125" s="1319">
        <f t="shared" si="25"/>
        <v>113354.37617480371</v>
      </c>
      <c r="J125" s="526" t="s">
        <v>2137</v>
      </c>
      <c r="K125" s="526"/>
      <c r="L125" s="515"/>
    </row>
    <row r="126" spans="1:12">
      <c r="A126" s="120">
        <f t="shared" si="26"/>
        <v>100</v>
      </c>
      <c r="B126" s="661" t="s">
        <v>1440</v>
      </c>
      <c r="C126" s="1316">
        <f t="shared" si="28"/>
        <v>192593.95</v>
      </c>
      <c r="D126" s="1316">
        <f t="shared" si="29"/>
        <v>0</v>
      </c>
      <c r="E126" s="1316">
        <f t="shared" si="30"/>
        <v>192593.95</v>
      </c>
      <c r="F126" s="985">
        <v>1</v>
      </c>
      <c r="G126" s="1319">
        <f t="shared" si="23"/>
        <v>192593.95</v>
      </c>
      <c r="H126" s="1319">
        <f t="shared" si="24"/>
        <v>0</v>
      </c>
      <c r="I126" s="1319">
        <f t="shared" si="25"/>
        <v>192593.95</v>
      </c>
      <c r="J126" s="1053" t="s">
        <v>2134</v>
      </c>
      <c r="K126" s="526"/>
    </row>
    <row r="127" spans="1:12">
      <c r="A127" s="120">
        <f t="shared" si="26"/>
        <v>101</v>
      </c>
      <c r="B127" s="661" t="s">
        <v>1441</v>
      </c>
      <c r="C127" s="1316">
        <f t="shared" si="28"/>
        <v>158593.22999999995</v>
      </c>
      <c r="D127" s="1316">
        <f t="shared" si="29"/>
        <v>39766.94647017221</v>
      </c>
      <c r="E127" s="1316">
        <f t="shared" si="30"/>
        <v>118826.28352982775</v>
      </c>
      <c r="F127" s="985">
        <f>J207</f>
        <v>0.20853001122734152</v>
      </c>
      <c r="G127" s="1319">
        <f t="shared" si="23"/>
        <v>33071.448032480344</v>
      </c>
      <c r="H127" s="1319">
        <f t="shared" si="24"/>
        <v>8292.6017939021003</v>
      </c>
      <c r="I127" s="1319">
        <f t="shared" si="25"/>
        <v>24778.846238578248</v>
      </c>
      <c r="J127" s="526" t="s">
        <v>2136</v>
      </c>
      <c r="K127" s="526"/>
    </row>
    <row r="128" spans="1:12">
      <c r="A128" s="120">
        <f t="shared" si="26"/>
        <v>102</v>
      </c>
      <c r="B128" s="661" t="s">
        <v>2683</v>
      </c>
      <c r="C128" s="1316">
        <f t="shared" si="28"/>
        <v>-0.15544800087809563</v>
      </c>
      <c r="D128" s="1316">
        <f t="shared" si="29"/>
        <v>0</v>
      </c>
      <c r="E128" s="1316">
        <f t="shared" si="30"/>
        <v>-0.15544800087809563</v>
      </c>
      <c r="F128" s="985">
        <f>J204</f>
        <v>0.38769978295393082</v>
      </c>
      <c r="G128" s="1319">
        <f t="shared" si="23"/>
        <v>-6.0267156201060122E-2</v>
      </c>
      <c r="H128" s="1319">
        <f t="shared" si="24"/>
        <v>0</v>
      </c>
      <c r="I128" s="1319">
        <f t="shared" si="25"/>
        <v>-6.0267156201060122E-2</v>
      </c>
      <c r="J128" s="526" t="s">
        <v>2132</v>
      </c>
      <c r="K128" s="526"/>
    </row>
    <row r="129" spans="1:12">
      <c r="A129" s="120">
        <f t="shared" si="26"/>
        <v>103</v>
      </c>
      <c r="B129" s="661" t="s">
        <v>2684</v>
      </c>
      <c r="C129" s="1316">
        <f t="shared" si="28"/>
        <v>24.560000000000002</v>
      </c>
      <c r="D129" s="1316">
        <f t="shared" si="29"/>
        <v>24.560000000000002</v>
      </c>
      <c r="E129" s="1316">
        <f t="shared" si="30"/>
        <v>0</v>
      </c>
      <c r="F129" s="985">
        <f>J204</f>
        <v>0.38769978295393082</v>
      </c>
      <c r="G129" s="1319">
        <f t="shared" ref="G129:G145" si="31">SUM(H129:I129)</f>
        <v>9.5219066693485424</v>
      </c>
      <c r="H129" s="1319">
        <f t="shared" ref="H129:H145" si="32">D129*F129</f>
        <v>9.5219066693485424</v>
      </c>
      <c r="I129" s="1319">
        <f t="shared" ref="I129:I145" si="33">E129*F129</f>
        <v>0</v>
      </c>
      <c r="J129" s="526" t="s">
        <v>2132</v>
      </c>
      <c r="K129" s="526"/>
    </row>
    <row r="130" spans="1:12">
      <c r="A130" s="120">
        <f t="shared" ref="A130:A149" si="34">A129+1</f>
        <v>104</v>
      </c>
      <c r="B130" s="661" t="s">
        <v>2685</v>
      </c>
      <c r="C130" s="1316">
        <f t="shared" si="28"/>
        <v>3004536.492516798</v>
      </c>
      <c r="D130" s="1316">
        <f t="shared" si="29"/>
        <v>2225.2299809298802</v>
      </c>
      <c r="E130" s="1316">
        <f t="shared" si="30"/>
        <v>3002311.2625358682</v>
      </c>
      <c r="F130" s="985">
        <f>J204</f>
        <v>0.38769978295393082</v>
      </c>
      <c r="G130" s="1319">
        <f t="shared" si="31"/>
        <v>1164858.146025927</v>
      </c>
      <c r="H130" s="1319">
        <f t="shared" si="32"/>
        <v>862.72118062909419</v>
      </c>
      <c r="I130" s="1319">
        <f t="shared" si="33"/>
        <v>1163995.4248452981</v>
      </c>
      <c r="J130" s="526" t="s">
        <v>2132</v>
      </c>
      <c r="K130" s="526"/>
    </row>
    <row r="131" spans="1:12">
      <c r="A131" s="120">
        <f t="shared" si="34"/>
        <v>105</v>
      </c>
      <c r="B131" s="661" t="s">
        <v>1442</v>
      </c>
      <c r="C131" s="1316">
        <f t="shared" si="28"/>
        <v>242950.01</v>
      </c>
      <c r="D131" s="1316">
        <f t="shared" si="29"/>
        <v>0</v>
      </c>
      <c r="E131" s="1316">
        <f t="shared" si="30"/>
        <v>242950.01</v>
      </c>
      <c r="F131" s="985">
        <v>1</v>
      </c>
      <c r="G131" s="1319">
        <f t="shared" si="31"/>
        <v>242950.01</v>
      </c>
      <c r="H131" s="1319">
        <f t="shared" si="32"/>
        <v>0</v>
      </c>
      <c r="I131" s="1319">
        <f t="shared" si="33"/>
        <v>242950.01</v>
      </c>
      <c r="J131" s="1053" t="s">
        <v>2134</v>
      </c>
      <c r="K131" s="526"/>
    </row>
    <row r="132" spans="1:12">
      <c r="A132" s="120">
        <f t="shared" si="34"/>
        <v>106</v>
      </c>
      <c r="B132" s="661" t="s">
        <v>1443</v>
      </c>
      <c r="C132" s="1316">
        <f t="shared" si="28"/>
        <v>1330451.2800000003</v>
      </c>
      <c r="D132" s="1316">
        <f t="shared" si="29"/>
        <v>942210.36301308894</v>
      </c>
      <c r="E132" s="1316">
        <f t="shared" si="30"/>
        <v>388240.91698691121</v>
      </c>
      <c r="F132" s="985">
        <f>'27-Allocators'!D78</f>
        <v>0.23278688524590163</v>
      </c>
      <c r="G132" s="1319">
        <f t="shared" si="31"/>
        <v>309711.60944262298</v>
      </c>
      <c r="H132" s="1319">
        <f t="shared" si="32"/>
        <v>219334.21565222726</v>
      </c>
      <c r="I132" s="1319">
        <f t="shared" si="33"/>
        <v>90377.393790395727</v>
      </c>
      <c r="J132" s="526" t="str">
        <f>"27-Allocators Line "&amp;'27-Allocators'!A78&amp;""</f>
        <v>27-Allocators Line 72</v>
      </c>
      <c r="K132" s="526"/>
      <c r="L132" s="269"/>
    </row>
    <row r="133" spans="1:12">
      <c r="A133" s="120">
        <f t="shared" si="34"/>
        <v>107</v>
      </c>
      <c r="B133" s="661" t="s">
        <v>1444</v>
      </c>
      <c r="C133" s="1316">
        <f t="shared" si="28"/>
        <v>1963153.16</v>
      </c>
      <c r="D133" s="1316">
        <f t="shared" si="29"/>
        <v>1479631.8612061054</v>
      </c>
      <c r="E133" s="1316">
        <f t="shared" si="30"/>
        <v>483521.29879389447</v>
      </c>
      <c r="F133" s="985">
        <f>'27-Allocators'!D84</f>
        <v>0.36648418491484186</v>
      </c>
      <c r="G133" s="1319">
        <f t="shared" si="31"/>
        <v>719464.58570559602</v>
      </c>
      <c r="H133" s="1319">
        <f t="shared" si="32"/>
        <v>542261.67662814993</v>
      </c>
      <c r="I133" s="1319">
        <f t="shared" si="33"/>
        <v>177202.90907744612</v>
      </c>
      <c r="J133" s="526" t="str">
        <f>"27-Allocators Line "&amp;'27-Allocators'!A84&amp;""</f>
        <v>27-Allocators Line 78</v>
      </c>
      <c r="K133" s="526"/>
      <c r="L133" s="269"/>
    </row>
    <row r="134" spans="1:12">
      <c r="A134" s="120">
        <f t="shared" si="34"/>
        <v>108</v>
      </c>
      <c r="B134" s="661" t="s">
        <v>1445</v>
      </c>
      <c r="C134" s="1316">
        <f t="shared" si="28"/>
        <v>69480.739999999758</v>
      </c>
      <c r="D134" s="1316">
        <f t="shared" si="29"/>
        <v>425570.96529117983</v>
      </c>
      <c r="E134" s="1316">
        <f t="shared" si="30"/>
        <v>-356090.22529118008</v>
      </c>
      <c r="F134" s="985">
        <f>'27-Allocators'!D90</f>
        <v>0.66536203522504889</v>
      </c>
      <c r="G134" s="1319">
        <f t="shared" si="31"/>
        <v>46229.846575342293</v>
      </c>
      <c r="H134" s="1319">
        <f t="shared" si="32"/>
        <v>283158.76359882805</v>
      </c>
      <c r="I134" s="1319">
        <f t="shared" si="33"/>
        <v>-236928.91702348576</v>
      </c>
      <c r="J134" s="526" t="str">
        <f>"27-Allocators Line "&amp;'27-Allocators'!A90&amp;""</f>
        <v>27-Allocators Line 84</v>
      </c>
      <c r="K134" s="526"/>
      <c r="L134" s="269"/>
    </row>
    <row r="135" spans="1:12">
      <c r="A135" s="120">
        <f t="shared" si="34"/>
        <v>109</v>
      </c>
      <c r="B135" s="661" t="s">
        <v>1446</v>
      </c>
      <c r="C135" s="1316">
        <f t="shared" si="28"/>
        <v>1952397.5699999998</v>
      </c>
      <c r="D135" s="1316">
        <f t="shared" si="29"/>
        <v>1230389.7809359657</v>
      </c>
      <c r="E135" s="1316">
        <f t="shared" si="30"/>
        <v>722007.78906403424</v>
      </c>
      <c r="F135" s="985">
        <f>J209</f>
        <v>0.33802622067384658</v>
      </c>
      <c r="G135" s="1319">
        <f t="shared" si="31"/>
        <v>659961.57183990185</v>
      </c>
      <c r="H135" s="1319">
        <f t="shared" si="32"/>
        <v>415904.00760550651</v>
      </c>
      <c r="I135" s="1319">
        <f t="shared" si="33"/>
        <v>244057.56423439531</v>
      </c>
      <c r="J135" s="526" t="s">
        <v>2137</v>
      </c>
      <c r="K135" s="526"/>
    </row>
    <row r="136" spans="1:12">
      <c r="A136" s="120">
        <f t="shared" si="34"/>
        <v>110</v>
      </c>
      <c r="B136" s="517" t="s">
        <v>1834</v>
      </c>
      <c r="C136" s="1316">
        <f t="shared" si="28"/>
        <v>5512531.4499999993</v>
      </c>
      <c r="D136" s="1316">
        <f t="shared" si="29"/>
        <v>970207.06</v>
      </c>
      <c r="E136" s="1316">
        <f t="shared" si="30"/>
        <v>4542324.3899999997</v>
      </c>
      <c r="F136" s="985">
        <f>'27-Allocators'!D96</f>
        <v>0.25324603289398223</v>
      </c>
      <c r="G136" s="1319">
        <f t="shared" si="31"/>
        <v>1396026.7209158116</v>
      </c>
      <c r="H136" s="1319">
        <f t="shared" si="32"/>
        <v>245701.0890307338</v>
      </c>
      <c r="I136" s="1319">
        <f t="shared" si="33"/>
        <v>1150325.6318850778</v>
      </c>
      <c r="J136" s="526" t="str">
        <f>"27-Allocators Line "&amp;'27-Allocators'!A96&amp;""</f>
        <v>27-Allocators Line 90</v>
      </c>
      <c r="K136" s="526"/>
    </row>
    <row r="137" spans="1:12">
      <c r="A137" s="120">
        <f t="shared" si="34"/>
        <v>111</v>
      </c>
      <c r="B137" s="661" t="s">
        <v>1447</v>
      </c>
      <c r="C137" s="1316">
        <f t="shared" si="28"/>
        <v>1655072.69</v>
      </c>
      <c r="D137" s="1316">
        <f t="shared" si="29"/>
        <v>744.12999999999988</v>
      </c>
      <c r="E137" s="1316">
        <f t="shared" si="30"/>
        <v>1654328.56</v>
      </c>
      <c r="F137" s="985">
        <v>1</v>
      </c>
      <c r="G137" s="1319">
        <f t="shared" si="31"/>
        <v>1655072.69</v>
      </c>
      <c r="H137" s="1319">
        <f t="shared" si="32"/>
        <v>744.12999999999988</v>
      </c>
      <c r="I137" s="1319">
        <f t="shared" si="33"/>
        <v>1654328.56</v>
      </c>
      <c r="J137" s="1053" t="s">
        <v>2134</v>
      </c>
      <c r="K137" s="526"/>
    </row>
    <row r="138" spans="1:12">
      <c r="A138" s="120">
        <f t="shared" si="34"/>
        <v>112</v>
      </c>
      <c r="B138" s="661" t="s">
        <v>1448</v>
      </c>
      <c r="C138" s="1316">
        <f t="shared" si="28"/>
        <v>5130531.5500000017</v>
      </c>
      <c r="D138" s="1316">
        <f t="shared" si="29"/>
        <v>1966541.192286019</v>
      </c>
      <c r="E138" s="1316">
        <f t="shared" si="30"/>
        <v>3163990.3577139825</v>
      </c>
      <c r="F138" s="985">
        <f>'27-Allocators'!D54</f>
        <v>0.46754315015460779</v>
      </c>
      <c r="G138" s="1319">
        <f t="shared" si="31"/>
        <v>2398744.8828546032</v>
      </c>
      <c r="H138" s="1319">
        <f t="shared" si="32"/>
        <v>919442.86395020364</v>
      </c>
      <c r="I138" s="1319">
        <f t="shared" si="33"/>
        <v>1479302.0189043998</v>
      </c>
      <c r="J138" s="526" t="str">
        <f>"27-Allocators Line "&amp;'27-Allocators'!A54&amp;""</f>
        <v>27-Allocators Line 48</v>
      </c>
      <c r="K138" s="526"/>
      <c r="L138" s="526"/>
    </row>
    <row r="139" spans="1:12">
      <c r="A139" s="120">
        <f t="shared" si="34"/>
        <v>113</v>
      </c>
      <c r="B139" s="661" t="s">
        <v>1449</v>
      </c>
      <c r="C139" s="1316">
        <f t="shared" si="28"/>
        <v>4912678.4600000018</v>
      </c>
      <c r="D139" s="1316">
        <f t="shared" si="29"/>
        <v>2815366.6513828742</v>
      </c>
      <c r="E139" s="1316">
        <f t="shared" si="30"/>
        <v>2097311.8086171276</v>
      </c>
      <c r="F139" s="985">
        <f>'27-Allocators'!D54</f>
        <v>0.46754315015460779</v>
      </c>
      <c r="G139" s="1319">
        <f t="shared" si="31"/>
        <v>2296889.1628850885</v>
      </c>
      <c r="H139" s="1319">
        <f t="shared" si="32"/>
        <v>1316305.3930277785</v>
      </c>
      <c r="I139" s="1319">
        <f t="shared" si="33"/>
        <v>980583.76985730976</v>
      </c>
      <c r="J139" s="526" t="str">
        <f>"27-Allocators Line "&amp;'27-Allocators'!A54&amp;""</f>
        <v>27-Allocators Line 48</v>
      </c>
      <c r="K139" s="526"/>
      <c r="L139" s="526"/>
    </row>
    <row r="140" spans="1:12">
      <c r="A140" s="120">
        <f t="shared" si="34"/>
        <v>114</v>
      </c>
      <c r="B140" s="661" t="s">
        <v>1450</v>
      </c>
      <c r="C140" s="1316">
        <f t="shared" si="28"/>
        <v>17986496.110000003</v>
      </c>
      <c r="D140" s="1316">
        <f t="shared" si="29"/>
        <v>2655912.7903451058</v>
      </c>
      <c r="E140" s="1316">
        <f t="shared" si="30"/>
        <v>15330583.319654897</v>
      </c>
      <c r="F140" s="985">
        <f>'27-Allocators'!D54</f>
        <v>0.46754315015460779</v>
      </c>
      <c r="G140" s="1319">
        <f t="shared" si="31"/>
        <v>8409463.0515130013</v>
      </c>
      <c r="H140" s="1319">
        <f t="shared" si="32"/>
        <v>1241753.8325338652</v>
      </c>
      <c r="I140" s="1319">
        <f t="shared" si="33"/>
        <v>7167709.2189791352</v>
      </c>
      <c r="J140" s="526" t="str">
        <f>"27-Allocators Line "&amp;'27-Allocators'!A54&amp;""</f>
        <v>27-Allocators Line 48</v>
      </c>
      <c r="K140" s="526"/>
      <c r="L140" s="526"/>
    </row>
    <row r="141" spans="1:12">
      <c r="A141" s="120">
        <f t="shared" si="34"/>
        <v>115</v>
      </c>
      <c r="B141" s="661" t="s">
        <v>1643</v>
      </c>
      <c r="C141" s="1316">
        <f t="shared" si="28"/>
        <v>6638413.8500000006</v>
      </c>
      <c r="D141" s="1316">
        <f t="shared" si="29"/>
        <v>1696790.28</v>
      </c>
      <c r="E141" s="1316">
        <f t="shared" si="30"/>
        <v>4941623.57</v>
      </c>
      <c r="F141" s="985">
        <f>'27-Allocators'!D102</f>
        <v>0.27532302652114354</v>
      </c>
      <c r="G141" s="1319">
        <f t="shared" si="31"/>
        <v>1827708.1924818768</v>
      </c>
      <c r="H141" s="1319">
        <f t="shared" si="32"/>
        <v>467165.43526125856</v>
      </c>
      <c r="I141" s="1319">
        <f t="shared" si="33"/>
        <v>1360542.7572206182</v>
      </c>
      <c r="J141" s="526" t="str">
        <f>"27-Allocators Line "&amp;'27-Allocators'!A102&amp;""</f>
        <v>27-Allocators Line 96</v>
      </c>
      <c r="K141" s="526"/>
      <c r="L141" s="526"/>
    </row>
    <row r="142" spans="1:12">
      <c r="A142" s="120">
        <f t="shared" si="34"/>
        <v>116</v>
      </c>
      <c r="B142" s="661" t="s">
        <v>1451</v>
      </c>
      <c r="C142" s="1316">
        <f t="shared" si="28"/>
        <v>393016.65</v>
      </c>
      <c r="D142" s="1316">
        <f t="shared" si="29"/>
        <v>0</v>
      </c>
      <c r="E142" s="1316">
        <f>L56</f>
        <v>393016.65</v>
      </c>
      <c r="F142" s="985">
        <v>1</v>
      </c>
      <c r="G142" s="1319">
        <f t="shared" si="31"/>
        <v>393016.65</v>
      </c>
      <c r="H142" s="1319">
        <f t="shared" si="32"/>
        <v>0</v>
      </c>
      <c r="I142" s="1319">
        <f t="shared" si="33"/>
        <v>393016.65</v>
      </c>
      <c r="J142" s="1053" t="s">
        <v>2134</v>
      </c>
      <c r="K142" s="526"/>
      <c r="L142" s="526"/>
    </row>
    <row r="143" spans="1:12">
      <c r="A143" s="120">
        <f t="shared" si="34"/>
        <v>117</v>
      </c>
      <c r="B143" s="661" t="s">
        <v>1452</v>
      </c>
      <c r="C143" s="1316">
        <f t="shared" si="28"/>
        <v>388986.69</v>
      </c>
      <c r="D143" s="1316">
        <f t="shared" si="29"/>
        <v>203477.59688660022</v>
      </c>
      <c r="E143" s="1316">
        <f>L57</f>
        <v>185509.09311339978</v>
      </c>
      <c r="F143" s="985">
        <f>'27-Allocators'!D60</f>
        <v>1.4473399263697395E-2</v>
      </c>
      <c r="G143" s="1319">
        <f t="shared" si="31"/>
        <v>5629.9596726340869</v>
      </c>
      <c r="H143" s="1319">
        <f t="shared" si="32"/>
        <v>2945.0125009574349</v>
      </c>
      <c r="I143" s="1319">
        <f t="shared" si="33"/>
        <v>2684.947171676652</v>
      </c>
      <c r="J143" s="526" t="str">
        <f>"27-Allocators Line "&amp;'27-Allocators'!A60&amp;""</f>
        <v>27-Allocators Line 54</v>
      </c>
      <c r="K143" s="526"/>
    </row>
    <row r="144" spans="1:12">
      <c r="A144" s="120">
        <f t="shared" si="34"/>
        <v>118</v>
      </c>
      <c r="B144" s="661" t="s">
        <v>1453</v>
      </c>
      <c r="C144" s="1316">
        <f t="shared" si="28"/>
        <v>2321.62</v>
      </c>
      <c r="D144" s="1316">
        <f t="shared" si="29"/>
        <v>0</v>
      </c>
      <c r="E144" s="1316">
        <f>L58</f>
        <v>2321.62</v>
      </c>
      <c r="F144" s="985">
        <v>1</v>
      </c>
      <c r="G144" s="1319">
        <f t="shared" si="31"/>
        <v>2321.62</v>
      </c>
      <c r="H144" s="1319">
        <f t="shared" si="32"/>
        <v>0</v>
      </c>
      <c r="I144" s="1319">
        <f t="shared" si="33"/>
        <v>2321.62</v>
      </c>
      <c r="J144" s="1053" t="s">
        <v>2134</v>
      </c>
      <c r="K144" s="526"/>
    </row>
    <row r="145" spans="1:12">
      <c r="A145" s="120">
        <f t="shared" si="34"/>
        <v>119</v>
      </c>
      <c r="B145" s="661" t="s">
        <v>1454</v>
      </c>
      <c r="C145" s="1316">
        <f t="shared" si="28"/>
        <v>2970933.63</v>
      </c>
      <c r="D145" s="1316">
        <f t="shared" si="29"/>
        <v>1053186.9550977601</v>
      </c>
      <c r="E145" s="1316">
        <f>L59</f>
        <v>1917746.67490224</v>
      </c>
      <c r="F145" s="985">
        <f>'27-Allocators'!D108</f>
        <v>0.45233452427380905</v>
      </c>
      <c r="G145" s="1319">
        <f t="shared" si="31"/>
        <v>1343855.8501751106</v>
      </c>
      <c r="H145" s="1319">
        <f t="shared" si="32"/>
        <v>476392.82030552678</v>
      </c>
      <c r="I145" s="1319">
        <f t="shared" si="33"/>
        <v>867463.0298695839</v>
      </c>
      <c r="J145" s="526" t="str">
        <f>"27-Allocators Line "&amp;'27-Allocators'!A108&amp;""</f>
        <v>27-Allocators Line 102</v>
      </c>
      <c r="K145" s="526"/>
      <c r="L145" s="269"/>
    </row>
    <row r="146" spans="1:12">
      <c r="A146" s="120">
        <f t="shared" si="34"/>
        <v>120</v>
      </c>
      <c r="B146" s="584" t="s">
        <v>561</v>
      </c>
      <c r="C146" s="961" t="s">
        <v>86</v>
      </c>
      <c r="D146" s="961" t="s">
        <v>86</v>
      </c>
      <c r="E146" s="961" t="s">
        <v>86</v>
      </c>
      <c r="F146" s="961" t="s">
        <v>86</v>
      </c>
      <c r="G146" s="961" t="s">
        <v>86</v>
      </c>
      <c r="H146" s="961" t="s">
        <v>86</v>
      </c>
      <c r="I146" s="961" t="s">
        <v>86</v>
      </c>
      <c r="J146" s="526"/>
      <c r="K146" s="526"/>
    </row>
    <row r="147" spans="1:12">
      <c r="A147" s="120">
        <f t="shared" si="34"/>
        <v>121</v>
      </c>
      <c r="B147" s="661" t="s">
        <v>2461</v>
      </c>
      <c r="C147" s="1321">
        <f>J61</f>
        <v>7813419.4487173147</v>
      </c>
      <c r="D147" s="1321">
        <f>K61</f>
        <v>7813419.4487173147</v>
      </c>
      <c r="E147" s="1321">
        <f>L61</f>
        <v>0</v>
      </c>
      <c r="F147" s="1322"/>
      <c r="G147" s="1323">
        <f>SUM(H147:I147)</f>
        <v>3025253.9521302711</v>
      </c>
      <c r="H147" s="1323">
        <f>D147*C198</f>
        <v>3025253.9521302711</v>
      </c>
      <c r="I147" s="1323">
        <v>0</v>
      </c>
      <c r="J147" s="526"/>
      <c r="K147" s="526"/>
    </row>
    <row r="148" spans="1:12">
      <c r="A148" s="120">
        <f t="shared" si="34"/>
        <v>122</v>
      </c>
      <c r="B148" s="466" t="s">
        <v>1475</v>
      </c>
      <c r="C148" s="967">
        <f>SUM(C97:C147)</f>
        <v>176795961.93578613</v>
      </c>
      <c r="D148" s="967">
        <f>SUM(D97:D147)</f>
        <v>84308852.055907577</v>
      </c>
      <c r="E148" s="967">
        <f>SUM(E97:E147)</f>
        <v>92487109.879878566</v>
      </c>
      <c r="F148" s="1324"/>
      <c r="G148" s="967">
        <f>SUM(G97:G147)</f>
        <v>78494545.217356786</v>
      </c>
      <c r="H148" s="967">
        <f>SUM(H97:H147)</f>
        <v>32643286.278912343</v>
      </c>
      <c r="I148" s="967">
        <f>SUM(I97:I147)</f>
        <v>45851258.938444443</v>
      </c>
      <c r="J148" s="526"/>
      <c r="K148" s="950"/>
      <c r="L148" s="526"/>
    </row>
    <row r="149" spans="1:12">
      <c r="A149" s="120">
        <f t="shared" si="34"/>
        <v>123</v>
      </c>
      <c r="B149" s="563"/>
      <c r="C149" s="663"/>
      <c r="D149" s="663"/>
      <c r="E149" s="663"/>
      <c r="F149" s="984"/>
      <c r="G149" s="985"/>
      <c r="H149" s="981"/>
      <c r="I149" s="981"/>
      <c r="J149" s="981"/>
      <c r="K149" s="950"/>
    </row>
    <row r="150" spans="1:12">
      <c r="A150" s="120"/>
      <c r="B150" s="467"/>
      <c r="C150" s="475"/>
      <c r="D150" s="475"/>
      <c r="E150" s="475"/>
      <c r="F150" s="476"/>
      <c r="G150" s="477"/>
      <c r="H150" s="475"/>
      <c r="I150" s="475"/>
      <c r="J150" s="475"/>
      <c r="K150" s="526"/>
    </row>
    <row r="151" spans="1:12">
      <c r="A151" s="120"/>
      <c r="B151" s="91" t="s">
        <v>391</v>
      </c>
      <c r="C151" s="454" t="s">
        <v>375</v>
      </c>
      <c r="D151" s="454" t="s">
        <v>376</v>
      </c>
      <c r="E151" s="454" t="s">
        <v>377</v>
      </c>
      <c r="F151" s="455" t="s">
        <v>378</v>
      </c>
      <c r="G151" s="454" t="s">
        <v>379</v>
      </c>
      <c r="H151" s="454" t="s">
        <v>380</v>
      </c>
      <c r="I151" s="454" t="s">
        <v>593</v>
      </c>
      <c r="J151" s="1051" t="s">
        <v>1040</v>
      </c>
      <c r="K151" s="526"/>
    </row>
    <row r="152" spans="1:12">
      <c r="A152" s="120"/>
      <c r="C152" s="968" t="s">
        <v>1471</v>
      </c>
      <c r="D152" s="968" t="s">
        <v>1472</v>
      </c>
      <c r="E152" s="968" t="s">
        <v>1473</v>
      </c>
      <c r="F152" s="977" t="s">
        <v>1298</v>
      </c>
      <c r="G152" s="617" t="s">
        <v>1402</v>
      </c>
      <c r="H152" s="618" t="s">
        <v>1880</v>
      </c>
      <c r="I152" s="618" t="s">
        <v>1881</v>
      </c>
      <c r="J152" s="526"/>
      <c r="K152" s="526"/>
    </row>
    <row r="153" spans="1:12">
      <c r="A153" s="120"/>
      <c r="C153" s="968"/>
      <c r="D153" s="968"/>
      <c r="E153" s="968"/>
      <c r="F153" s="976"/>
      <c r="G153" s="977"/>
      <c r="H153" s="563"/>
      <c r="I153" s="563"/>
      <c r="J153" s="968"/>
      <c r="K153" s="526"/>
    </row>
    <row r="154" spans="1:12">
      <c r="A154" s="120"/>
      <c r="B154" s="1403" t="s">
        <v>1406</v>
      </c>
      <c r="C154" s="1404" t="s">
        <v>1409</v>
      </c>
      <c r="D154" s="1401"/>
      <c r="E154" s="1402"/>
      <c r="F154" s="473" t="s">
        <v>1609</v>
      </c>
      <c r="G154" s="1395" t="s">
        <v>1474</v>
      </c>
      <c r="H154" s="1396"/>
      <c r="I154" s="1397"/>
      <c r="J154" s="1052" t="s">
        <v>1967</v>
      </c>
      <c r="K154" s="526"/>
    </row>
    <row r="155" spans="1:12">
      <c r="A155" s="120"/>
      <c r="B155" s="1403"/>
      <c r="C155" s="948" t="s">
        <v>215</v>
      </c>
      <c r="D155" s="459" t="s">
        <v>1410</v>
      </c>
      <c r="E155" s="459" t="s">
        <v>1411</v>
      </c>
      <c r="F155" s="473" t="s">
        <v>475</v>
      </c>
      <c r="G155" s="948" t="s">
        <v>215</v>
      </c>
      <c r="H155" s="459" t="s">
        <v>1410</v>
      </c>
      <c r="I155" s="459" t="s">
        <v>1411</v>
      </c>
      <c r="J155" s="1001" t="s">
        <v>224</v>
      </c>
      <c r="K155" s="526"/>
    </row>
    <row r="156" spans="1:12" ht="12.75" customHeight="1">
      <c r="A156" s="120"/>
      <c r="B156" s="468" t="s">
        <v>1456</v>
      </c>
      <c r="C156" s="663"/>
      <c r="D156" s="663"/>
      <c r="E156" s="663"/>
      <c r="F156" s="984"/>
      <c r="G156" s="985"/>
      <c r="H156" s="981"/>
      <c r="I156" s="981"/>
      <c r="J156" s="981"/>
      <c r="K156" s="526"/>
    </row>
    <row r="157" spans="1:12" ht="12.75" customHeight="1">
      <c r="A157" s="120">
        <f>A149+1</f>
        <v>124</v>
      </c>
      <c r="B157" s="535" t="s">
        <v>1457</v>
      </c>
      <c r="C157" s="1315">
        <f t="shared" ref="C157:E164" si="35">J71</f>
        <v>24220560.159999996</v>
      </c>
      <c r="D157" s="1315">
        <f t="shared" si="35"/>
        <v>17289914.677293479</v>
      </c>
      <c r="E157" s="1315">
        <f t="shared" si="35"/>
        <v>6930645.482706517</v>
      </c>
      <c r="F157" s="1063">
        <f>J215</f>
        <v>0</v>
      </c>
      <c r="G157" s="981">
        <f t="shared" ref="G157:G164" si="36">SUM(H157:I157)</f>
        <v>0</v>
      </c>
      <c r="H157" s="981">
        <f t="shared" ref="H157:H166" si="37">D157*F157</f>
        <v>0</v>
      </c>
      <c r="I157" s="981">
        <f t="shared" ref="I157:I166" si="38">E157*F157</f>
        <v>0</v>
      </c>
      <c r="J157" s="526" t="s">
        <v>2138</v>
      </c>
      <c r="K157" s="526"/>
    </row>
    <row r="158" spans="1:12" ht="12.75" customHeight="1">
      <c r="A158" s="120">
        <f t="shared" ref="A158:A167" si="39">A157+1</f>
        <v>125</v>
      </c>
      <c r="B158" s="535" t="s">
        <v>1458</v>
      </c>
      <c r="C158" s="1315">
        <f t="shared" si="35"/>
        <v>10791930.810000001</v>
      </c>
      <c r="D158" s="1315">
        <f t="shared" si="35"/>
        <v>9155922.9743991364</v>
      </c>
      <c r="E158" s="1315">
        <f t="shared" si="35"/>
        <v>1636007.8356008644</v>
      </c>
      <c r="F158" s="1063">
        <f>J215</f>
        <v>0</v>
      </c>
      <c r="G158" s="981">
        <f t="shared" si="36"/>
        <v>0</v>
      </c>
      <c r="H158" s="981">
        <f t="shared" si="37"/>
        <v>0</v>
      </c>
      <c r="I158" s="981">
        <f t="shared" si="38"/>
        <v>0</v>
      </c>
      <c r="J158" s="526" t="s">
        <v>2138</v>
      </c>
      <c r="K158" s="526"/>
    </row>
    <row r="159" spans="1:12" ht="12.75" customHeight="1">
      <c r="A159" s="120">
        <f t="shared" si="39"/>
        <v>126</v>
      </c>
      <c r="B159" s="535" t="s">
        <v>1459</v>
      </c>
      <c r="C159" s="1315">
        <f t="shared" si="35"/>
        <v>2386347.5300000007</v>
      </c>
      <c r="D159" s="1315">
        <f t="shared" si="35"/>
        <v>2048868.7541387454</v>
      </c>
      <c r="E159" s="1315">
        <f t="shared" si="35"/>
        <v>337478.77586125542</v>
      </c>
      <c r="F159" s="1063">
        <f>J215</f>
        <v>0</v>
      </c>
      <c r="G159" s="981">
        <f t="shared" si="36"/>
        <v>0</v>
      </c>
      <c r="H159" s="981">
        <f t="shared" si="37"/>
        <v>0</v>
      </c>
      <c r="I159" s="981">
        <f t="shared" si="38"/>
        <v>0</v>
      </c>
      <c r="J159" s="526" t="s">
        <v>2138</v>
      </c>
      <c r="K159" s="526"/>
    </row>
    <row r="160" spans="1:12" ht="12.75" customHeight="1">
      <c r="A160" s="120">
        <f t="shared" si="39"/>
        <v>127</v>
      </c>
      <c r="B160" s="535" t="s">
        <v>1460</v>
      </c>
      <c r="C160" s="1315">
        <f t="shared" si="35"/>
        <v>72359.460000000006</v>
      </c>
      <c r="D160" s="1315">
        <f t="shared" si="35"/>
        <v>7390.4000511447894</v>
      </c>
      <c r="E160" s="1315">
        <f t="shared" si="35"/>
        <v>64969.059948855211</v>
      </c>
      <c r="F160" s="1063">
        <f>J215</f>
        <v>0</v>
      </c>
      <c r="G160" s="981">
        <f t="shared" si="36"/>
        <v>0</v>
      </c>
      <c r="H160" s="981">
        <f t="shared" si="37"/>
        <v>0</v>
      </c>
      <c r="I160" s="981">
        <f t="shared" si="38"/>
        <v>0</v>
      </c>
      <c r="J160" s="526" t="s">
        <v>2138</v>
      </c>
      <c r="K160" s="526"/>
    </row>
    <row r="161" spans="1:12" ht="12.75" customHeight="1">
      <c r="A161" s="120">
        <f t="shared" si="39"/>
        <v>128</v>
      </c>
      <c r="B161" s="535" t="s">
        <v>1461</v>
      </c>
      <c r="C161" s="1315">
        <f t="shared" si="35"/>
        <v>857666.39000000013</v>
      </c>
      <c r="D161" s="1315">
        <f t="shared" si="35"/>
        <v>603961.30095756229</v>
      </c>
      <c r="E161" s="1315">
        <f t="shared" si="35"/>
        <v>253705.08904243787</v>
      </c>
      <c r="F161" s="985">
        <f>'27-Allocators'!D114</f>
        <v>0</v>
      </c>
      <c r="G161" s="981">
        <f t="shared" si="36"/>
        <v>0</v>
      </c>
      <c r="H161" s="981">
        <f t="shared" si="37"/>
        <v>0</v>
      </c>
      <c r="I161" s="981">
        <f t="shared" si="38"/>
        <v>0</v>
      </c>
      <c r="J161" s="526" t="str">
        <f>"27-Allocators Line "&amp;'27-Allocators'!A114&amp;""</f>
        <v>27-Allocators Line 108</v>
      </c>
      <c r="K161" s="526"/>
    </row>
    <row r="162" spans="1:12" ht="12.75" customHeight="1">
      <c r="A162" s="120">
        <f t="shared" si="39"/>
        <v>129</v>
      </c>
      <c r="B162" s="535" t="s">
        <v>1462</v>
      </c>
      <c r="C162" s="1315">
        <f t="shared" si="35"/>
        <v>2677958.2899999996</v>
      </c>
      <c r="D162" s="1315">
        <f t="shared" si="35"/>
        <v>2302749.9876782214</v>
      </c>
      <c r="E162" s="1315">
        <f t="shared" si="35"/>
        <v>375208.30232177797</v>
      </c>
      <c r="F162" s="985">
        <f>'27-Allocators'!D120</f>
        <v>0</v>
      </c>
      <c r="G162" s="981">
        <f t="shared" si="36"/>
        <v>0</v>
      </c>
      <c r="H162" s="981">
        <f t="shared" si="37"/>
        <v>0</v>
      </c>
      <c r="I162" s="981">
        <f t="shared" si="38"/>
        <v>0</v>
      </c>
      <c r="J162" s="526" t="str">
        <f>"27-Allocators Line "&amp;'27-Allocators'!A120&amp;""</f>
        <v>27-Allocators Line 114</v>
      </c>
      <c r="K162" s="526"/>
    </row>
    <row r="163" spans="1:12" ht="12.75" customHeight="1">
      <c r="A163" s="120">
        <f t="shared" si="39"/>
        <v>130</v>
      </c>
      <c r="B163" s="535" t="s">
        <v>1463</v>
      </c>
      <c r="C163" s="1315">
        <f t="shared" si="35"/>
        <v>981243.77</v>
      </c>
      <c r="D163" s="1315">
        <f t="shared" si="35"/>
        <v>848244.92439145315</v>
      </c>
      <c r="E163" s="1315">
        <f t="shared" si="35"/>
        <v>132998.84560854686</v>
      </c>
      <c r="F163" s="985">
        <f>'27-Allocators'!D126</f>
        <v>0</v>
      </c>
      <c r="G163" s="981">
        <f t="shared" si="36"/>
        <v>0</v>
      </c>
      <c r="H163" s="981">
        <f t="shared" si="37"/>
        <v>0</v>
      </c>
      <c r="I163" s="981">
        <f t="shared" si="38"/>
        <v>0</v>
      </c>
      <c r="J163" s="526" t="str">
        <f>"27-Allocators Line "&amp;'27-Allocators'!A126&amp;""</f>
        <v>27-Allocators Line 120</v>
      </c>
      <c r="K163" s="526"/>
    </row>
    <row r="164" spans="1:12" ht="12.75" customHeight="1">
      <c r="A164" s="120">
        <f t="shared" si="39"/>
        <v>131</v>
      </c>
      <c r="B164" s="535" t="s">
        <v>1464</v>
      </c>
      <c r="C164" s="1315">
        <f t="shared" si="35"/>
        <v>5744953.0399999982</v>
      </c>
      <c r="D164" s="1315">
        <f t="shared" si="35"/>
        <v>1620665.3197741595</v>
      </c>
      <c r="E164" s="1315">
        <f t="shared" si="35"/>
        <v>4124287.7202258389</v>
      </c>
      <c r="F164" s="1063">
        <f>J215</f>
        <v>0</v>
      </c>
      <c r="G164" s="981">
        <f t="shared" si="36"/>
        <v>0</v>
      </c>
      <c r="H164" s="981">
        <f t="shared" si="37"/>
        <v>0</v>
      </c>
      <c r="I164" s="981">
        <f t="shared" si="38"/>
        <v>0</v>
      </c>
      <c r="J164" s="526" t="s">
        <v>2138</v>
      </c>
      <c r="K164" s="526"/>
      <c r="L164" s="269"/>
    </row>
    <row r="165" spans="1:12" ht="15">
      <c r="A165" s="1054">
        <f t="shared" si="39"/>
        <v>132</v>
      </c>
      <c r="B165" s="986" t="s">
        <v>1465</v>
      </c>
      <c r="C165" s="1325">
        <f t="shared" ref="C165:E166" si="40">J79</f>
        <v>467546677.9600001</v>
      </c>
      <c r="D165" s="1315">
        <f t="shared" si="40"/>
        <v>202519350.57225418</v>
      </c>
      <c r="E165" s="1315">
        <f t="shared" si="40"/>
        <v>265027327.38774592</v>
      </c>
      <c r="F165" s="1064">
        <v>0</v>
      </c>
      <c r="G165" s="478">
        <v>0</v>
      </c>
      <c r="H165" s="981">
        <f t="shared" si="37"/>
        <v>0</v>
      </c>
      <c r="I165" s="981">
        <f t="shared" si="38"/>
        <v>0</v>
      </c>
      <c r="J165" s="1053" t="s">
        <v>2135</v>
      </c>
      <c r="K165" s="526"/>
    </row>
    <row r="166" spans="1:12" ht="12.75" customHeight="1">
      <c r="A166" s="120">
        <f t="shared" si="39"/>
        <v>133</v>
      </c>
      <c r="B166" s="661" t="s">
        <v>2462</v>
      </c>
      <c r="C166" s="964">
        <f t="shared" si="40"/>
        <v>24163192.593198575</v>
      </c>
      <c r="D166" s="964">
        <f t="shared" si="40"/>
        <v>24163192.593198575</v>
      </c>
      <c r="E166" s="964">
        <f t="shared" si="40"/>
        <v>0</v>
      </c>
      <c r="F166" s="1065">
        <v>0</v>
      </c>
      <c r="G166" s="983">
        <f>SUM(H166:I166)</f>
        <v>0</v>
      </c>
      <c r="H166" s="983">
        <f t="shared" si="37"/>
        <v>0</v>
      </c>
      <c r="I166" s="983">
        <f t="shared" si="38"/>
        <v>0</v>
      </c>
      <c r="J166" s="1053" t="s">
        <v>2135</v>
      </c>
      <c r="K166" s="526"/>
    </row>
    <row r="167" spans="1:12">
      <c r="A167" s="120">
        <f t="shared" si="39"/>
        <v>134</v>
      </c>
      <c r="B167" s="467" t="s">
        <v>1476</v>
      </c>
      <c r="C167" s="1315">
        <f>SUM(C157:C166)</f>
        <v>539442890.00319862</v>
      </c>
      <c r="D167" s="1315">
        <f>SUM(D157:D166)</f>
        <v>260560261.50413665</v>
      </c>
      <c r="E167" s="1315">
        <f>SUM(E157:E166)</f>
        <v>278882628.499062</v>
      </c>
      <c r="F167" s="476"/>
      <c r="G167" s="972">
        <f>SUM(G157:G165)</f>
        <v>0</v>
      </c>
      <c r="H167" s="972">
        <f>SUM(H157:H165)</f>
        <v>0</v>
      </c>
      <c r="I167" s="972">
        <f>SUM(I157:I165)</f>
        <v>0</v>
      </c>
      <c r="J167" s="526"/>
      <c r="K167" s="526"/>
    </row>
    <row r="168" spans="1:12">
      <c r="A168" s="120">
        <f>+A167+1</f>
        <v>135</v>
      </c>
      <c r="B168" s="467"/>
      <c r="C168" s="663"/>
      <c r="D168" s="663"/>
      <c r="E168" s="663"/>
      <c r="F168" s="476"/>
      <c r="G168" s="972"/>
      <c r="H168" s="969"/>
      <c r="I168" s="479"/>
      <c r="J168" s="526"/>
      <c r="K168" s="526"/>
    </row>
    <row r="169" spans="1:12">
      <c r="A169" s="120">
        <f>A168+1</f>
        <v>136</v>
      </c>
      <c r="B169" s="968"/>
      <c r="C169" s="974"/>
      <c r="D169" s="974"/>
      <c r="E169" s="974"/>
      <c r="F169" s="984"/>
      <c r="G169" s="981"/>
      <c r="H169" s="981"/>
      <c r="I169" s="981"/>
    </row>
    <row r="170" spans="1:12">
      <c r="A170" s="120">
        <f>A169+1</f>
        <v>137</v>
      </c>
      <c r="B170" s="467" t="s">
        <v>1883</v>
      </c>
      <c r="C170" s="1316">
        <f>+C148+C167</f>
        <v>716238851.93898475</v>
      </c>
      <c r="D170" s="1316">
        <f>+D148+D167</f>
        <v>344869113.56004423</v>
      </c>
      <c r="E170" s="1316">
        <f>+E148+E167</f>
        <v>371369738.37894058</v>
      </c>
      <c r="F170" s="463"/>
      <c r="G170" s="1391">
        <f>SUM(H170:I170)</f>
        <v>78494545.217356786</v>
      </c>
      <c r="H170" s="1316">
        <f>+H148+H167</f>
        <v>32643286.278912343</v>
      </c>
      <c r="I170" s="1316">
        <f>+I148+I167</f>
        <v>45851258.938444443</v>
      </c>
    </row>
    <row r="171" spans="1:12">
      <c r="A171" s="120">
        <f>A170+1</f>
        <v>138</v>
      </c>
      <c r="B171" s="528" t="str">
        <f>"Line "&amp;A148&amp;" +  Line "&amp;A167&amp;""</f>
        <v>Line 122 +  Line 134</v>
      </c>
    </row>
    <row r="172" spans="1:12">
      <c r="A172" s="526"/>
    </row>
    <row r="173" spans="1:12">
      <c r="A173" s="526"/>
      <c r="B173" s="480" t="s">
        <v>256</v>
      </c>
    </row>
    <row r="174" spans="1:12">
      <c r="A174" s="526"/>
      <c r="B174" s="988" t="s">
        <v>1477</v>
      </c>
      <c r="G174" s="989"/>
      <c r="H174" s="990"/>
      <c r="I174" s="990"/>
      <c r="J174" s="526"/>
      <c r="K174" s="526"/>
    </row>
    <row r="175" spans="1:12">
      <c r="A175" s="526"/>
      <c r="B175" s="991" t="s">
        <v>1478</v>
      </c>
      <c r="G175" s="989"/>
      <c r="H175" s="990"/>
      <c r="I175" s="990"/>
      <c r="J175" s="526"/>
      <c r="K175" s="526"/>
    </row>
    <row r="176" spans="1:12">
      <c r="A176" s="526"/>
      <c r="B176" s="992" t="s">
        <v>1479</v>
      </c>
      <c r="G176" s="989"/>
      <c r="H176" s="990"/>
      <c r="I176" s="990"/>
      <c r="J176" s="526"/>
      <c r="K176" s="526"/>
    </row>
    <row r="177" spans="1:12">
      <c r="A177" s="526"/>
      <c r="B177" s="666" t="s">
        <v>1480</v>
      </c>
      <c r="G177" s="989"/>
      <c r="H177" s="990"/>
      <c r="I177" s="990"/>
      <c r="J177" s="526"/>
      <c r="K177" s="526"/>
    </row>
    <row r="178" spans="1:12">
      <c r="A178" s="526"/>
      <c r="B178" s="666" t="s">
        <v>1481</v>
      </c>
      <c r="G178" s="989"/>
      <c r="H178" s="990"/>
      <c r="I178" s="990"/>
      <c r="J178" s="526"/>
      <c r="K178" s="526"/>
    </row>
    <row r="179" spans="1:12">
      <c r="A179" s="526"/>
      <c r="B179" s="666" t="s">
        <v>1482</v>
      </c>
      <c r="G179" s="989"/>
      <c r="H179" s="990"/>
      <c r="I179" s="990"/>
      <c r="J179" s="526"/>
      <c r="K179" s="526"/>
    </row>
    <row r="180" spans="1:12">
      <c r="A180" s="526"/>
      <c r="B180" s="1055" t="s">
        <v>2781</v>
      </c>
      <c r="G180" s="989"/>
      <c r="H180" s="990"/>
      <c r="I180" s="990"/>
      <c r="J180" s="526"/>
      <c r="K180" s="526"/>
    </row>
    <row r="181" spans="1:12">
      <c r="A181" s="526"/>
      <c r="B181" s="666" t="s">
        <v>2682</v>
      </c>
      <c r="G181" s="989"/>
      <c r="H181" s="990"/>
      <c r="I181" s="990"/>
      <c r="J181" s="526"/>
      <c r="K181" s="526"/>
    </row>
    <row r="182" spans="1:12">
      <c r="A182" s="526"/>
      <c r="B182" s="666" t="s">
        <v>2681</v>
      </c>
      <c r="G182" s="989"/>
      <c r="H182" s="990"/>
      <c r="I182" s="990"/>
      <c r="J182" s="526"/>
      <c r="K182" s="526"/>
    </row>
    <row r="183" spans="1:12">
      <c r="A183" s="526"/>
      <c r="B183" s="666" t="s">
        <v>2680</v>
      </c>
      <c r="G183" s="989"/>
      <c r="H183" s="990"/>
      <c r="I183" s="990"/>
      <c r="J183" s="526"/>
      <c r="K183" s="526"/>
    </row>
    <row r="184" spans="1:12">
      <c r="A184" s="526"/>
      <c r="B184" s="666" t="s">
        <v>2660</v>
      </c>
      <c r="G184" s="989"/>
      <c r="H184" s="990"/>
      <c r="I184" s="990"/>
      <c r="J184" s="526"/>
      <c r="K184" s="526"/>
    </row>
    <row r="185" spans="1:12">
      <c r="A185" s="526"/>
      <c r="B185" s="993" t="s">
        <v>3035</v>
      </c>
      <c r="C185" s="959"/>
      <c r="D185" s="959"/>
      <c r="E185" s="959"/>
      <c r="F185" s="960"/>
      <c r="G185" s="994"/>
      <c r="H185" s="995"/>
      <c r="I185" s="995"/>
      <c r="J185" s="959"/>
      <c r="K185" s="526"/>
      <c r="L185" s="526"/>
    </row>
    <row r="186" spans="1:12">
      <c r="A186" s="526"/>
      <c r="B186" s="993"/>
      <c r="C186" s="1236"/>
      <c r="D186" s="1236"/>
      <c r="E186" s="1236"/>
      <c r="F186" s="960"/>
      <c r="G186" s="994"/>
      <c r="H186" s="995"/>
      <c r="I186" s="995"/>
      <c r="J186" s="959"/>
      <c r="K186" s="526"/>
      <c r="L186" s="526"/>
    </row>
    <row r="187" spans="1:12">
      <c r="A187" s="526"/>
      <c r="B187" s="526" t="s">
        <v>2472</v>
      </c>
      <c r="G187" s="989"/>
      <c r="H187" s="990"/>
      <c r="I187" s="990"/>
      <c r="J187" s="526"/>
      <c r="K187" s="526"/>
    </row>
    <row r="188" spans="1:12">
      <c r="A188" s="526"/>
      <c r="B188" s="526" t="s">
        <v>2463</v>
      </c>
      <c r="G188" s="989"/>
      <c r="H188" s="990"/>
      <c r="I188" s="990"/>
      <c r="J188" s="526"/>
      <c r="K188" s="526"/>
    </row>
    <row r="189" spans="1:12">
      <c r="A189" s="526"/>
      <c r="G189" s="989"/>
      <c r="H189" s="990"/>
      <c r="I189" s="990"/>
      <c r="J189" s="526"/>
      <c r="K189" s="526"/>
    </row>
    <row r="190" spans="1:12">
      <c r="A190" s="526"/>
      <c r="B190" s="1056" t="s">
        <v>2464</v>
      </c>
      <c r="C190" s="959">
        <v>70</v>
      </c>
      <c r="G190" s="989"/>
      <c r="H190" s="990"/>
      <c r="I190" s="990"/>
      <c r="J190" s="526"/>
      <c r="K190" s="526"/>
    </row>
    <row r="191" spans="1:12">
      <c r="A191" s="526"/>
      <c r="G191" s="989"/>
      <c r="H191" s="990"/>
      <c r="I191" s="990"/>
      <c r="J191" s="526"/>
      <c r="K191" s="526"/>
    </row>
    <row r="192" spans="1:12">
      <c r="A192" s="526"/>
      <c r="B192" s="996"/>
      <c r="C192" s="503" t="s">
        <v>1610</v>
      </c>
      <c r="D192" s="503" t="s">
        <v>171</v>
      </c>
      <c r="G192" s="989"/>
      <c r="H192" s="990"/>
      <c r="I192" s="990"/>
      <c r="J192" s="526"/>
      <c r="K192" s="526"/>
    </row>
    <row r="193" spans="1:11">
      <c r="A193" s="526"/>
      <c r="B193" s="996" t="s">
        <v>2465</v>
      </c>
      <c r="C193" s="997">
        <f>D62/D83</f>
        <v>0.24434794525684128</v>
      </c>
      <c r="D193" s="996" t="str">
        <f>"Line "&amp;A62&amp;", Col 3 / Line "&amp;A83&amp;", Col 3"</f>
        <v>Line 52, Col 3 / Line 66, Col 3</v>
      </c>
      <c r="G193" s="989"/>
      <c r="H193" s="990"/>
      <c r="I193" s="990"/>
      <c r="J193" s="526"/>
      <c r="K193" s="526"/>
    </row>
    <row r="194" spans="1:11">
      <c r="A194" s="526"/>
      <c r="B194" s="996" t="s">
        <v>2466</v>
      </c>
      <c r="C194" s="997">
        <f>D81/D83</f>
        <v>0.75565205474315877</v>
      </c>
      <c r="D194" s="996" t="str">
        <f>"Line "&amp;A81&amp;", Col 3 / Line "&amp;A83&amp;", Col 3"</f>
        <v>Line 64, Col 3 / Line 66, Col 3</v>
      </c>
      <c r="G194" s="989"/>
      <c r="H194" s="990"/>
      <c r="I194" s="990"/>
      <c r="J194" s="526"/>
      <c r="K194" s="526"/>
    </row>
    <row r="195" spans="1:11">
      <c r="A195" s="526"/>
      <c r="G195" s="989"/>
      <c r="H195" s="990"/>
      <c r="I195" s="990"/>
      <c r="J195" s="526"/>
      <c r="K195" s="526"/>
    </row>
    <row r="196" spans="1:11">
      <c r="A196" s="526"/>
      <c r="B196" s="526" t="s">
        <v>2467</v>
      </c>
      <c r="G196" s="989"/>
      <c r="H196" s="990"/>
      <c r="I196" s="990"/>
      <c r="J196" s="526"/>
      <c r="K196" s="526"/>
    </row>
    <row r="197" spans="1:11">
      <c r="A197" s="526"/>
      <c r="B197" s="526" t="s">
        <v>2468</v>
      </c>
      <c r="G197" s="989"/>
      <c r="H197" s="990"/>
      <c r="I197" s="990"/>
      <c r="J197" s="526"/>
      <c r="K197" s="526"/>
    </row>
    <row r="198" spans="1:11">
      <c r="A198" s="526"/>
      <c r="B198" s="526" t="s">
        <v>1966</v>
      </c>
      <c r="C198" s="1057">
        <f>(SUM(H97:H145)/SUM(D97:D145))</f>
        <v>0.38718693806037896</v>
      </c>
      <c r="G198" s="989"/>
      <c r="H198" s="990"/>
      <c r="I198" s="990"/>
      <c r="J198" s="526"/>
      <c r="K198" s="526"/>
    </row>
    <row r="199" spans="1:11">
      <c r="A199" s="526"/>
      <c r="B199" s="526" t="s">
        <v>1882</v>
      </c>
      <c r="G199" s="989"/>
      <c r="H199" s="990"/>
      <c r="I199" s="990"/>
      <c r="J199" s="526"/>
      <c r="K199" s="526"/>
    </row>
    <row r="200" spans="1:11">
      <c r="A200" s="526"/>
      <c r="B200" s="526" t="s">
        <v>2133</v>
      </c>
      <c r="G200" s="989"/>
      <c r="H200" s="990"/>
      <c r="I200" s="990"/>
      <c r="J200" s="526"/>
      <c r="K200" s="526"/>
    </row>
    <row r="201" spans="1:11">
      <c r="A201" s="526"/>
      <c r="B201" s="526"/>
      <c r="G201" s="989"/>
      <c r="H201" s="990"/>
      <c r="I201" s="990"/>
      <c r="J201" s="526"/>
      <c r="K201" s="526"/>
    </row>
    <row r="202" spans="1:11">
      <c r="A202" s="526"/>
      <c r="B202" s="526" t="s">
        <v>2131</v>
      </c>
      <c r="G202" s="989"/>
      <c r="H202" s="990"/>
      <c r="I202" s="990"/>
      <c r="J202" s="526"/>
      <c r="K202" s="526"/>
    </row>
    <row r="203" spans="1:11">
      <c r="A203" s="526"/>
      <c r="B203" s="996" t="s">
        <v>2139</v>
      </c>
      <c r="G203" s="989"/>
      <c r="H203" s="990"/>
      <c r="I203" s="990"/>
      <c r="J203" s="1058" t="s">
        <v>1967</v>
      </c>
      <c r="K203" s="526"/>
    </row>
    <row r="204" spans="1:11">
      <c r="A204" s="526"/>
      <c r="B204" s="1059" t="s">
        <v>2145</v>
      </c>
      <c r="G204" s="989"/>
      <c r="H204" s="990"/>
      <c r="I204" s="990"/>
      <c r="J204" s="1060">
        <f>SUM(H99:H109, H113, H116:H120,H132:H144)/SUM(D99:D109,D113,D116:D120,D132:D144)</f>
        <v>0.38769978295393082</v>
      </c>
      <c r="K204" s="526"/>
    </row>
    <row r="205" spans="1:11">
      <c r="A205" s="526"/>
      <c r="B205" s="1059" t="s">
        <v>2678</v>
      </c>
      <c r="G205" s="989"/>
      <c r="H205" s="990"/>
      <c r="I205" s="990"/>
      <c r="J205" s="1060"/>
      <c r="K205" s="526"/>
    </row>
    <row r="206" spans="1:11">
      <c r="A206" s="526"/>
      <c r="B206" s="996" t="s">
        <v>2150</v>
      </c>
      <c r="G206" s="989"/>
      <c r="H206" s="990"/>
      <c r="I206" s="990"/>
      <c r="J206" s="526"/>
      <c r="K206" s="526"/>
    </row>
    <row r="207" spans="1:11">
      <c r="A207" s="526"/>
      <c r="B207" s="1059" t="s">
        <v>1968</v>
      </c>
      <c r="G207" s="989"/>
      <c r="H207" s="990"/>
      <c r="I207" s="990"/>
      <c r="J207" s="1060">
        <f>SUM(H104:H107, H132:H137)/SUM(D104:D107,D132:D137)</f>
        <v>0.20853001122734152</v>
      </c>
      <c r="K207" s="526"/>
    </row>
    <row r="208" spans="1:11">
      <c r="A208" s="526"/>
      <c r="B208" s="996" t="s">
        <v>2152</v>
      </c>
      <c r="G208" s="989"/>
      <c r="H208" s="990"/>
      <c r="I208" s="990"/>
      <c r="J208" s="526"/>
      <c r="K208" s="526"/>
    </row>
    <row r="209" spans="1:11">
      <c r="A209" s="526"/>
      <c r="B209" s="1059" t="s">
        <v>1969</v>
      </c>
      <c r="G209" s="989"/>
      <c r="H209" s="990"/>
      <c r="I209" s="990"/>
      <c r="J209" s="1060">
        <f>SUM(H132:H134,H136)/SUM(D132:D134,D136)</f>
        <v>0.33802622067384658</v>
      </c>
      <c r="K209" s="526"/>
    </row>
    <row r="210" spans="1:11">
      <c r="A210" s="526"/>
      <c r="B210" s="1061" t="s">
        <v>1443</v>
      </c>
      <c r="G210" s="989"/>
      <c r="H210" s="990"/>
      <c r="I210" s="990"/>
      <c r="J210" s="526"/>
      <c r="K210" s="526"/>
    </row>
    <row r="211" spans="1:11">
      <c r="A211" s="526"/>
      <c r="B211" s="1061" t="s">
        <v>1834</v>
      </c>
      <c r="G211" s="989"/>
      <c r="H211" s="990"/>
      <c r="I211" s="990"/>
      <c r="J211" s="526"/>
      <c r="K211" s="526"/>
    </row>
    <row r="212" spans="1:11">
      <c r="A212" s="526"/>
      <c r="B212" s="1061" t="s">
        <v>1445</v>
      </c>
      <c r="G212" s="989"/>
      <c r="H212" s="990"/>
      <c r="I212" s="990"/>
      <c r="J212" s="526"/>
      <c r="K212" s="526"/>
    </row>
    <row r="213" spans="1:11">
      <c r="A213" s="526"/>
      <c r="B213" s="1061" t="s">
        <v>1444</v>
      </c>
      <c r="G213" s="989"/>
      <c r="H213" s="990"/>
      <c r="I213" s="990"/>
      <c r="J213" s="526"/>
      <c r="K213" s="526"/>
    </row>
    <row r="214" spans="1:11">
      <c r="A214" s="526"/>
      <c r="B214" s="996" t="s">
        <v>2151</v>
      </c>
      <c r="G214" s="989"/>
      <c r="H214" s="990"/>
      <c r="I214" s="990"/>
      <c r="J214" s="526"/>
      <c r="K214" s="526"/>
    </row>
    <row r="215" spans="1:11">
      <c r="A215" s="526"/>
      <c r="B215" s="1059" t="s">
        <v>2147</v>
      </c>
      <c r="G215" s="989"/>
      <c r="H215" s="990"/>
      <c r="I215" s="990"/>
      <c r="J215" s="1057">
        <f>SUM(H161:H163)/SUM(D161:D163)</f>
        <v>0</v>
      </c>
      <c r="K215" s="526"/>
    </row>
    <row r="216" spans="1:11">
      <c r="A216" s="526"/>
      <c r="B216" s="1059" t="s">
        <v>2146</v>
      </c>
      <c r="G216" s="989"/>
      <c r="H216" s="990"/>
      <c r="I216" s="990"/>
      <c r="J216" s="526"/>
      <c r="K216" s="526"/>
    </row>
    <row r="217" spans="1:11">
      <c r="A217" s="526"/>
      <c r="B217" s="526" t="s">
        <v>2155</v>
      </c>
      <c r="G217" s="989"/>
      <c r="H217" s="990"/>
      <c r="I217" s="990"/>
      <c r="J217" s="526"/>
      <c r="K217" s="526"/>
    </row>
    <row r="218" spans="1:11">
      <c r="A218" s="526"/>
      <c r="B218" s="526"/>
      <c r="G218" s="989"/>
      <c r="H218" s="990"/>
      <c r="I218" s="990"/>
      <c r="J218" s="526"/>
      <c r="K218" s="526"/>
    </row>
    <row r="219" spans="1:11">
      <c r="A219" s="526"/>
    </row>
    <row r="220" spans="1:11">
      <c r="A220" s="526"/>
    </row>
  </sheetData>
  <mergeCells count="14">
    <mergeCell ref="J8:L8"/>
    <mergeCell ref="B68:B69"/>
    <mergeCell ref="C68:E68"/>
    <mergeCell ref="G68:I68"/>
    <mergeCell ref="J68:L68"/>
    <mergeCell ref="G154:I154"/>
    <mergeCell ref="G94:I94"/>
    <mergeCell ref="B8:B9"/>
    <mergeCell ref="C8:E8"/>
    <mergeCell ref="G8:I8"/>
    <mergeCell ref="B94:B95"/>
    <mergeCell ref="C94:E94"/>
    <mergeCell ref="B154:B155"/>
    <mergeCell ref="C154:E154"/>
  </mergeCells>
  <pageMargins left="0.7" right="0.7" top="0.75" bottom="0.75" header="0.3" footer="0.3"/>
  <pageSetup scale="60" orientation="landscape" cellComments="asDisplayed" r:id="rId1"/>
  <headerFooter>
    <oddHeader>&amp;CSchedule 19
Operations and Maintenance
&amp;RTO2019 Draft Annual Update
Attachment 5
TO13 True Up TRR</oddHeader>
    <oddFooter>&amp;R&amp;A</oddFooter>
  </headerFooter>
  <rowBreaks count="3" manualBreakCount="3">
    <brk id="64" max="11" man="1"/>
    <brk id="88" max="16383" man="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zoomScaleNormal="100" workbookViewId="0"/>
  </sheetViews>
  <sheetFormatPr defaultRowHeight="12.75"/>
  <cols>
    <col min="1" max="1" width="4.7109375" customWidth="1"/>
    <col min="2" max="2" width="2.7109375" customWidth="1"/>
    <col min="3" max="3" width="6.7109375" customWidth="1"/>
    <col min="4" max="4" width="32.5703125" customWidth="1"/>
    <col min="5" max="5" width="14.7109375" customWidth="1"/>
    <col min="6" max="6" width="15.7109375" customWidth="1"/>
    <col min="7" max="8" width="14.7109375" customWidth="1"/>
    <col min="9" max="9" width="20" customWidth="1"/>
    <col min="10" max="10" width="18" customWidth="1"/>
    <col min="11" max="11" width="11" bestFit="1" customWidth="1"/>
  </cols>
  <sheetData>
    <row r="1" spans="1:24">
      <c r="A1" s="1" t="s">
        <v>308</v>
      </c>
      <c r="F1" s="44" t="s">
        <v>17</v>
      </c>
      <c r="G1" s="104"/>
      <c r="H1" s="63"/>
      <c r="I1" s="63"/>
    </row>
    <row r="2" spans="1:24">
      <c r="E2" s="91" t="s">
        <v>391</v>
      </c>
      <c r="F2" s="91" t="s">
        <v>375</v>
      </c>
      <c r="G2" s="91" t="s">
        <v>376</v>
      </c>
      <c r="H2" s="91" t="s">
        <v>377</v>
      </c>
      <c r="I2" s="63"/>
    </row>
    <row r="3" spans="1:24">
      <c r="G3" s="63" t="s">
        <v>236</v>
      </c>
    </row>
    <row r="4" spans="1:24">
      <c r="E4" s="2" t="s">
        <v>526</v>
      </c>
      <c r="F4" s="26" t="s">
        <v>213</v>
      </c>
      <c r="G4" s="2" t="s">
        <v>1545</v>
      </c>
      <c r="I4" s="2"/>
    </row>
    <row r="5" spans="1:24">
      <c r="A5" s="55" t="s">
        <v>350</v>
      </c>
      <c r="B5" s="3"/>
      <c r="C5" s="3" t="s">
        <v>126</v>
      </c>
      <c r="D5" s="3" t="s">
        <v>111</v>
      </c>
      <c r="E5" s="3" t="s">
        <v>194</v>
      </c>
      <c r="F5" s="25" t="s">
        <v>198</v>
      </c>
      <c r="G5" s="3" t="s">
        <v>127</v>
      </c>
      <c r="H5" s="3" t="s">
        <v>290</v>
      </c>
      <c r="I5" s="3" t="s">
        <v>187</v>
      </c>
      <c r="K5" s="3"/>
      <c r="L5" s="3"/>
      <c r="M5" s="3"/>
      <c r="N5" s="3"/>
      <c r="O5" s="3"/>
      <c r="P5" s="3"/>
      <c r="Q5" s="3"/>
      <c r="R5" s="3"/>
      <c r="S5" s="3"/>
      <c r="T5" s="3"/>
      <c r="U5" s="3"/>
      <c r="V5" s="3"/>
      <c r="W5" s="3"/>
      <c r="X5" s="3"/>
    </row>
    <row r="6" spans="1:24">
      <c r="A6" s="2">
        <v>1</v>
      </c>
      <c r="C6" s="63">
        <v>920</v>
      </c>
      <c r="D6" t="s">
        <v>113</v>
      </c>
      <c r="E6" s="87">
        <v>354859044</v>
      </c>
      <c r="F6" s="63" t="s">
        <v>128</v>
      </c>
      <c r="G6" s="65">
        <f>D37</f>
        <v>71019547.240131155</v>
      </c>
      <c r="H6" s="7">
        <f t="shared" ref="H6:H19" si="0">E6-G6</f>
        <v>283839496.75986886</v>
      </c>
      <c r="J6" s="515"/>
    </row>
    <row r="7" spans="1:24">
      <c r="A7" s="2">
        <f>A6+1</f>
        <v>2</v>
      </c>
      <c r="C7" s="63">
        <v>921</v>
      </c>
      <c r="D7" t="s">
        <v>114</v>
      </c>
      <c r="E7" s="87">
        <v>249803334</v>
      </c>
      <c r="F7" s="63" t="s">
        <v>129</v>
      </c>
      <c r="G7" s="65">
        <f t="shared" ref="G7:G19" si="1">D38</f>
        <v>5868285.4679282326</v>
      </c>
      <c r="H7" s="7">
        <f t="shared" si="0"/>
        <v>243935048.53207177</v>
      </c>
      <c r="J7" s="515"/>
    </row>
    <row r="8" spans="1:24">
      <c r="A8" s="2">
        <f>A7+1</f>
        <v>3</v>
      </c>
      <c r="C8" s="63">
        <v>922</v>
      </c>
      <c r="D8" t="s">
        <v>115</v>
      </c>
      <c r="E8" s="87">
        <v>-145897634</v>
      </c>
      <c r="F8" s="63" t="s">
        <v>130</v>
      </c>
      <c r="G8" s="65">
        <f t="shared" si="1"/>
        <v>-48972720</v>
      </c>
      <c r="H8" s="7">
        <f t="shared" si="0"/>
        <v>-96924914</v>
      </c>
      <c r="I8" s="123" t="s">
        <v>2001</v>
      </c>
      <c r="J8" s="515"/>
    </row>
    <row r="9" spans="1:24">
      <c r="A9" s="2">
        <f t="shared" ref="A9:A20" si="2">A8+1</f>
        <v>4</v>
      </c>
      <c r="B9" s="2"/>
      <c r="C9" s="63">
        <v>923</v>
      </c>
      <c r="D9" t="s">
        <v>116</v>
      </c>
      <c r="E9" s="87">
        <v>54121017</v>
      </c>
      <c r="F9" s="63" t="s">
        <v>131</v>
      </c>
      <c r="G9" s="65">
        <f t="shared" si="1"/>
        <v>7684282</v>
      </c>
      <c r="H9" s="7">
        <f t="shared" si="0"/>
        <v>46436735</v>
      </c>
      <c r="J9" s="515"/>
    </row>
    <row r="10" spans="1:24">
      <c r="A10" s="2">
        <f t="shared" si="2"/>
        <v>5</v>
      </c>
      <c r="B10" s="2"/>
      <c r="C10" s="63">
        <v>924</v>
      </c>
      <c r="D10" t="s">
        <v>117</v>
      </c>
      <c r="E10" s="87">
        <v>14497978</v>
      </c>
      <c r="F10" s="63" t="s">
        <v>132</v>
      </c>
      <c r="G10" s="65">
        <f t="shared" si="1"/>
        <v>0</v>
      </c>
      <c r="H10" s="7">
        <f t="shared" si="0"/>
        <v>14497978</v>
      </c>
      <c r="J10" s="515"/>
    </row>
    <row r="11" spans="1:24">
      <c r="A11" s="2">
        <f t="shared" si="2"/>
        <v>6</v>
      </c>
      <c r="B11" s="2"/>
      <c r="C11" s="63">
        <v>925</v>
      </c>
      <c r="D11" t="s">
        <v>118</v>
      </c>
      <c r="E11" s="87">
        <v>117581984</v>
      </c>
      <c r="F11" s="63" t="s">
        <v>133</v>
      </c>
      <c r="G11" s="65">
        <f t="shared" si="1"/>
        <v>-694137</v>
      </c>
      <c r="H11" s="7">
        <f t="shared" si="0"/>
        <v>118276121</v>
      </c>
      <c r="J11" s="515"/>
    </row>
    <row r="12" spans="1:24">
      <c r="A12" s="2">
        <f t="shared" si="2"/>
        <v>7</v>
      </c>
      <c r="B12" s="2"/>
      <c r="C12" s="63">
        <v>926</v>
      </c>
      <c r="D12" t="s">
        <v>119</v>
      </c>
      <c r="E12" s="87">
        <v>142806958</v>
      </c>
      <c r="F12" s="63" t="s">
        <v>134</v>
      </c>
      <c r="G12" s="65">
        <f t="shared" si="1"/>
        <v>-15437744.748264741</v>
      </c>
      <c r="H12" s="7">
        <f t="shared" si="0"/>
        <v>158244702.74826473</v>
      </c>
      <c r="J12" s="515"/>
    </row>
    <row r="13" spans="1:24">
      <c r="A13" s="2">
        <f t="shared" si="2"/>
        <v>8</v>
      </c>
      <c r="B13" s="2"/>
      <c r="C13" s="63">
        <v>927</v>
      </c>
      <c r="D13" t="s">
        <v>120</v>
      </c>
      <c r="E13" s="87">
        <v>110632750</v>
      </c>
      <c r="F13" s="63" t="s">
        <v>135</v>
      </c>
      <c r="G13" s="65">
        <f t="shared" si="1"/>
        <v>110632750</v>
      </c>
      <c r="H13" s="7">
        <f t="shared" si="0"/>
        <v>0</v>
      </c>
      <c r="J13" s="515"/>
    </row>
    <row r="14" spans="1:24">
      <c r="A14" s="2">
        <f t="shared" si="2"/>
        <v>9</v>
      </c>
      <c r="B14" s="2"/>
      <c r="C14" s="63">
        <v>928</v>
      </c>
      <c r="D14" s="12" t="s">
        <v>121</v>
      </c>
      <c r="E14" s="87">
        <v>16012736</v>
      </c>
      <c r="F14" s="63" t="s">
        <v>136</v>
      </c>
      <c r="G14" s="65">
        <f t="shared" si="1"/>
        <v>17351998</v>
      </c>
      <c r="H14" s="7">
        <f t="shared" si="0"/>
        <v>-1339262</v>
      </c>
      <c r="J14" s="515"/>
    </row>
    <row r="15" spans="1:24">
      <c r="A15" s="2">
        <f t="shared" si="2"/>
        <v>10</v>
      </c>
      <c r="B15" s="2"/>
      <c r="C15" s="63">
        <v>929</v>
      </c>
      <c r="D15" t="s">
        <v>122</v>
      </c>
      <c r="E15" s="87">
        <v>0</v>
      </c>
      <c r="F15" s="63" t="s">
        <v>137</v>
      </c>
      <c r="G15" s="65">
        <f t="shared" si="1"/>
        <v>0</v>
      </c>
      <c r="H15" s="7">
        <f t="shared" si="0"/>
        <v>0</v>
      </c>
      <c r="J15" s="515"/>
    </row>
    <row r="16" spans="1:24">
      <c r="A16" s="2">
        <f t="shared" si="2"/>
        <v>11</v>
      </c>
      <c r="B16" s="2"/>
      <c r="C16" s="63">
        <v>930.1</v>
      </c>
      <c r="D16" t="s">
        <v>123</v>
      </c>
      <c r="E16" s="87">
        <v>5718074</v>
      </c>
      <c r="F16" s="63" t="s">
        <v>138</v>
      </c>
      <c r="G16" s="65">
        <f t="shared" si="1"/>
        <v>0</v>
      </c>
      <c r="H16" s="7">
        <f t="shared" si="0"/>
        <v>5718074</v>
      </c>
      <c r="J16" s="515"/>
    </row>
    <row r="17" spans="1:11">
      <c r="A17" s="2">
        <f t="shared" si="2"/>
        <v>12</v>
      </c>
      <c r="B17" s="2"/>
      <c r="C17" s="63">
        <v>930.2</v>
      </c>
      <c r="D17" t="s">
        <v>99</v>
      </c>
      <c r="E17" s="87">
        <v>34422373</v>
      </c>
      <c r="F17" s="63" t="s">
        <v>139</v>
      </c>
      <c r="G17" s="65">
        <f t="shared" si="1"/>
        <v>24004995.530000001</v>
      </c>
      <c r="H17" s="7">
        <f t="shared" si="0"/>
        <v>10417377.469999999</v>
      </c>
      <c r="J17" s="515"/>
    </row>
    <row r="18" spans="1:11">
      <c r="A18" s="2">
        <f t="shared" si="2"/>
        <v>13</v>
      </c>
      <c r="B18" s="2"/>
      <c r="C18" s="63">
        <v>931</v>
      </c>
      <c r="D18" t="s">
        <v>124</v>
      </c>
      <c r="E18" s="87">
        <v>6627867</v>
      </c>
      <c r="F18" s="63" t="s">
        <v>140</v>
      </c>
      <c r="G18" s="65">
        <f t="shared" si="1"/>
        <v>11411119</v>
      </c>
      <c r="H18" s="7">
        <f t="shared" si="0"/>
        <v>-4783252</v>
      </c>
      <c r="J18" s="515"/>
    </row>
    <row r="19" spans="1:11">
      <c r="A19" s="2">
        <f t="shared" si="2"/>
        <v>14</v>
      </c>
      <c r="B19" s="2"/>
      <c r="C19" s="63">
        <v>935</v>
      </c>
      <c r="D19" t="s">
        <v>125</v>
      </c>
      <c r="E19" s="1342">
        <v>13296044</v>
      </c>
      <c r="F19" s="63" t="s">
        <v>141</v>
      </c>
      <c r="G19" s="65">
        <f t="shared" si="1"/>
        <v>697671</v>
      </c>
      <c r="H19" s="98">
        <f t="shared" si="0"/>
        <v>12598373</v>
      </c>
      <c r="J19" s="515"/>
    </row>
    <row r="20" spans="1:11">
      <c r="A20" s="2">
        <f t="shared" si="2"/>
        <v>15</v>
      </c>
      <c r="E20" s="7">
        <f>SUM(E6:E19)</f>
        <v>974482525</v>
      </c>
      <c r="G20" s="37" t="s">
        <v>142</v>
      </c>
      <c r="H20" s="110">
        <f>SUM(H6:H19)</f>
        <v>790916478.51020551</v>
      </c>
    </row>
    <row r="22" spans="1:11">
      <c r="F22" s="3" t="s">
        <v>194</v>
      </c>
      <c r="G22" s="3" t="s">
        <v>198</v>
      </c>
    </row>
    <row r="23" spans="1:11">
      <c r="A23" s="2">
        <f>A20+1</f>
        <v>16</v>
      </c>
      <c r="E23" s="1008" t="s">
        <v>2441</v>
      </c>
      <c r="F23" s="65">
        <f>H20</f>
        <v>790916478.51020551</v>
      </c>
      <c r="G23" s="47" t="str">
        <f>"Line "&amp;A20&amp;""</f>
        <v>Line 15</v>
      </c>
      <c r="H23" s="14"/>
      <c r="I23" s="14"/>
      <c r="J23" s="14"/>
      <c r="K23" s="14"/>
    </row>
    <row r="24" spans="1:11">
      <c r="A24" s="2">
        <f t="shared" ref="A24:A30" si="3">A23+1</f>
        <v>17</v>
      </c>
      <c r="E24" s="385" t="s">
        <v>323</v>
      </c>
      <c r="F24" s="121">
        <f>E10</f>
        <v>14497978</v>
      </c>
      <c r="G24" s="47" t="str">
        <f>"Line "&amp;A10&amp;""</f>
        <v>Line 5</v>
      </c>
      <c r="H24" s="14"/>
      <c r="I24" s="14"/>
      <c r="J24" s="14"/>
      <c r="K24" s="14"/>
    </row>
    <row r="25" spans="1:11">
      <c r="A25" s="2">
        <f t="shared" si="3"/>
        <v>18</v>
      </c>
      <c r="E25" s="385" t="s">
        <v>1540</v>
      </c>
      <c r="F25" s="65">
        <f>F23-F24</f>
        <v>776418500.51020551</v>
      </c>
      <c r="G25" s="47" t="str">
        <f>"Line "&amp;A23&amp;" - Line "&amp;A24&amp;""</f>
        <v>Line 16 - Line 17</v>
      </c>
      <c r="H25" s="14"/>
      <c r="I25" s="14"/>
      <c r="J25" s="14"/>
      <c r="K25" s="14"/>
    </row>
    <row r="26" spans="1:11">
      <c r="A26" s="2">
        <f t="shared" si="3"/>
        <v>19</v>
      </c>
      <c r="E26" s="86" t="s">
        <v>143</v>
      </c>
      <c r="F26" s="1066">
        <f>'27-Allocators'!G15</f>
        <v>5.6231891976617258E-2</v>
      </c>
      <c r="G26" s="47" t="str">
        <f>"27-Allocators, Line "&amp;'27-Allocators'!A15&amp;""</f>
        <v>27-Allocators, Line 9</v>
      </c>
      <c r="H26" s="14"/>
      <c r="I26" s="14"/>
      <c r="J26" s="14"/>
      <c r="K26" s="14"/>
    </row>
    <row r="27" spans="1:11">
      <c r="A27" s="2">
        <f t="shared" si="3"/>
        <v>20</v>
      </c>
      <c r="E27" s="385" t="s">
        <v>1541</v>
      </c>
      <c r="F27" s="65">
        <f>F25*F26</f>
        <v>43659481.249337025</v>
      </c>
      <c r="G27" s="47" t="str">
        <f>"Line "&amp;A25&amp;" * Line "&amp;A26&amp;""</f>
        <v>Line 18 * Line 19</v>
      </c>
      <c r="H27" s="14"/>
      <c r="I27" s="14"/>
      <c r="J27" s="14"/>
      <c r="K27" s="14"/>
    </row>
    <row r="28" spans="1:11">
      <c r="A28" s="2">
        <f t="shared" si="3"/>
        <v>21</v>
      </c>
      <c r="E28" s="385" t="s">
        <v>105</v>
      </c>
      <c r="F28" s="72">
        <f>'27-Allocators'!G28</f>
        <v>0.19110914813082575</v>
      </c>
      <c r="G28" s="123" t="str">
        <f>"27-Allocators, Line "&amp;'27-Allocators'!A28&amp;""</f>
        <v>27-Allocators, Line 22</v>
      </c>
      <c r="H28" s="14"/>
      <c r="I28" s="14"/>
      <c r="J28" s="14"/>
      <c r="K28" s="14"/>
    </row>
    <row r="29" spans="1:11">
      <c r="A29" s="2">
        <f t="shared" si="3"/>
        <v>22</v>
      </c>
      <c r="E29" s="385" t="s">
        <v>324</v>
      </c>
      <c r="F29" s="121">
        <f>H10*F28</f>
        <v>2770696.2251994526</v>
      </c>
      <c r="G29" s="47" t="str">
        <f>"Line "&amp;A10&amp;" Col 4 * Line "&amp;A28&amp;""</f>
        <v>Line 5 Col 4 * Line 21</v>
      </c>
      <c r="H29" s="14"/>
      <c r="I29" s="14"/>
      <c r="J29" s="14"/>
      <c r="K29" s="14"/>
    </row>
    <row r="30" spans="1:11">
      <c r="A30" s="2">
        <f t="shared" si="3"/>
        <v>23</v>
      </c>
      <c r="E30" s="385" t="s">
        <v>325</v>
      </c>
      <c r="F30" s="530">
        <f>F27+F29</f>
        <v>46430177.474536479</v>
      </c>
      <c r="G30" s="47" t="str">
        <f>"Line "&amp;A27&amp;" + Line "&amp;A29&amp;""</f>
        <v>Line 20 + Line 22</v>
      </c>
      <c r="H30" s="14"/>
      <c r="I30" s="14"/>
      <c r="J30" s="14"/>
      <c r="K30" s="14"/>
    </row>
    <row r="31" spans="1:11">
      <c r="E31" s="14"/>
      <c r="F31" s="14"/>
      <c r="G31" s="14"/>
      <c r="H31" s="14"/>
      <c r="I31" s="14"/>
      <c r="J31" s="14"/>
      <c r="K31" s="14"/>
    </row>
    <row r="32" spans="1:11">
      <c r="B32" s="1" t="s">
        <v>534</v>
      </c>
      <c r="E32" s="380" t="s">
        <v>391</v>
      </c>
      <c r="F32" s="380" t="s">
        <v>375</v>
      </c>
      <c r="G32" s="380" t="s">
        <v>376</v>
      </c>
      <c r="H32" s="380" t="s">
        <v>377</v>
      </c>
      <c r="I32" s="14"/>
      <c r="J32" s="14"/>
      <c r="K32" s="14"/>
    </row>
    <row r="33" spans="1:11">
      <c r="B33" s="1"/>
      <c r="E33" s="120" t="s">
        <v>528</v>
      </c>
      <c r="F33" s="380"/>
      <c r="G33" s="380"/>
      <c r="H33" s="380"/>
      <c r="I33" s="14"/>
      <c r="J33" s="14"/>
      <c r="K33" s="14"/>
    </row>
    <row r="34" spans="1:11">
      <c r="E34" s="120" t="s">
        <v>601</v>
      </c>
      <c r="F34" s="14"/>
      <c r="G34" s="14"/>
      <c r="H34" s="14"/>
      <c r="I34" s="14"/>
      <c r="J34" s="14"/>
      <c r="K34" s="14"/>
    </row>
    <row r="35" spans="1:11">
      <c r="D35" s="2" t="s">
        <v>527</v>
      </c>
      <c r="E35" s="120" t="s">
        <v>600</v>
      </c>
      <c r="F35" s="120" t="s">
        <v>529</v>
      </c>
      <c r="G35" s="120"/>
      <c r="H35" s="120"/>
      <c r="I35" s="14"/>
      <c r="J35" s="14"/>
      <c r="K35" s="14"/>
    </row>
    <row r="36" spans="1:11">
      <c r="C36" s="3" t="s">
        <v>126</v>
      </c>
      <c r="D36" s="91" t="s">
        <v>1213</v>
      </c>
      <c r="E36" s="134" t="s">
        <v>1408</v>
      </c>
      <c r="F36" s="134" t="s">
        <v>530</v>
      </c>
      <c r="G36" s="134" t="s">
        <v>2442</v>
      </c>
      <c r="H36" s="134" t="s">
        <v>531</v>
      </c>
      <c r="I36" s="134" t="s">
        <v>187</v>
      </c>
      <c r="J36" s="14"/>
      <c r="K36" s="14"/>
    </row>
    <row r="37" spans="1:11">
      <c r="A37" s="2">
        <f>A30+1</f>
        <v>24</v>
      </c>
      <c r="C37" s="63">
        <v>920</v>
      </c>
      <c r="D37" s="151">
        <f>SUM(E37:H37)</f>
        <v>71019547.240131155</v>
      </c>
      <c r="E37" s="553">
        <v>-11425725.864616502</v>
      </c>
      <c r="F37" s="116"/>
      <c r="G37" s="65">
        <f>G58</f>
        <v>82445273.104747653</v>
      </c>
      <c r="H37" s="116"/>
      <c r="I37" s="514" t="s">
        <v>2014</v>
      </c>
      <c r="J37" s="14"/>
    </row>
    <row r="38" spans="1:11">
      <c r="A38" s="2">
        <f>A37+1</f>
        <v>25</v>
      </c>
      <c r="C38" s="63">
        <v>921</v>
      </c>
      <c r="D38" s="151">
        <f t="shared" ref="D38:D50" si="4">SUM(E38:H38)</f>
        <v>5868285.4679282326</v>
      </c>
      <c r="E38" s="553">
        <v>5868285.4679282326</v>
      </c>
      <c r="F38" s="116"/>
      <c r="G38" s="116">
        <v>0</v>
      </c>
      <c r="H38" s="116"/>
      <c r="I38" s="16"/>
    </row>
    <row r="39" spans="1:11">
      <c r="A39" s="2">
        <f t="shared" ref="A39:A50" si="5">A38+1</f>
        <v>26</v>
      </c>
      <c r="C39" s="63">
        <v>922</v>
      </c>
      <c r="D39" s="151">
        <f t="shared" si="4"/>
        <v>-48972720</v>
      </c>
      <c r="E39" s="553">
        <v>-7655813</v>
      </c>
      <c r="F39" s="116"/>
      <c r="G39" s="680">
        <v>-41316907</v>
      </c>
      <c r="H39" s="116"/>
      <c r="I39" s="16"/>
    </row>
    <row r="40" spans="1:11">
      <c r="A40" s="2">
        <f t="shared" si="5"/>
        <v>27</v>
      </c>
      <c r="C40" s="63">
        <v>923</v>
      </c>
      <c r="D40" s="151">
        <f t="shared" si="4"/>
        <v>7684282</v>
      </c>
      <c r="E40" s="1194">
        <v>7684282</v>
      </c>
      <c r="F40" s="116"/>
      <c r="G40" s="116">
        <v>0</v>
      </c>
      <c r="H40" s="116"/>
      <c r="I40" s="16"/>
      <c r="J40" s="3"/>
      <c r="K40" s="3"/>
    </row>
    <row r="41" spans="1:11">
      <c r="A41" s="2">
        <f t="shared" si="5"/>
        <v>28</v>
      </c>
      <c r="C41" s="63">
        <v>924</v>
      </c>
      <c r="D41" s="151">
        <f t="shared" si="4"/>
        <v>0</v>
      </c>
      <c r="E41" s="553">
        <v>0</v>
      </c>
      <c r="F41" s="116"/>
      <c r="G41" s="116">
        <v>0</v>
      </c>
      <c r="H41" s="116"/>
      <c r="I41" s="16"/>
      <c r="K41" s="7"/>
    </row>
    <row r="42" spans="1:11">
      <c r="A42" s="2">
        <f t="shared" si="5"/>
        <v>29</v>
      </c>
      <c r="C42" s="63">
        <v>925</v>
      </c>
      <c r="D42" s="151">
        <f t="shared" si="4"/>
        <v>-694137</v>
      </c>
      <c r="E42" s="553">
        <v>-694137</v>
      </c>
      <c r="F42" s="116"/>
      <c r="G42" s="116">
        <v>0</v>
      </c>
      <c r="H42" s="116"/>
      <c r="I42" s="13"/>
      <c r="K42" s="7"/>
    </row>
    <row r="43" spans="1:11">
      <c r="A43" s="2">
        <f t="shared" si="5"/>
        <v>30</v>
      </c>
      <c r="C43" s="63">
        <v>926</v>
      </c>
      <c r="D43" s="151">
        <f t="shared" si="4"/>
        <v>-15437744.748264741</v>
      </c>
      <c r="E43" s="553">
        <v>19686961.251735259</v>
      </c>
      <c r="F43" s="116"/>
      <c r="G43" s="116">
        <v>0</v>
      </c>
      <c r="H43" s="65">
        <f>E70</f>
        <v>-35124706</v>
      </c>
      <c r="I43" s="13" t="s">
        <v>311</v>
      </c>
      <c r="K43" s="7"/>
    </row>
    <row r="44" spans="1:11">
      <c r="A44" s="2">
        <f t="shared" si="5"/>
        <v>31</v>
      </c>
      <c r="C44" s="63">
        <v>927</v>
      </c>
      <c r="D44" s="151">
        <f t="shared" si="4"/>
        <v>110632750</v>
      </c>
      <c r="E44" s="65">
        <v>0</v>
      </c>
      <c r="F44" s="510">
        <f>E13</f>
        <v>110632750</v>
      </c>
      <c r="G44" s="65">
        <v>0</v>
      </c>
      <c r="H44" s="65">
        <v>0</v>
      </c>
      <c r="I44" s="16" t="s">
        <v>1042</v>
      </c>
      <c r="K44" s="7"/>
    </row>
    <row r="45" spans="1:11">
      <c r="A45" s="2">
        <f t="shared" si="5"/>
        <v>32</v>
      </c>
      <c r="C45" s="63">
        <v>928</v>
      </c>
      <c r="D45" s="151">
        <f t="shared" si="4"/>
        <v>17351998</v>
      </c>
      <c r="E45" s="1194">
        <v>17351998</v>
      </c>
      <c r="F45" s="116"/>
      <c r="G45" s="1157">
        <v>0</v>
      </c>
      <c r="H45" s="116"/>
      <c r="I45" s="16"/>
      <c r="K45" s="7"/>
    </row>
    <row r="46" spans="1:11">
      <c r="A46" s="2">
        <f t="shared" si="5"/>
        <v>33</v>
      </c>
      <c r="C46" s="63">
        <v>929</v>
      </c>
      <c r="D46" s="151">
        <f t="shared" si="4"/>
        <v>0</v>
      </c>
      <c r="E46" s="553">
        <v>0</v>
      </c>
      <c r="F46" s="116"/>
      <c r="G46" s="1157">
        <v>0</v>
      </c>
      <c r="H46" s="116"/>
      <c r="I46" s="16"/>
      <c r="K46" s="7"/>
    </row>
    <row r="47" spans="1:11">
      <c r="A47" s="2">
        <f t="shared" si="5"/>
        <v>34</v>
      </c>
      <c r="C47" s="63">
        <v>930.1</v>
      </c>
      <c r="D47" s="151">
        <f t="shared" si="4"/>
        <v>0</v>
      </c>
      <c r="E47" s="553">
        <v>0</v>
      </c>
      <c r="F47" s="116"/>
      <c r="G47" s="1157">
        <v>0</v>
      </c>
      <c r="H47" s="116"/>
      <c r="I47" s="16"/>
      <c r="K47" s="7"/>
    </row>
    <row r="48" spans="1:11">
      <c r="A48" s="2">
        <f t="shared" si="5"/>
        <v>35</v>
      </c>
      <c r="C48" s="63">
        <v>930.2</v>
      </c>
      <c r="D48" s="151">
        <f t="shared" si="4"/>
        <v>24004995.530000001</v>
      </c>
      <c r="E48" s="553">
        <v>24004995.530000001</v>
      </c>
      <c r="F48" s="116"/>
      <c r="G48" s="1157">
        <v>0</v>
      </c>
      <c r="H48" s="116"/>
      <c r="I48" s="16"/>
      <c r="J48" s="522"/>
    </row>
    <row r="49" spans="1:10">
      <c r="A49" s="2">
        <f t="shared" si="5"/>
        <v>36</v>
      </c>
      <c r="C49" s="63">
        <v>931</v>
      </c>
      <c r="D49" s="151">
        <f t="shared" si="4"/>
        <v>11411119</v>
      </c>
      <c r="E49" s="553">
        <v>11411119</v>
      </c>
      <c r="F49" s="116"/>
      <c r="G49" s="1157">
        <v>0</v>
      </c>
      <c r="H49" s="116"/>
      <c r="I49" s="16"/>
      <c r="J49" s="7"/>
    </row>
    <row r="50" spans="1:10">
      <c r="A50" s="2">
        <f t="shared" si="5"/>
        <v>37</v>
      </c>
      <c r="C50" s="63">
        <v>935</v>
      </c>
      <c r="D50" s="151">
        <f t="shared" si="4"/>
        <v>697671</v>
      </c>
      <c r="E50" s="553">
        <v>697671</v>
      </c>
      <c r="F50" s="116"/>
      <c r="G50" s="1157">
        <v>0</v>
      </c>
      <c r="H50" s="116"/>
      <c r="I50" s="16"/>
    </row>
    <row r="51" spans="1:10">
      <c r="B51" s="45" t="s">
        <v>2443</v>
      </c>
      <c r="C51" s="14"/>
      <c r="D51" s="14"/>
      <c r="E51" s="14"/>
      <c r="F51" s="14"/>
      <c r="G51" s="14"/>
      <c r="H51" s="14"/>
    </row>
    <row r="52" spans="1:10">
      <c r="B52" s="45"/>
      <c r="C52" s="14" t="s">
        <v>2444</v>
      </c>
      <c r="D52" s="14"/>
      <c r="E52" s="14"/>
      <c r="F52" s="14"/>
      <c r="G52" s="14"/>
      <c r="H52" s="14"/>
    </row>
    <row r="53" spans="1:10">
      <c r="B53" s="45"/>
      <c r="C53" s="517" t="s">
        <v>2445</v>
      </c>
      <c r="D53" s="14"/>
      <c r="E53" s="14"/>
      <c r="F53" s="14"/>
      <c r="G53" s="120"/>
      <c r="H53" s="120"/>
    </row>
    <row r="54" spans="1:10">
      <c r="B54" s="45"/>
      <c r="C54" s="682" t="s">
        <v>2669</v>
      </c>
      <c r="D54" s="667"/>
      <c r="E54" s="667"/>
      <c r="F54" s="14"/>
      <c r="G54" s="120"/>
      <c r="H54" s="120"/>
    </row>
    <row r="55" spans="1:10">
      <c r="B55" s="45"/>
      <c r="C55" s="14"/>
      <c r="D55" s="14"/>
      <c r="E55" s="14"/>
      <c r="F55" s="14"/>
      <c r="G55" s="134" t="s">
        <v>194</v>
      </c>
      <c r="H55" s="134" t="s">
        <v>198</v>
      </c>
    </row>
    <row r="56" spans="1:10">
      <c r="A56" s="2"/>
      <c r="B56" s="635" t="s">
        <v>1900</v>
      </c>
      <c r="E56" s="14"/>
      <c r="F56" s="1008" t="s">
        <v>2446</v>
      </c>
      <c r="G56" s="553">
        <v>103811324.56999999</v>
      </c>
      <c r="H56" s="514" t="s">
        <v>33</v>
      </c>
    </row>
    <row r="57" spans="1:10">
      <c r="A57" s="2"/>
      <c r="B57" s="635" t="s">
        <v>1901</v>
      </c>
      <c r="C57" s="12"/>
      <c r="E57" s="14"/>
      <c r="F57" s="1008" t="s">
        <v>2447</v>
      </c>
      <c r="G57" s="111">
        <f>E61</f>
        <v>21366051.465252347</v>
      </c>
      <c r="H57" s="519" t="str">
        <f>"Note 2, "&amp;B61&amp;""</f>
        <v>Note 2, d</v>
      </c>
    </row>
    <row r="58" spans="1:10">
      <c r="A58" s="2"/>
      <c r="B58" s="635" t="s">
        <v>1902</v>
      </c>
      <c r="F58" s="513" t="s">
        <v>1906</v>
      </c>
      <c r="G58" s="7">
        <f>G56-G57</f>
        <v>82445273.104747653</v>
      </c>
    </row>
    <row r="59" spans="1:10">
      <c r="A59" s="2"/>
      <c r="C59" s="682" t="s">
        <v>2668</v>
      </c>
      <c r="D59" s="667"/>
      <c r="E59" s="667"/>
      <c r="G59" s="7"/>
    </row>
    <row r="60" spans="1:10">
      <c r="A60" s="2"/>
      <c r="D60" s="53" t="s">
        <v>1542</v>
      </c>
      <c r="E60" s="3" t="s">
        <v>194</v>
      </c>
      <c r="F60" s="64" t="s">
        <v>198</v>
      </c>
      <c r="G60" s="7"/>
    </row>
    <row r="61" spans="1:10">
      <c r="A61" s="2"/>
      <c r="B61" s="635" t="s">
        <v>1903</v>
      </c>
      <c r="D61" t="s">
        <v>1543</v>
      </c>
      <c r="E61" s="680">
        <v>21366051.465252347</v>
      </c>
      <c r="F61" s="514" t="s">
        <v>2436</v>
      </c>
      <c r="G61" s="65"/>
      <c r="I61" s="14"/>
    </row>
    <row r="62" spans="1:10">
      <c r="A62" s="2"/>
      <c r="B62" s="120" t="s">
        <v>1904</v>
      </c>
      <c r="C62" s="14"/>
      <c r="D62" s="517" t="s">
        <v>389</v>
      </c>
      <c r="E62" s="680">
        <v>9660204.0150419138</v>
      </c>
      <c r="F62" s="514" t="s">
        <v>2436</v>
      </c>
      <c r="G62" s="65"/>
      <c r="I62" s="671"/>
    </row>
    <row r="63" spans="1:10">
      <c r="A63" s="2"/>
      <c r="B63" s="120" t="s">
        <v>1905</v>
      </c>
      <c r="C63" s="14"/>
      <c r="D63" s="517" t="s">
        <v>1544</v>
      </c>
      <c r="E63" s="816">
        <v>31976612.041915886</v>
      </c>
      <c r="F63" s="514" t="s">
        <v>2436</v>
      </c>
      <c r="G63" s="65"/>
      <c r="I63" s="65"/>
    </row>
    <row r="64" spans="1:10">
      <c r="A64" s="2"/>
      <c r="B64" s="120" t="s">
        <v>1907</v>
      </c>
      <c r="C64" s="14"/>
      <c r="D64" s="385" t="s">
        <v>4</v>
      </c>
      <c r="E64" s="7">
        <f>SUM(E61:E63)</f>
        <v>63002867.522210151</v>
      </c>
      <c r="F64" s="47" t="str">
        <f>"Sum of "&amp;B61&amp;" to "&amp;B63&amp;""</f>
        <v>Sum of d to f</v>
      </c>
      <c r="G64" s="65"/>
      <c r="I64" s="14"/>
    </row>
    <row r="65" spans="1:10">
      <c r="F65" s="14"/>
      <c r="G65" s="14"/>
    </row>
    <row r="66" spans="1:10">
      <c r="B66" s="1202" t="s">
        <v>536</v>
      </c>
      <c r="C66" s="62"/>
      <c r="D66" s="62"/>
      <c r="E66" s="62"/>
      <c r="F66" s="586"/>
      <c r="G66" s="586"/>
    </row>
    <row r="67" spans="1:10">
      <c r="B67" s="62"/>
      <c r="C67" s="62"/>
      <c r="D67" s="62"/>
      <c r="E67" s="64" t="s">
        <v>194</v>
      </c>
      <c r="F67" s="1199" t="s">
        <v>262</v>
      </c>
      <c r="G67" s="586"/>
    </row>
    <row r="68" spans="1:10">
      <c r="A68" s="2"/>
      <c r="B68" s="207" t="s">
        <v>1900</v>
      </c>
      <c r="C68" s="62"/>
      <c r="D68" s="1200" t="s">
        <v>532</v>
      </c>
      <c r="E68" s="1237">
        <v>40171333</v>
      </c>
      <c r="F68" s="5" t="s">
        <v>538</v>
      </c>
      <c r="G68" s="586"/>
    </row>
    <row r="69" spans="1:10">
      <c r="A69" s="2"/>
      <c r="B69" s="207" t="s">
        <v>1901</v>
      </c>
      <c r="C69" s="62"/>
      <c r="D69" s="1200" t="s">
        <v>533</v>
      </c>
      <c r="E69" s="1201">
        <v>5046627</v>
      </c>
      <c r="F69" s="1037" t="s">
        <v>33</v>
      </c>
      <c r="G69" s="586"/>
    </row>
    <row r="70" spans="1:10">
      <c r="A70" s="2"/>
      <c r="B70" s="207" t="s">
        <v>1902</v>
      </c>
      <c r="C70" s="62"/>
      <c r="D70" s="1200" t="s">
        <v>535</v>
      </c>
      <c r="E70" s="1203">
        <f>E69-E68</f>
        <v>-35124706</v>
      </c>
      <c r="F70" s="1204" t="str">
        <f>""&amp;B69&amp;" - "&amp;B68&amp;""</f>
        <v>b - a</v>
      </c>
      <c r="G70" s="62"/>
    </row>
    <row r="71" spans="1:10">
      <c r="A71" s="507"/>
      <c r="B71" s="1" t="s">
        <v>1625</v>
      </c>
      <c r="D71" s="101"/>
      <c r="E71" s="152"/>
      <c r="F71" s="13"/>
    </row>
    <row r="72" spans="1:10">
      <c r="A72" s="507"/>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101"/>
      <c r="E72" s="152"/>
      <c r="F72" s="13"/>
    </row>
    <row r="73" spans="1:10">
      <c r="A73" s="507"/>
      <c r="B73" s="1"/>
      <c r="C73" s="12" t="s">
        <v>1626</v>
      </c>
      <c r="D73" s="101"/>
      <c r="E73" s="152"/>
      <c r="F73" s="13"/>
    </row>
    <row r="75" spans="1:10">
      <c r="B75" s="1" t="s">
        <v>417</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517" t="s">
        <v>2448</v>
      </c>
      <c r="D77" s="14"/>
      <c r="E77" s="14"/>
      <c r="F77" s="14"/>
      <c r="G77" s="14" t="str">
        <f>"Column 3, Line "&amp;A37&amp;""</f>
        <v>Column 3, Line 24</v>
      </c>
      <c r="H77" s="14"/>
      <c r="I77" s="14"/>
      <c r="J77" s="14"/>
    </row>
    <row r="78" spans="1:10">
      <c r="C78" s="514"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514" t="s">
        <v>1884</v>
      </c>
      <c r="D79" s="14"/>
      <c r="E79" s="14"/>
      <c r="F79" s="14"/>
      <c r="G79" s="14"/>
      <c r="H79" s="14"/>
      <c r="I79" s="14"/>
      <c r="J79" s="14"/>
    </row>
    <row r="80" spans="1:10">
      <c r="C80" s="514" t="s">
        <v>1999</v>
      </c>
      <c r="D80" s="385"/>
      <c r="E80" s="510"/>
      <c r="F80" s="47"/>
      <c r="G80" s="14"/>
      <c r="H80" s="14"/>
      <c r="I80" s="14"/>
      <c r="J80" s="14"/>
    </row>
    <row r="81" spans="3:10">
      <c r="C81" s="514" t="s">
        <v>1995</v>
      </c>
      <c r="D81" s="385"/>
      <c r="E81" s="510"/>
      <c r="F81" s="47"/>
      <c r="G81" s="14"/>
      <c r="H81" s="14"/>
      <c r="I81" s="14"/>
      <c r="J81" s="14"/>
    </row>
    <row r="82" spans="3:10">
      <c r="C82" s="514" t="s">
        <v>1996</v>
      </c>
      <c r="D82" s="14"/>
      <c r="E82" s="14"/>
      <c r="F82" s="14"/>
      <c r="G82" s="14"/>
      <c r="H82" s="14"/>
      <c r="I82" s="14"/>
      <c r="J82" s="14"/>
    </row>
    <row r="83" spans="3:10">
      <c r="C83" s="47" t="s">
        <v>537</v>
      </c>
      <c r="D83" s="14"/>
      <c r="E83" s="14"/>
      <c r="F83" s="14"/>
      <c r="G83" s="14"/>
      <c r="H83" s="14"/>
      <c r="I83" s="14"/>
      <c r="J83" s="14"/>
    </row>
    <row r="84" spans="3:10">
      <c r="C84" s="514" t="s">
        <v>1997</v>
      </c>
      <c r="D84" s="14"/>
      <c r="E84" s="14"/>
      <c r="F84" s="14"/>
      <c r="G84" s="14"/>
      <c r="H84" s="14"/>
      <c r="I84" s="14"/>
      <c r="J84" s="14"/>
    </row>
    <row r="85" spans="3:10">
      <c r="C85" s="514" t="s">
        <v>1637</v>
      </c>
      <c r="D85" s="14"/>
      <c r="E85" s="14"/>
      <c r="F85" s="14"/>
      <c r="G85" s="14"/>
      <c r="H85" s="14"/>
      <c r="I85" s="14"/>
      <c r="J85" s="14"/>
    </row>
    <row r="86" spans="3:10">
      <c r="C86" s="514" t="s">
        <v>1998</v>
      </c>
      <c r="D86" s="14"/>
      <c r="E86" s="14"/>
      <c r="F86" s="14"/>
      <c r="G86" s="14"/>
      <c r="H86" s="14"/>
      <c r="I86" s="14"/>
      <c r="J86" s="14"/>
    </row>
    <row r="87" spans="3:10">
      <c r="C87" s="514" t="s">
        <v>2033</v>
      </c>
      <c r="D87" s="517"/>
      <c r="E87" s="1067"/>
      <c r="F87" s="1067"/>
      <c r="G87" s="1067"/>
      <c r="H87" s="14"/>
      <c r="I87" s="14"/>
      <c r="J87" s="14"/>
    </row>
    <row r="88" spans="3:10">
      <c r="C88" s="1011" t="s">
        <v>2031</v>
      </c>
      <c r="D88" s="517"/>
      <c r="E88" s="1067"/>
      <c r="F88" s="1067"/>
      <c r="G88" s="1067"/>
      <c r="H88" s="14"/>
      <c r="I88" s="14"/>
      <c r="J88" s="14"/>
    </row>
    <row r="89" spans="3:10">
      <c r="C89" s="1011" t="s">
        <v>2032</v>
      </c>
      <c r="D89" s="517"/>
      <c r="E89" s="1067"/>
      <c r="F89" s="1067"/>
      <c r="G89" s="1067"/>
      <c r="H89" s="14"/>
      <c r="I89" s="14"/>
      <c r="J89" s="14"/>
    </row>
    <row r="90" spans="3:10">
      <c r="C90" s="1011" t="s">
        <v>2034</v>
      </c>
      <c r="D90" s="517"/>
      <c r="E90" s="1067"/>
      <c r="F90" s="1067"/>
      <c r="G90" s="1067"/>
      <c r="H90" s="14"/>
      <c r="I90" s="14"/>
      <c r="J90" s="14"/>
    </row>
    <row r="91" spans="3:10">
      <c r="C91" s="514" t="s">
        <v>2204</v>
      </c>
      <c r="D91" s="517"/>
      <c r="E91" s="1067"/>
      <c r="F91" s="1067"/>
      <c r="G91" s="1067"/>
      <c r="H91" s="14"/>
      <c r="I91" s="14"/>
      <c r="J91" s="14"/>
    </row>
    <row r="92" spans="3:10">
      <c r="C92" s="1011" t="s">
        <v>2202</v>
      </c>
      <c r="D92" s="517"/>
      <c r="E92" s="1067"/>
      <c r="F92" s="1067"/>
      <c r="G92" s="1067"/>
      <c r="H92" s="14"/>
      <c r="I92" s="14"/>
      <c r="J92" s="14"/>
    </row>
    <row r="93" spans="3:10">
      <c r="C93" s="1011" t="s">
        <v>2203</v>
      </c>
      <c r="D93" s="517"/>
      <c r="E93" s="1067"/>
      <c r="F93" s="1067"/>
      <c r="G93" s="1067"/>
      <c r="H93" s="14"/>
      <c r="I93" s="14"/>
      <c r="J93" s="14"/>
    </row>
    <row r="94" spans="3:10">
      <c r="C94" s="1011" t="s">
        <v>2205</v>
      </c>
      <c r="D94" s="517"/>
      <c r="E94" s="1067"/>
      <c r="F94" s="1067"/>
      <c r="G94" s="1067"/>
      <c r="H94" s="14"/>
      <c r="I94" s="14"/>
      <c r="J94" s="14"/>
    </row>
    <row r="95" spans="3:10">
      <c r="C95" s="1011" t="s">
        <v>2206</v>
      </c>
      <c r="D95" s="517"/>
      <c r="E95" s="1067"/>
      <c r="F95" s="1067"/>
      <c r="G95" s="1067"/>
      <c r="H95" s="14"/>
      <c r="I95" s="14"/>
      <c r="J95" s="14"/>
    </row>
    <row r="96" spans="3:10">
      <c r="C96" s="514" t="s">
        <v>2207</v>
      </c>
      <c r="D96" s="517"/>
      <c r="E96" s="1067"/>
      <c r="F96" s="1067"/>
      <c r="G96" s="1067"/>
      <c r="H96" s="1067"/>
      <c r="I96" s="14"/>
      <c r="J96" s="14"/>
    </row>
    <row r="97" spans="3:10">
      <c r="C97" s="1011" t="s">
        <v>2208</v>
      </c>
      <c r="D97" s="517"/>
      <c r="E97" s="1067"/>
      <c r="F97" s="1067"/>
      <c r="G97" s="1067"/>
      <c r="H97" s="14"/>
      <c r="I97" s="14"/>
      <c r="J97" s="14"/>
    </row>
    <row r="98" spans="3:10">
      <c r="C98" s="1068" t="s">
        <v>2449</v>
      </c>
      <c r="D98" s="517"/>
      <c r="E98" s="1067"/>
      <c r="F98" s="1067"/>
      <c r="G98" s="1067"/>
      <c r="H98" s="14"/>
      <c r="I98" s="14"/>
      <c r="J98" s="14"/>
    </row>
    <row r="99" spans="3:10">
      <c r="C99" s="1068" t="s">
        <v>2450</v>
      </c>
      <c r="D99" s="517"/>
      <c r="E99" s="1067"/>
      <c r="F99" s="1067"/>
      <c r="G99" s="1067"/>
      <c r="H99" s="14"/>
      <c r="I99" s="14"/>
      <c r="J99" s="14"/>
    </row>
    <row r="100" spans="3:10">
      <c r="C100" s="1068" t="s">
        <v>2451</v>
      </c>
      <c r="D100" s="517"/>
      <c r="E100" s="1067"/>
      <c r="F100" s="1067"/>
      <c r="G100" s="1067"/>
      <c r="H100" s="14"/>
      <c r="I100" s="14"/>
      <c r="J100" s="14"/>
    </row>
    <row r="101" spans="3:10">
      <c r="C101" s="1068" t="s">
        <v>2450</v>
      </c>
      <c r="D101" s="517"/>
      <c r="E101" s="1067"/>
      <c r="F101" s="1067"/>
      <c r="G101" s="1067"/>
      <c r="H101" s="14"/>
      <c r="I101" s="14"/>
      <c r="J101" s="14"/>
    </row>
    <row r="102" spans="3:10">
      <c r="C102" s="1068" t="s">
        <v>2452</v>
      </c>
      <c r="D102" s="517"/>
      <c r="E102" s="1067"/>
      <c r="F102" s="1067"/>
      <c r="G102" s="1067"/>
      <c r="H102" s="14"/>
      <c r="I102" s="14"/>
      <c r="J102" s="14"/>
    </row>
    <row r="103" spans="3:10">
      <c r="C103" s="1011" t="s">
        <v>2453</v>
      </c>
      <c r="D103" s="517"/>
      <c r="E103" s="1067"/>
      <c r="F103" s="1067"/>
      <c r="G103" s="1067"/>
      <c r="H103" s="14"/>
      <c r="I103" s="14"/>
      <c r="J103" s="14"/>
    </row>
    <row r="104" spans="3:10">
      <c r="C104" s="1011" t="s">
        <v>2454</v>
      </c>
      <c r="D104" s="517"/>
      <c r="E104" s="1067"/>
      <c r="F104" s="1067"/>
      <c r="G104" s="1067"/>
      <c r="H104" s="14"/>
      <c r="I104" s="14"/>
      <c r="J104" s="14"/>
    </row>
    <row r="105" spans="3:10">
      <c r="C105" s="1069" t="s">
        <v>2455</v>
      </c>
      <c r="D105" s="667"/>
      <c r="E105" s="667"/>
      <c r="F105" s="667"/>
      <c r="G105" s="667"/>
      <c r="H105" s="667"/>
      <c r="I105" s="667"/>
      <c r="J105" s="667"/>
    </row>
    <row r="106" spans="3:10">
      <c r="C106" s="517" t="s">
        <v>2456</v>
      </c>
      <c r="D106" s="14"/>
      <c r="E106" s="14"/>
      <c r="F106" s="14"/>
      <c r="G106" s="14"/>
      <c r="H106" s="14"/>
      <c r="I106" s="14"/>
      <c r="J106" s="14"/>
    </row>
    <row r="107" spans="3:10">
      <c r="C107" s="1069" t="s">
        <v>2457</v>
      </c>
      <c r="D107" s="682"/>
      <c r="E107" s="682"/>
      <c r="F107" s="682"/>
      <c r="G107" s="682"/>
      <c r="H107" s="682"/>
      <c r="I107" s="682"/>
      <c r="J107" s="14"/>
    </row>
    <row r="108" spans="3:10">
      <c r="C108" s="15" t="str">
        <f>"4) Determine the PBOPs exclusion.  The authorized amount of PBOPs expense (line "&amp;B68&amp;") may only be revised"</f>
        <v>4) Determine the PBOPs exclusion.  The authorized amount of PBOPs expense (line a) may only be revised</v>
      </c>
      <c r="D108" s="14"/>
      <c r="E108" s="14"/>
      <c r="F108" s="14"/>
      <c r="G108" s="14"/>
      <c r="H108" s="14"/>
      <c r="I108" s="14"/>
      <c r="J108" s="14"/>
    </row>
    <row r="109" spans="3:10">
      <c r="C109" s="15" t="s">
        <v>1212</v>
      </c>
      <c r="D109" s="14"/>
      <c r="E109" s="14"/>
      <c r="F109" s="14"/>
      <c r="G109" s="14"/>
      <c r="H109" s="14"/>
      <c r="I109" s="14"/>
      <c r="J109" s="14"/>
    </row>
    <row r="110" spans="3:10">
      <c r="C110" s="15" t="s">
        <v>1228</v>
      </c>
      <c r="D110" s="14"/>
      <c r="E110" s="14"/>
      <c r="F110" s="14"/>
      <c r="G110" s="14"/>
      <c r="H110" s="14"/>
      <c r="I110" s="14"/>
      <c r="J110" s="14"/>
    </row>
    <row r="111" spans="3:10">
      <c r="C111" s="517" t="s">
        <v>1970</v>
      </c>
      <c r="D111" s="14"/>
      <c r="E111" s="14"/>
      <c r="F111" s="14"/>
      <c r="G111" s="14"/>
      <c r="H111" s="14"/>
      <c r="I111" s="1212" t="s">
        <v>2974</v>
      </c>
      <c r="J111" s="1229"/>
    </row>
    <row r="112" spans="3:10">
      <c r="C112" s="517" t="s">
        <v>2156</v>
      </c>
      <c r="D112" s="14"/>
      <c r="E112" s="14"/>
      <c r="F112" s="14"/>
      <c r="G112" s="14"/>
      <c r="H112" s="14"/>
      <c r="I112" s="14"/>
    </row>
  </sheetData>
  <phoneticPr fontId="23" type="noConversion"/>
  <pageMargins left="0.75" right="0.75" top="1" bottom="1" header="0.5" footer="0.5"/>
  <pageSetup scale="75" orientation="landscape" cellComments="asDisplayed" r:id="rId1"/>
  <headerFooter alignWithMargins="0">
    <oddHeader>&amp;CSchedule 20
Administrative and General Expenses
&amp;RTO2019 Draft Annual Update
Attachment 5
TO13 True Up TRR</oddHeader>
    <oddFooter>&amp;R&amp;A</oddFooter>
  </headerFooter>
  <rowBreaks count="2" manualBreakCount="2">
    <brk id="50" max="9" man="1"/>
    <brk id="7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62"/>
  <sheetViews>
    <sheetView zoomScale="110" zoomScaleNormal="110" zoomScalePageLayoutView="80" workbookViewId="0">
      <selection activeCell="A3" sqref="A3"/>
    </sheetView>
  </sheetViews>
  <sheetFormatPr defaultRowHeight="12.75"/>
  <cols>
    <col min="1" max="1" width="6.28515625" style="239" customWidth="1"/>
    <col min="2" max="2" width="8.5703125" style="41" customWidth="1"/>
    <col min="3" max="3" width="9.85546875" style="239" customWidth="1"/>
    <col min="4" max="4" width="51.5703125" style="41" customWidth="1"/>
    <col min="5" max="5" width="16.28515625" style="379" customWidth="1"/>
    <col min="6" max="6" width="16.140625" style="379" customWidth="1"/>
    <col min="7" max="7" width="18.42578125" style="379" customWidth="1"/>
    <col min="8" max="8" width="15.85546875" style="237" bestFit="1" customWidth="1"/>
    <col min="9" max="9" width="16.85546875" style="237" bestFit="1" customWidth="1"/>
    <col min="10" max="10" width="15.7109375" style="379" customWidth="1"/>
    <col min="11" max="11" width="6.5703125" style="335" customWidth="1"/>
    <col min="12" max="12" width="16.42578125" style="321" customWidth="1"/>
    <col min="13" max="13" width="17.140625" style="229" bestFit="1" customWidth="1"/>
    <col min="14" max="14" width="18.42578125" style="379" bestFit="1" customWidth="1"/>
    <col min="15" max="15" width="8.5703125" style="229" customWidth="1"/>
  </cols>
  <sheetData>
    <row r="1" spans="1:15">
      <c r="A1" s="356"/>
      <c r="B1" s="208" t="s">
        <v>610</v>
      </c>
      <c r="C1" s="209" t="s">
        <v>611</v>
      </c>
      <c r="D1" s="208" t="s">
        <v>612</v>
      </c>
      <c r="E1" s="209" t="s">
        <v>613</v>
      </c>
      <c r="F1" s="208" t="s">
        <v>614</v>
      </c>
      <c r="G1" s="209" t="s">
        <v>615</v>
      </c>
      <c r="H1" s="208" t="s">
        <v>616</v>
      </c>
      <c r="I1" s="209" t="s">
        <v>617</v>
      </c>
      <c r="J1" s="208" t="s">
        <v>618</v>
      </c>
      <c r="K1" s="209" t="s">
        <v>619</v>
      </c>
      <c r="L1" s="208" t="s">
        <v>620</v>
      </c>
      <c r="M1" s="209" t="s">
        <v>621</v>
      </c>
      <c r="N1" s="208" t="s">
        <v>622</v>
      </c>
      <c r="O1" s="209" t="s">
        <v>623</v>
      </c>
    </row>
    <row r="2" spans="1:15">
      <c r="A2" s="353"/>
      <c r="B2" s="354"/>
      <c r="C2" s="354"/>
      <c r="D2" s="354"/>
      <c r="E2" s="355"/>
      <c r="F2" s="355"/>
      <c r="G2" s="1408" t="s">
        <v>624</v>
      </c>
      <c r="H2" s="1409"/>
      <c r="I2" s="1410"/>
      <c r="J2" s="1408" t="s">
        <v>625</v>
      </c>
      <c r="K2" s="1409"/>
      <c r="L2" s="1409"/>
      <c r="M2" s="1410"/>
      <c r="N2" s="338" t="s">
        <v>626</v>
      </c>
      <c r="O2" s="353"/>
    </row>
    <row r="3" spans="1:15" ht="25.5">
      <c r="A3" s="210" t="s">
        <v>360</v>
      </c>
      <c r="B3" s="211" t="s">
        <v>627</v>
      </c>
      <c r="C3" s="212" t="s">
        <v>628</v>
      </c>
      <c r="D3" s="211" t="s">
        <v>629</v>
      </c>
      <c r="E3" s="312" t="s">
        <v>630</v>
      </c>
      <c r="F3" s="313" t="s">
        <v>631</v>
      </c>
      <c r="G3" s="313" t="s">
        <v>215</v>
      </c>
      <c r="H3" s="213" t="s">
        <v>475</v>
      </c>
      <c r="I3" s="213" t="s">
        <v>632</v>
      </c>
      <c r="J3" s="312" t="s">
        <v>215</v>
      </c>
      <c r="K3" s="334" t="s">
        <v>633</v>
      </c>
      <c r="L3" s="315" t="s">
        <v>634</v>
      </c>
      <c r="M3" s="214" t="s">
        <v>327</v>
      </c>
      <c r="N3" s="312" t="s">
        <v>215</v>
      </c>
      <c r="O3" s="214" t="s">
        <v>187</v>
      </c>
    </row>
    <row r="4" spans="1:15">
      <c r="A4" s="215" t="s">
        <v>635</v>
      </c>
      <c r="B4" s="216">
        <v>450</v>
      </c>
      <c r="C4" s="216" t="s">
        <v>636</v>
      </c>
      <c r="D4" s="217" t="s">
        <v>1322</v>
      </c>
      <c r="E4" s="323">
        <v>5873550.0599999996</v>
      </c>
      <c r="F4" s="319" t="str">
        <f>$G$2</f>
        <v>Traditional OOR</v>
      </c>
      <c r="G4" s="319">
        <f>IF(F4=$G$2,E4,0)</f>
        <v>5873550.0599999996</v>
      </c>
      <c r="H4" s="218">
        <v>0</v>
      </c>
      <c r="I4" s="219">
        <f>G4-H4</f>
        <v>5873550.0599999996</v>
      </c>
      <c r="J4" s="319">
        <f>IF(F4=$J$2,E4,0)</f>
        <v>0</v>
      </c>
      <c r="K4" s="314"/>
      <c r="L4" s="323"/>
      <c r="M4" s="220">
        <f>J4-L4</f>
        <v>0</v>
      </c>
      <c r="N4" s="319">
        <f>IF(F4=$N$2,E4,0)</f>
        <v>0</v>
      </c>
      <c r="O4" s="218">
        <v>1</v>
      </c>
    </row>
    <row r="5" spans="1:15">
      <c r="A5" s="221" t="s">
        <v>637</v>
      </c>
      <c r="B5" s="216">
        <v>450</v>
      </c>
      <c r="C5" s="222" t="s">
        <v>638</v>
      </c>
      <c r="D5" s="217" t="s">
        <v>639</v>
      </c>
      <c r="E5" s="323">
        <v>11837660.35</v>
      </c>
      <c r="F5" s="319" t="str">
        <f>$G$2</f>
        <v>Traditional OOR</v>
      </c>
      <c r="G5" s="319">
        <f>IF(F5=$G$2,E5,0)</f>
        <v>11837660.35</v>
      </c>
      <c r="H5" s="218">
        <v>0</v>
      </c>
      <c r="I5" s="219">
        <f>G5-H5</f>
        <v>11837660.35</v>
      </c>
      <c r="J5" s="319">
        <f>IF(F5=$J$2,E5,0)</f>
        <v>0</v>
      </c>
      <c r="K5" s="314"/>
      <c r="L5" s="323"/>
      <c r="M5" s="220">
        <f>J5-L5</f>
        <v>0</v>
      </c>
      <c r="N5" s="319">
        <f>IF(F5=$N$2,E5,0)</f>
        <v>0</v>
      </c>
      <c r="O5" s="223">
        <v>1</v>
      </c>
    </row>
    <row r="6" spans="1:15">
      <c r="A6" s="221" t="s">
        <v>640</v>
      </c>
      <c r="B6" s="216">
        <v>450</v>
      </c>
      <c r="C6" s="222" t="s">
        <v>641</v>
      </c>
      <c r="D6" s="217" t="s">
        <v>642</v>
      </c>
      <c r="E6" s="496"/>
      <c r="F6" s="319" t="str">
        <f>$G$2</f>
        <v>Traditional OOR</v>
      </c>
      <c r="G6" s="319">
        <f>IF(F6=$G$2,E6,0)</f>
        <v>0</v>
      </c>
      <c r="H6" s="218">
        <v>0</v>
      </c>
      <c r="I6" s="219">
        <f>G6-H6</f>
        <v>0</v>
      </c>
      <c r="J6" s="319">
        <f>IF(F6=$J$2,E6,0)</f>
        <v>0</v>
      </c>
      <c r="K6" s="314"/>
      <c r="L6" s="323"/>
      <c r="M6" s="220">
        <f>J6-L6</f>
        <v>0</v>
      </c>
      <c r="N6" s="319">
        <f>IF(F6=$N$2,E6,0)</f>
        <v>0</v>
      </c>
      <c r="O6" s="223">
        <v>1</v>
      </c>
    </row>
    <row r="7" spans="1:15">
      <c r="A7" s="352"/>
      <c r="B7" s="348"/>
      <c r="C7" s="347"/>
      <c r="D7" s="349"/>
      <c r="E7" s="328"/>
      <c r="F7" s="328"/>
      <c r="G7" s="323"/>
      <c r="H7" s="324"/>
      <c r="I7" s="325"/>
      <c r="J7" s="323"/>
      <c r="K7" s="327"/>
      <c r="L7" s="323"/>
      <c r="M7" s="325"/>
      <c r="N7" s="323"/>
      <c r="O7" s="324"/>
    </row>
    <row r="8" spans="1:15">
      <c r="A8" s="352"/>
      <c r="B8" s="348"/>
      <c r="C8" s="347"/>
      <c r="D8" s="349"/>
      <c r="E8" s="328"/>
      <c r="F8" s="328"/>
      <c r="G8" s="323"/>
      <c r="H8" s="324"/>
      <c r="I8" s="325"/>
      <c r="J8" s="323"/>
      <c r="K8" s="327"/>
      <c r="L8" s="323"/>
      <c r="M8" s="325"/>
      <c r="N8" s="323"/>
      <c r="O8" s="324"/>
    </row>
    <row r="9" spans="1:15">
      <c r="A9" s="215">
        <v>2</v>
      </c>
      <c r="B9" s="1419" t="s">
        <v>643</v>
      </c>
      <c r="C9" s="1420"/>
      <c r="D9" s="1421"/>
      <c r="E9" s="332">
        <f>SUM(E4:E8)</f>
        <v>17711210.41</v>
      </c>
      <c r="F9" s="341"/>
      <c r="G9" s="332">
        <f>SUM(G4:G8)</f>
        <v>17711210.41</v>
      </c>
      <c r="H9" s="209">
        <f>SUM(H4:H8)</f>
        <v>0</v>
      </c>
      <c r="I9" s="332">
        <f>SUM(I4:I8)</f>
        <v>17711210.41</v>
      </c>
      <c r="J9" s="332">
        <f>SUM(J4:J8)</f>
        <v>0</v>
      </c>
      <c r="K9" s="341"/>
      <c r="L9" s="332">
        <f>SUM(L4:L8)</f>
        <v>0</v>
      </c>
      <c r="M9" s="332">
        <f>SUM(M4:M8)</f>
        <v>0</v>
      </c>
      <c r="N9" s="332">
        <f>SUM(N4:N8)</f>
        <v>0</v>
      </c>
      <c r="O9" s="218"/>
    </row>
    <row r="10" spans="1:15" ht="12.75" customHeight="1">
      <c r="A10" s="221">
        <v>3</v>
      </c>
      <c r="B10" s="1411" t="s">
        <v>1360</v>
      </c>
      <c r="C10" s="1412"/>
      <c r="D10" s="1413"/>
      <c r="E10" s="329">
        <v>17711210</v>
      </c>
      <c r="F10" s="331"/>
      <c r="G10" s="317"/>
      <c r="H10" s="331"/>
      <c r="I10" s="331"/>
      <c r="J10" s="317"/>
      <c r="K10" s="331"/>
      <c r="L10" s="317"/>
      <c r="M10" s="317"/>
      <c r="N10" s="317"/>
      <c r="O10" s="207"/>
    </row>
    <row r="11" spans="1:15">
      <c r="A11" s="224"/>
      <c r="B11" s="225"/>
      <c r="C11" s="226"/>
      <c r="D11" s="227"/>
      <c r="E11" s="317"/>
      <c r="F11" s="317"/>
      <c r="G11" s="317"/>
      <c r="H11" s="331"/>
      <c r="I11" s="331"/>
      <c r="J11" s="317"/>
      <c r="K11" s="331"/>
      <c r="L11" s="317"/>
      <c r="M11" s="317"/>
      <c r="N11" s="317"/>
      <c r="O11" s="207"/>
    </row>
    <row r="12" spans="1:15">
      <c r="A12" s="221" t="s">
        <v>644</v>
      </c>
      <c r="B12" s="216">
        <v>451</v>
      </c>
      <c r="C12" s="222" t="s">
        <v>645</v>
      </c>
      <c r="D12" s="217" t="s">
        <v>646</v>
      </c>
      <c r="E12" s="1174">
        <v>113378.95</v>
      </c>
      <c r="F12" s="319" t="str">
        <f t="shared" ref="F12:F18" si="0">$G$2</f>
        <v>Traditional OOR</v>
      </c>
      <c r="G12" s="319">
        <f t="shared" ref="G12:G28" si="1">IF(F12=$G$2,E12,0)</f>
        <v>113378.95</v>
      </c>
      <c r="H12" s="218">
        <v>0</v>
      </c>
      <c r="I12" s="219">
        <f t="shared" ref="I12:I28" si="2">G12-H12</f>
        <v>113378.95</v>
      </c>
      <c r="J12" s="319">
        <f t="shared" ref="J12:J28" si="3">IF(F12=$J$2,E12,0)</f>
        <v>0</v>
      </c>
      <c r="K12" s="319"/>
      <c r="L12" s="325"/>
      <c r="M12" s="220">
        <f t="shared" ref="M12:M18" si="4">J12-L12</f>
        <v>0</v>
      </c>
      <c r="N12" s="319">
        <f t="shared" ref="N12:N28" si="5">IF(F12=$N$2,E12,0)</f>
        <v>0</v>
      </c>
      <c r="O12" s="223">
        <v>1</v>
      </c>
    </row>
    <row r="13" spans="1:15">
      <c r="A13" s="221" t="s">
        <v>647</v>
      </c>
      <c r="B13" s="216">
        <v>451</v>
      </c>
      <c r="C13" s="222" t="s">
        <v>648</v>
      </c>
      <c r="D13" s="217" t="s">
        <v>649</v>
      </c>
      <c r="E13" s="1174">
        <v>364706.32</v>
      </c>
      <c r="F13" s="319" t="str">
        <f t="shared" si="0"/>
        <v>Traditional OOR</v>
      </c>
      <c r="G13" s="319">
        <f t="shared" si="1"/>
        <v>364706.32</v>
      </c>
      <c r="H13" s="218">
        <v>0</v>
      </c>
      <c r="I13" s="219">
        <f t="shared" si="2"/>
        <v>364706.32</v>
      </c>
      <c r="J13" s="319">
        <f t="shared" si="3"/>
        <v>0</v>
      </c>
      <c r="K13" s="319"/>
      <c r="L13" s="325"/>
      <c r="M13" s="220">
        <f t="shared" si="4"/>
        <v>0</v>
      </c>
      <c r="N13" s="319">
        <f t="shared" si="5"/>
        <v>0</v>
      </c>
      <c r="O13" s="223">
        <v>1</v>
      </c>
    </row>
    <row r="14" spans="1:15">
      <c r="A14" s="221" t="s">
        <v>650</v>
      </c>
      <c r="B14" s="216">
        <v>451</v>
      </c>
      <c r="C14" s="222" t="s">
        <v>651</v>
      </c>
      <c r="D14" s="217" t="s">
        <v>652</v>
      </c>
      <c r="E14" s="1174">
        <v>33304278</v>
      </c>
      <c r="F14" s="319" t="str">
        <f t="shared" si="0"/>
        <v>Traditional OOR</v>
      </c>
      <c r="G14" s="319">
        <f t="shared" si="1"/>
        <v>33304278</v>
      </c>
      <c r="H14" s="218">
        <v>0</v>
      </c>
      <c r="I14" s="219">
        <f t="shared" si="2"/>
        <v>33304278</v>
      </c>
      <c r="J14" s="319">
        <f t="shared" si="3"/>
        <v>0</v>
      </c>
      <c r="K14" s="319"/>
      <c r="L14" s="325"/>
      <c r="M14" s="220">
        <f t="shared" si="4"/>
        <v>0</v>
      </c>
      <c r="N14" s="319">
        <f t="shared" si="5"/>
        <v>0</v>
      </c>
      <c r="O14" s="223">
        <v>1</v>
      </c>
    </row>
    <row r="15" spans="1:15">
      <c r="A15" s="221" t="s">
        <v>653</v>
      </c>
      <c r="B15" s="216">
        <v>451</v>
      </c>
      <c r="C15" s="222" t="s">
        <v>654</v>
      </c>
      <c r="D15" s="217" t="s">
        <v>655</v>
      </c>
      <c r="E15" s="1174">
        <v>1427740.06</v>
      </c>
      <c r="F15" s="319" t="str">
        <f t="shared" si="0"/>
        <v>Traditional OOR</v>
      </c>
      <c r="G15" s="319">
        <f t="shared" si="1"/>
        <v>1427740.06</v>
      </c>
      <c r="H15" s="218">
        <v>0</v>
      </c>
      <c r="I15" s="219">
        <f t="shared" si="2"/>
        <v>1427740.06</v>
      </c>
      <c r="J15" s="319">
        <f t="shared" si="3"/>
        <v>0</v>
      </c>
      <c r="K15" s="319"/>
      <c r="L15" s="325"/>
      <c r="M15" s="220">
        <f t="shared" si="4"/>
        <v>0</v>
      </c>
      <c r="N15" s="319">
        <f t="shared" si="5"/>
        <v>0</v>
      </c>
      <c r="O15" s="223">
        <v>1</v>
      </c>
    </row>
    <row r="16" spans="1:15">
      <c r="A16" s="221" t="s">
        <v>656</v>
      </c>
      <c r="B16" s="216">
        <v>451</v>
      </c>
      <c r="C16" s="222" t="s">
        <v>657</v>
      </c>
      <c r="D16" s="217" t="s">
        <v>658</v>
      </c>
      <c r="E16" s="1174">
        <v>5877.47</v>
      </c>
      <c r="F16" s="319" t="str">
        <f t="shared" si="0"/>
        <v>Traditional OOR</v>
      </c>
      <c r="G16" s="319">
        <f t="shared" si="1"/>
        <v>5877.47</v>
      </c>
      <c r="H16" s="218">
        <v>0</v>
      </c>
      <c r="I16" s="219">
        <f t="shared" si="2"/>
        <v>5877.47</v>
      </c>
      <c r="J16" s="319">
        <f t="shared" si="3"/>
        <v>0</v>
      </c>
      <c r="K16" s="319"/>
      <c r="L16" s="325"/>
      <c r="M16" s="220">
        <f t="shared" si="4"/>
        <v>0</v>
      </c>
      <c r="N16" s="319">
        <f t="shared" si="5"/>
        <v>0</v>
      </c>
      <c r="O16" s="223">
        <v>1</v>
      </c>
    </row>
    <row r="17" spans="1:15">
      <c r="A17" s="221" t="s">
        <v>659</v>
      </c>
      <c r="B17" s="216">
        <v>451</v>
      </c>
      <c r="C17" s="222" t="s">
        <v>660</v>
      </c>
      <c r="D17" s="217" t="s">
        <v>661</v>
      </c>
      <c r="E17" s="1174">
        <v>455.61</v>
      </c>
      <c r="F17" s="319" t="str">
        <f t="shared" si="0"/>
        <v>Traditional OOR</v>
      </c>
      <c r="G17" s="319">
        <f t="shared" si="1"/>
        <v>455.61</v>
      </c>
      <c r="H17" s="218">
        <v>0</v>
      </c>
      <c r="I17" s="219">
        <f t="shared" si="2"/>
        <v>455.61</v>
      </c>
      <c r="J17" s="319">
        <f t="shared" si="3"/>
        <v>0</v>
      </c>
      <c r="K17" s="319"/>
      <c r="L17" s="325"/>
      <c r="M17" s="220">
        <f t="shared" si="4"/>
        <v>0</v>
      </c>
      <c r="N17" s="319">
        <f t="shared" si="5"/>
        <v>0</v>
      </c>
      <c r="O17" s="223">
        <v>1</v>
      </c>
    </row>
    <row r="18" spans="1:15">
      <c r="A18" s="221" t="s">
        <v>662</v>
      </c>
      <c r="B18" s="216">
        <v>451</v>
      </c>
      <c r="C18" s="222" t="s">
        <v>663</v>
      </c>
      <c r="D18" s="217" t="s">
        <v>664</v>
      </c>
      <c r="E18" s="1174">
        <v>340</v>
      </c>
      <c r="F18" s="319" t="str">
        <f t="shared" si="0"/>
        <v>Traditional OOR</v>
      </c>
      <c r="G18" s="319">
        <f t="shared" si="1"/>
        <v>340</v>
      </c>
      <c r="H18" s="218">
        <v>0</v>
      </c>
      <c r="I18" s="219">
        <f t="shared" si="2"/>
        <v>340</v>
      </c>
      <c r="J18" s="319">
        <f t="shared" si="3"/>
        <v>0</v>
      </c>
      <c r="K18" s="319"/>
      <c r="L18" s="325"/>
      <c r="M18" s="220">
        <f t="shared" si="4"/>
        <v>0</v>
      </c>
      <c r="N18" s="319">
        <f t="shared" si="5"/>
        <v>0</v>
      </c>
      <c r="O18" s="223">
        <v>1</v>
      </c>
    </row>
    <row r="19" spans="1:15">
      <c r="A19" s="221" t="s">
        <v>665</v>
      </c>
      <c r="B19" s="216">
        <v>451</v>
      </c>
      <c r="C19" s="222" t="s">
        <v>666</v>
      </c>
      <c r="D19" s="217" t="s">
        <v>667</v>
      </c>
      <c r="E19" s="1174">
        <v>43.61</v>
      </c>
      <c r="F19" s="319" t="str">
        <f>$J$2</f>
        <v>GRSM</v>
      </c>
      <c r="G19" s="319">
        <f t="shared" si="1"/>
        <v>0</v>
      </c>
      <c r="H19" s="218">
        <v>0</v>
      </c>
      <c r="I19" s="219">
        <f t="shared" si="2"/>
        <v>0</v>
      </c>
      <c r="J19" s="319">
        <f t="shared" si="3"/>
        <v>43.61</v>
      </c>
      <c r="K19" s="357" t="s">
        <v>668</v>
      </c>
      <c r="L19" s="325"/>
      <c r="M19" s="220">
        <f>J19-L19</f>
        <v>43.61</v>
      </c>
      <c r="N19" s="319">
        <f t="shared" si="5"/>
        <v>0</v>
      </c>
      <c r="O19" s="223">
        <v>2</v>
      </c>
    </row>
    <row r="20" spans="1:15">
      <c r="A20" s="221" t="s">
        <v>669</v>
      </c>
      <c r="B20" s="216">
        <v>451</v>
      </c>
      <c r="C20" s="222" t="s">
        <v>670</v>
      </c>
      <c r="D20" s="217" t="s">
        <v>671</v>
      </c>
      <c r="E20" s="1174">
        <v>411073.34</v>
      </c>
      <c r="F20" s="319" t="str">
        <f>$N$2</f>
        <v>Other Ratemaking</v>
      </c>
      <c r="G20" s="319">
        <f t="shared" si="1"/>
        <v>0</v>
      </c>
      <c r="H20" s="218">
        <v>0</v>
      </c>
      <c r="I20" s="219">
        <f t="shared" si="2"/>
        <v>0</v>
      </c>
      <c r="J20" s="319">
        <f t="shared" si="3"/>
        <v>0</v>
      </c>
      <c r="K20" s="319"/>
      <c r="L20" s="325"/>
      <c r="M20" s="220">
        <f>J20-L20</f>
        <v>0</v>
      </c>
      <c r="N20" s="319">
        <f t="shared" si="5"/>
        <v>411073.34</v>
      </c>
      <c r="O20" s="223">
        <v>6</v>
      </c>
    </row>
    <row r="21" spans="1:15">
      <c r="A21" s="215" t="s">
        <v>2525</v>
      </c>
      <c r="B21" s="216">
        <v>451</v>
      </c>
      <c r="C21" s="216">
        <v>4182120</v>
      </c>
      <c r="D21" s="234" t="s">
        <v>2526</v>
      </c>
      <c r="E21" s="1174">
        <v>228.17</v>
      </c>
      <c r="F21" s="319" t="s">
        <v>624</v>
      </c>
      <c r="G21" s="319">
        <f t="shared" si="1"/>
        <v>228.17</v>
      </c>
      <c r="H21" s="218">
        <v>0</v>
      </c>
      <c r="I21" s="219">
        <f t="shared" si="2"/>
        <v>228.17</v>
      </c>
      <c r="J21" s="319">
        <f t="shared" si="3"/>
        <v>0</v>
      </c>
      <c r="K21" s="319"/>
      <c r="L21" s="325"/>
      <c r="M21" s="219">
        <f t="shared" ref="M21:M28" si="6">J21-L21</f>
        <v>0</v>
      </c>
      <c r="N21" s="319">
        <f t="shared" si="5"/>
        <v>0</v>
      </c>
      <c r="O21" s="218">
        <v>1</v>
      </c>
    </row>
    <row r="22" spans="1:15">
      <c r="A22" s="215" t="s">
        <v>2527</v>
      </c>
      <c r="B22" s="216">
        <v>451</v>
      </c>
      <c r="C22" s="216">
        <v>4192152</v>
      </c>
      <c r="D22" s="234" t="s">
        <v>2528</v>
      </c>
      <c r="E22" s="1174">
        <v>1560</v>
      </c>
      <c r="F22" s="319" t="s">
        <v>626</v>
      </c>
      <c r="G22" s="319">
        <f t="shared" si="1"/>
        <v>0</v>
      </c>
      <c r="H22" s="218">
        <v>0</v>
      </c>
      <c r="I22" s="219">
        <f t="shared" si="2"/>
        <v>0</v>
      </c>
      <c r="J22" s="319">
        <f t="shared" si="3"/>
        <v>0</v>
      </c>
      <c r="K22" s="319"/>
      <c r="L22" s="325"/>
      <c r="M22" s="219">
        <f t="shared" si="6"/>
        <v>0</v>
      </c>
      <c r="N22" s="319">
        <f t="shared" si="5"/>
        <v>1560</v>
      </c>
      <c r="O22" s="218">
        <v>1</v>
      </c>
    </row>
    <row r="23" spans="1:15">
      <c r="A23" s="215" t="s">
        <v>2529</v>
      </c>
      <c r="B23" s="216">
        <v>451</v>
      </c>
      <c r="C23" s="216">
        <v>4192155</v>
      </c>
      <c r="D23" s="234" t="s">
        <v>2530</v>
      </c>
      <c r="E23" s="1174">
        <v>34655</v>
      </c>
      <c r="F23" s="319" t="s">
        <v>626</v>
      </c>
      <c r="G23" s="319">
        <f t="shared" si="1"/>
        <v>0</v>
      </c>
      <c r="H23" s="218">
        <v>0</v>
      </c>
      <c r="I23" s="219">
        <f t="shared" si="2"/>
        <v>0</v>
      </c>
      <c r="J23" s="319">
        <f t="shared" si="3"/>
        <v>0</v>
      </c>
      <c r="K23" s="319"/>
      <c r="L23" s="325"/>
      <c r="M23" s="219">
        <f t="shared" si="6"/>
        <v>0</v>
      </c>
      <c r="N23" s="319">
        <f t="shared" si="5"/>
        <v>34655</v>
      </c>
      <c r="O23" s="218">
        <v>1</v>
      </c>
    </row>
    <row r="24" spans="1:15">
      <c r="A24" s="215" t="s">
        <v>2531</v>
      </c>
      <c r="B24" s="216">
        <v>451</v>
      </c>
      <c r="C24" s="216">
        <v>4192158</v>
      </c>
      <c r="D24" s="234" t="s">
        <v>2532</v>
      </c>
      <c r="E24" s="1174">
        <v>45600</v>
      </c>
      <c r="F24" s="319" t="s">
        <v>626</v>
      </c>
      <c r="G24" s="319">
        <f t="shared" si="1"/>
        <v>0</v>
      </c>
      <c r="H24" s="218">
        <v>0</v>
      </c>
      <c r="I24" s="219">
        <f t="shared" si="2"/>
        <v>0</v>
      </c>
      <c r="J24" s="319">
        <f t="shared" si="3"/>
        <v>0</v>
      </c>
      <c r="K24" s="319"/>
      <c r="L24" s="325"/>
      <c r="M24" s="219">
        <f t="shared" si="6"/>
        <v>0</v>
      </c>
      <c r="N24" s="319">
        <f t="shared" si="5"/>
        <v>45600</v>
      </c>
      <c r="O24" s="218">
        <v>1</v>
      </c>
    </row>
    <row r="25" spans="1:15">
      <c r="A25" s="215" t="s">
        <v>2533</v>
      </c>
      <c r="B25" s="216">
        <v>451</v>
      </c>
      <c r="C25" s="216">
        <v>4192160</v>
      </c>
      <c r="D25" s="234" t="s">
        <v>2534</v>
      </c>
      <c r="E25" s="1174">
        <v>251230</v>
      </c>
      <c r="F25" s="319" t="s">
        <v>626</v>
      </c>
      <c r="G25" s="319">
        <f t="shared" si="1"/>
        <v>0</v>
      </c>
      <c r="H25" s="218">
        <v>0</v>
      </c>
      <c r="I25" s="219">
        <f t="shared" si="2"/>
        <v>0</v>
      </c>
      <c r="J25" s="319">
        <f t="shared" si="3"/>
        <v>0</v>
      </c>
      <c r="K25" s="319"/>
      <c r="L25" s="325"/>
      <c r="M25" s="219">
        <f t="shared" si="6"/>
        <v>0</v>
      </c>
      <c r="N25" s="319">
        <f t="shared" si="5"/>
        <v>251230</v>
      </c>
      <c r="O25" s="218">
        <v>1</v>
      </c>
    </row>
    <row r="26" spans="1:15" s="1158" customFormat="1">
      <c r="A26" s="215" t="s">
        <v>2716</v>
      </c>
      <c r="B26" s="216">
        <v>451</v>
      </c>
      <c r="C26" s="216">
        <v>4192135</v>
      </c>
      <c r="D26" s="1173" t="s">
        <v>2717</v>
      </c>
      <c r="E26" s="1174">
        <v>5815680.5599999996</v>
      </c>
      <c r="F26" s="622" t="s">
        <v>624</v>
      </c>
      <c r="G26" s="319">
        <f t="shared" si="1"/>
        <v>5815680.5599999996</v>
      </c>
      <c r="H26" s="218">
        <v>0</v>
      </c>
      <c r="I26" s="219">
        <f t="shared" si="2"/>
        <v>5815680.5599999996</v>
      </c>
      <c r="J26" s="319">
        <f t="shared" si="3"/>
        <v>0</v>
      </c>
      <c r="K26" s="319"/>
      <c r="L26" s="325"/>
      <c r="M26" s="219">
        <f t="shared" si="6"/>
        <v>0</v>
      </c>
      <c r="N26" s="319">
        <f t="shared" si="5"/>
        <v>0</v>
      </c>
      <c r="O26" s="218">
        <v>1</v>
      </c>
    </row>
    <row r="27" spans="1:15" s="1158" customFormat="1">
      <c r="A27" s="215" t="s">
        <v>2718</v>
      </c>
      <c r="B27" s="216">
        <v>451</v>
      </c>
      <c r="C27" s="216">
        <v>4192145</v>
      </c>
      <c r="D27" s="1173" t="s">
        <v>2719</v>
      </c>
      <c r="E27" s="1174">
        <v>2178888.33</v>
      </c>
      <c r="F27" s="622" t="s">
        <v>624</v>
      </c>
      <c r="G27" s="319">
        <f t="shared" si="1"/>
        <v>2178888.33</v>
      </c>
      <c r="H27" s="218">
        <v>0</v>
      </c>
      <c r="I27" s="219">
        <f t="shared" si="2"/>
        <v>2178888.33</v>
      </c>
      <c r="J27" s="319">
        <f t="shared" si="3"/>
        <v>0</v>
      </c>
      <c r="K27" s="319"/>
      <c r="L27" s="325"/>
      <c r="M27" s="219">
        <f t="shared" si="6"/>
        <v>0</v>
      </c>
      <c r="N27" s="319">
        <f t="shared" si="5"/>
        <v>0</v>
      </c>
      <c r="O27" s="218">
        <v>1</v>
      </c>
    </row>
    <row r="28" spans="1:15" s="1158" customFormat="1">
      <c r="A28" s="215" t="s">
        <v>2720</v>
      </c>
      <c r="B28" s="216">
        <v>451</v>
      </c>
      <c r="C28" s="216">
        <v>4192150</v>
      </c>
      <c r="D28" s="1173" t="s">
        <v>2721</v>
      </c>
      <c r="E28" s="1174">
        <v>22027</v>
      </c>
      <c r="F28" s="622" t="s">
        <v>624</v>
      </c>
      <c r="G28" s="319">
        <f t="shared" si="1"/>
        <v>22027</v>
      </c>
      <c r="H28" s="218">
        <v>0</v>
      </c>
      <c r="I28" s="219">
        <f t="shared" si="2"/>
        <v>22027</v>
      </c>
      <c r="J28" s="319">
        <f t="shared" si="3"/>
        <v>0</v>
      </c>
      <c r="K28" s="319"/>
      <c r="L28" s="325"/>
      <c r="M28" s="219">
        <f t="shared" si="6"/>
        <v>0</v>
      </c>
      <c r="N28" s="319">
        <f t="shared" si="5"/>
        <v>0</v>
      </c>
      <c r="O28" s="218">
        <v>1</v>
      </c>
    </row>
    <row r="29" spans="1:15">
      <c r="A29" s="352"/>
      <c r="B29" s="348"/>
      <c r="C29" s="348"/>
      <c r="D29" s="814"/>
      <c r="E29" s="323"/>
      <c r="F29" s="323"/>
      <c r="G29" s="323"/>
      <c r="H29" s="324"/>
      <c r="I29" s="325"/>
      <c r="J29" s="323"/>
      <c r="K29" s="323"/>
      <c r="L29" s="325"/>
      <c r="M29" s="325"/>
      <c r="N29" s="323"/>
      <c r="O29" s="324"/>
    </row>
    <row r="30" spans="1:15">
      <c r="A30" s="352"/>
      <c r="B30" s="348"/>
      <c r="C30" s="347"/>
      <c r="D30" s="814"/>
      <c r="E30" s="323"/>
      <c r="F30" s="323"/>
      <c r="G30" s="327"/>
      <c r="H30" s="324"/>
      <c r="I30" s="325"/>
      <c r="J30" s="323"/>
      <c r="K30" s="323"/>
      <c r="L30" s="325"/>
      <c r="M30" s="325"/>
      <c r="N30" s="323"/>
      <c r="O30" s="324"/>
    </row>
    <row r="31" spans="1:15">
      <c r="A31" s="215">
        <v>5</v>
      </c>
      <c r="B31" s="1419" t="s">
        <v>672</v>
      </c>
      <c r="C31" s="1420"/>
      <c r="D31" s="1421"/>
      <c r="E31" s="332">
        <f>SUM(E12:E30)</f>
        <v>43977762.420000009</v>
      </c>
      <c r="F31" s="341"/>
      <c r="G31" s="332">
        <f>SUM(G12:G30)</f>
        <v>43233600.470000006</v>
      </c>
      <c r="H31" s="209">
        <f>SUM(H12:H30)</f>
        <v>0</v>
      </c>
      <c r="I31" s="332">
        <f>SUM(I12:I30)</f>
        <v>43233600.470000006</v>
      </c>
      <c r="J31" s="332">
        <f>SUM(J12:J30)</f>
        <v>43.61</v>
      </c>
      <c r="K31" s="341"/>
      <c r="L31" s="332">
        <f>SUM(L12:L30)</f>
        <v>0</v>
      </c>
      <c r="M31" s="332">
        <f>SUM(M12:M30)</f>
        <v>43.61</v>
      </c>
      <c r="N31" s="332">
        <f>SUM(N12:N30)</f>
        <v>744118.34000000008</v>
      </c>
      <c r="O31" s="218"/>
    </row>
    <row r="32" spans="1:15" ht="25.5" customHeight="1">
      <c r="A32" s="221">
        <v>6</v>
      </c>
      <c r="B32" s="1411" t="s">
        <v>1361</v>
      </c>
      <c r="C32" s="1412"/>
      <c r="D32" s="1413"/>
      <c r="E32" s="1343">
        <v>43977762</v>
      </c>
      <c r="F32" s="331"/>
      <c r="G32" s="317"/>
      <c r="H32" s="228"/>
      <c r="I32" s="228"/>
      <c r="J32" s="317"/>
      <c r="K32" s="331"/>
      <c r="L32" s="317"/>
      <c r="M32" s="317"/>
      <c r="N32" s="317"/>
    </row>
    <row r="33" spans="1:15">
      <c r="A33" s="230"/>
      <c r="B33" s="225"/>
      <c r="C33" s="226"/>
      <c r="D33" s="227"/>
      <c r="E33" s="317"/>
      <c r="F33" s="317"/>
      <c r="G33" s="317"/>
      <c r="H33" s="228"/>
      <c r="I33" s="228"/>
      <c r="J33" s="317"/>
      <c r="K33" s="331"/>
      <c r="L33" s="317"/>
      <c r="M33" s="317"/>
      <c r="N33" s="317"/>
    </row>
    <row r="34" spans="1:15">
      <c r="A34" s="221" t="s">
        <v>673</v>
      </c>
      <c r="B34" s="216">
        <v>453</v>
      </c>
      <c r="C34" s="222" t="s">
        <v>676</v>
      </c>
      <c r="D34" s="217" t="s">
        <v>677</v>
      </c>
      <c r="E34" s="1175"/>
      <c r="F34" s="319" t="str">
        <f>$G$2</f>
        <v>Traditional OOR</v>
      </c>
      <c r="G34" s="319">
        <f>IF(F34=$G$2,E34,0)</f>
        <v>0</v>
      </c>
      <c r="H34" s="218">
        <v>0</v>
      </c>
      <c r="I34" s="219">
        <f>G34-H34</f>
        <v>0</v>
      </c>
      <c r="J34" s="319">
        <f>IF(F34=$J$2,E34,0)</f>
        <v>0</v>
      </c>
      <c r="K34" s="319"/>
      <c r="L34" s="325"/>
      <c r="M34" s="220">
        <f>J34-L34</f>
        <v>0</v>
      </c>
      <c r="N34" s="319">
        <f>IF(F34=$N$2,E34,0)</f>
        <v>0</v>
      </c>
      <c r="O34" s="223">
        <v>3</v>
      </c>
    </row>
    <row r="35" spans="1:15">
      <c r="A35" s="221" t="s">
        <v>674</v>
      </c>
      <c r="B35" s="216">
        <v>453</v>
      </c>
      <c r="C35" s="222" t="s">
        <v>678</v>
      </c>
      <c r="D35" s="217" t="s">
        <v>679</v>
      </c>
      <c r="E35" s="1175"/>
      <c r="F35" s="319" t="str">
        <f>$G$2</f>
        <v>Traditional OOR</v>
      </c>
      <c r="G35" s="319">
        <f>IF(F35=$G$2,E35,0)</f>
        <v>0</v>
      </c>
      <c r="H35" s="218">
        <v>0</v>
      </c>
      <c r="I35" s="219">
        <f>G35-H35</f>
        <v>0</v>
      </c>
      <c r="J35" s="319">
        <f>IF(F35=$J$2,E35,0)</f>
        <v>0</v>
      </c>
      <c r="K35" s="319"/>
      <c r="L35" s="325"/>
      <c r="M35" s="220">
        <f>J35-L35</f>
        <v>0</v>
      </c>
      <c r="N35" s="319">
        <f>IF(F35=$N$2,E35,0)</f>
        <v>0</v>
      </c>
      <c r="O35" s="223">
        <v>3</v>
      </c>
    </row>
    <row r="36" spans="1:15">
      <c r="A36" s="221" t="s">
        <v>675</v>
      </c>
      <c r="B36" s="216">
        <v>453</v>
      </c>
      <c r="C36" s="221" t="s">
        <v>1550</v>
      </c>
      <c r="D36" s="217" t="s">
        <v>1549</v>
      </c>
      <c r="E36" s="1175"/>
      <c r="F36" s="319" t="str">
        <f>$G$2</f>
        <v>Traditional OOR</v>
      </c>
      <c r="G36" s="319">
        <f>IF(F36=$G$2,E36,0)</f>
        <v>0</v>
      </c>
      <c r="H36" s="218">
        <v>0</v>
      </c>
      <c r="I36" s="219">
        <f>G36-H36</f>
        <v>0</v>
      </c>
      <c r="J36" s="319">
        <f>IF(F36=$J$2,E36,0)</f>
        <v>0</v>
      </c>
      <c r="K36" s="319"/>
      <c r="L36" s="325"/>
      <c r="M36" s="220">
        <f>J36-L36</f>
        <v>0</v>
      </c>
      <c r="N36" s="319">
        <f>IF(F36=$N$2,E36,0)</f>
        <v>0</v>
      </c>
      <c r="O36" s="223">
        <v>3</v>
      </c>
    </row>
    <row r="37" spans="1:15">
      <c r="A37" s="352"/>
      <c r="B37" s="348"/>
      <c r="C37" s="347"/>
      <c r="D37" s="349"/>
      <c r="E37" s="323"/>
      <c r="F37" s="323"/>
      <c r="G37" s="327"/>
      <c r="H37" s="324"/>
      <c r="I37" s="325"/>
      <c r="J37" s="323"/>
      <c r="K37" s="323"/>
      <c r="L37" s="325"/>
      <c r="M37" s="325"/>
      <c r="N37" s="323"/>
      <c r="O37" s="324"/>
    </row>
    <row r="38" spans="1:15">
      <c r="A38" s="352"/>
      <c r="B38" s="348"/>
      <c r="C38" s="347"/>
      <c r="D38" s="349"/>
      <c r="E38" s="323"/>
      <c r="F38" s="323"/>
      <c r="G38" s="327"/>
      <c r="H38" s="324"/>
      <c r="I38" s="325"/>
      <c r="J38" s="323"/>
      <c r="K38" s="323"/>
      <c r="L38" s="325"/>
      <c r="M38" s="325"/>
      <c r="N38" s="323"/>
      <c r="O38" s="324"/>
    </row>
    <row r="39" spans="1:15">
      <c r="A39" s="215">
        <v>8</v>
      </c>
      <c r="B39" s="1419" t="s">
        <v>680</v>
      </c>
      <c r="C39" s="1420"/>
      <c r="D39" s="1421"/>
      <c r="E39" s="332">
        <f>SUM(E34:E38)</f>
        <v>0</v>
      </c>
      <c r="F39" s="341"/>
      <c r="G39" s="332">
        <f>SUM(G34:G38)</f>
        <v>0</v>
      </c>
      <c r="H39" s="209">
        <f>SUM(H34:H38)</f>
        <v>0</v>
      </c>
      <c r="I39" s="332">
        <f>SUM(I34:I38)</f>
        <v>0</v>
      </c>
      <c r="J39" s="332">
        <f>SUM(J34:J38)</f>
        <v>0</v>
      </c>
      <c r="K39" s="341"/>
      <c r="L39" s="332">
        <f>SUM(L34:L38)</f>
        <v>0</v>
      </c>
      <c r="M39" s="332">
        <f>SUM(M34:M38)</f>
        <v>0</v>
      </c>
      <c r="N39" s="332">
        <f>SUM(N34:N38)</f>
        <v>0</v>
      </c>
      <c r="O39" s="209"/>
    </row>
    <row r="40" spans="1:15" ht="25.5" customHeight="1">
      <c r="A40" s="221">
        <v>9</v>
      </c>
      <c r="B40" s="1414" t="s">
        <v>1362</v>
      </c>
      <c r="C40" s="1415"/>
      <c r="D40" s="1415"/>
      <c r="E40" s="1344">
        <v>0</v>
      </c>
      <c r="F40" s="331"/>
      <c r="G40" s="317"/>
      <c r="H40" s="228"/>
      <c r="I40" s="232"/>
      <c r="J40" s="317"/>
      <c r="K40" s="331"/>
      <c r="L40" s="317"/>
      <c r="M40" s="317"/>
      <c r="N40" s="317"/>
      <c r="O40" s="207"/>
    </row>
    <row r="41" spans="1:15">
      <c r="A41" s="224"/>
      <c r="B41" s="225"/>
      <c r="C41" s="226"/>
      <c r="D41" s="227"/>
      <c r="E41" s="317"/>
      <c r="F41" s="317"/>
      <c r="G41" s="317"/>
      <c r="H41" s="228"/>
      <c r="I41" s="232"/>
      <c r="J41" s="317"/>
      <c r="K41" s="331"/>
      <c r="L41" s="317"/>
      <c r="M41" s="317"/>
      <c r="N41" s="317"/>
      <c r="O41" s="207"/>
    </row>
    <row r="42" spans="1:15">
      <c r="A42" s="221" t="s">
        <v>681</v>
      </c>
      <c r="B42" s="216">
        <v>454</v>
      </c>
      <c r="C42" s="217" t="s">
        <v>685</v>
      </c>
      <c r="D42" s="217" t="s">
        <v>686</v>
      </c>
      <c r="E42" s="1176">
        <v>548368.75</v>
      </c>
      <c r="F42" s="319" t="str">
        <f t="shared" ref="F42:F47" si="7">$G$2</f>
        <v>Traditional OOR</v>
      </c>
      <c r="G42" s="319">
        <f>IF(F42=$G$2,E42,0)</f>
        <v>548368.75</v>
      </c>
      <c r="H42" s="219">
        <v>0</v>
      </c>
      <c r="I42" s="219">
        <f t="shared" ref="I42:I52" si="8">G42-H42</f>
        <v>548368.75</v>
      </c>
      <c r="J42" s="319">
        <f t="shared" ref="J42:J69" si="9">IF(F42=$J$2,E42,0)</f>
        <v>0</v>
      </c>
      <c r="K42" s="319"/>
      <c r="L42" s="325"/>
      <c r="M42" s="219">
        <f t="shared" ref="M42:M47" si="10">J42-L42</f>
        <v>0</v>
      </c>
      <c r="N42" s="319">
        <f t="shared" ref="N42:N67" si="11">IF(F42=$N$2,E42,0)</f>
        <v>0</v>
      </c>
      <c r="O42" s="218">
        <v>4</v>
      </c>
    </row>
    <row r="43" spans="1:15">
      <c r="A43" s="221" t="s">
        <v>682</v>
      </c>
      <c r="B43" s="216">
        <v>454</v>
      </c>
      <c r="C43" s="222" t="s">
        <v>688</v>
      </c>
      <c r="D43" s="217" t="s">
        <v>689</v>
      </c>
      <c r="E43" s="1176">
        <v>3349083.61</v>
      </c>
      <c r="F43" s="319" t="str">
        <f t="shared" si="7"/>
        <v>Traditional OOR</v>
      </c>
      <c r="G43" s="319">
        <f t="shared" ref="G43:G67" si="12">IF(F43=$G$2,E43,0)</f>
        <v>3349083.61</v>
      </c>
      <c r="H43" s="219">
        <v>0</v>
      </c>
      <c r="I43" s="219">
        <f t="shared" si="8"/>
        <v>3349083.61</v>
      </c>
      <c r="J43" s="319">
        <f t="shared" si="9"/>
        <v>0</v>
      </c>
      <c r="K43" s="319"/>
      <c r="L43" s="325"/>
      <c r="M43" s="220">
        <f t="shared" si="10"/>
        <v>0</v>
      </c>
      <c r="N43" s="319">
        <f t="shared" si="11"/>
        <v>0</v>
      </c>
      <c r="O43" s="223">
        <v>4</v>
      </c>
    </row>
    <row r="44" spans="1:15">
      <c r="A44" s="221" t="s">
        <v>683</v>
      </c>
      <c r="B44" s="216">
        <v>454</v>
      </c>
      <c r="C44" s="222" t="s">
        <v>691</v>
      </c>
      <c r="D44" s="217" t="s">
        <v>692</v>
      </c>
      <c r="E44" s="1176">
        <v>426320</v>
      </c>
      <c r="F44" s="319" t="str">
        <f t="shared" si="7"/>
        <v>Traditional OOR</v>
      </c>
      <c r="G44" s="319">
        <f t="shared" si="12"/>
        <v>426320</v>
      </c>
      <c r="H44" s="219">
        <v>0</v>
      </c>
      <c r="I44" s="219">
        <f t="shared" si="8"/>
        <v>426320</v>
      </c>
      <c r="J44" s="319">
        <f t="shared" si="9"/>
        <v>0</v>
      </c>
      <c r="K44" s="319"/>
      <c r="L44" s="325"/>
      <c r="M44" s="220">
        <f t="shared" si="10"/>
        <v>0</v>
      </c>
      <c r="N44" s="319">
        <f t="shared" si="11"/>
        <v>0</v>
      </c>
      <c r="O44" s="223">
        <v>4</v>
      </c>
    </row>
    <row r="45" spans="1:15">
      <c r="A45" s="221" t="s">
        <v>684</v>
      </c>
      <c r="B45" s="216">
        <v>454</v>
      </c>
      <c r="C45" s="222" t="s">
        <v>694</v>
      </c>
      <c r="D45" s="217" t="s">
        <v>695</v>
      </c>
      <c r="E45" s="1176"/>
      <c r="F45" s="319" t="str">
        <f t="shared" si="7"/>
        <v>Traditional OOR</v>
      </c>
      <c r="G45" s="319">
        <f t="shared" si="12"/>
        <v>0</v>
      </c>
      <c r="H45" s="219">
        <v>0</v>
      </c>
      <c r="I45" s="219">
        <f t="shared" si="8"/>
        <v>0</v>
      </c>
      <c r="J45" s="319">
        <f t="shared" si="9"/>
        <v>0</v>
      </c>
      <c r="K45" s="319"/>
      <c r="L45" s="325"/>
      <c r="M45" s="220">
        <f t="shared" si="10"/>
        <v>0</v>
      </c>
      <c r="N45" s="319">
        <f t="shared" si="11"/>
        <v>0</v>
      </c>
      <c r="O45" s="223">
        <v>4</v>
      </c>
    </row>
    <row r="46" spans="1:15">
      <c r="A46" s="221" t="s">
        <v>687</v>
      </c>
      <c r="B46" s="216">
        <v>454</v>
      </c>
      <c r="C46" s="222" t="s">
        <v>697</v>
      </c>
      <c r="D46" s="217" t="s">
        <v>698</v>
      </c>
      <c r="E46" s="1176"/>
      <c r="F46" s="319" t="str">
        <f t="shared" si="7"/>
        <v>Traditional OOR</v>
      </c>
      <c r="G46" s="319">
        <f t="shared" si="12"/>
        <v>0</v>
      </c>
      <c r="H46" s="219">
        <v>0</v>
      </c>
      <c r="I46" s="219">
        <f t="shared" si="8"/>
        <v>0</v>
      </c>
      <c r="J46" s="319">
        <f t="shared" si="9"/>
        <v>0</v>
      </c>
      <c r="K46" s="319"/>
      <c r="L46" s="325"/>
      <c r="M46" s="220">
        <f t="shared" si="10"/>
        <v>0</v>
      </c>
      <c r="N46" s="319">
        <f t="shared" si="11"/>
        <v>0</v>
      </c>
      <c r="O46" s="223">
        <v>4</v>
      </c>
    </row>
    <row r="47" spans="1:15">
      <c r="A47" s="221" t="s">
        <v>690</v>
      </c>
      <c r="B47" s="216">
        <v>454</v>
      </c>
      <c r="C47" s="233">
        <v>4184120</v>
      </c>
      <c r="D47" s="217" t="s">
        <v>1547</v>
      </c>
      <c r="E47" s="1176">
        <v>718500</v>
      </c>
      <c r="F47" s="319" t="str">
        <f t="shared" si="7"/>
        <v>Traditional OOR</v>
      </c>
      <c r="G47" s="319">
        <f>IF(F47=$G$2,E47,0)</f>
        <v>718500</v>
      </c>
      <c r="H47" s="219">
        <v>0</v>
      </c>
      <c r="I47" s="219">
        <f>G47-H47</f>
        <v>718500</v>
      </c>
      <c r="J47" s="319">
        <f t="shared" si="9"/>
        <v>0</v>
      </c>
      <c r="K47" s="319"/>
      <c r="L47" s="325"/>
      <c r="M47" s="220">
        <f t="shared" si="10"/>
        <v>0</v>
      </c>
      <c r="N47" s="319">
        <f t="shared" si="11"/>
        <v>0</v>
      </c>
      <c r="O47" s="223">
        <v>4</v>
      </c>
    </row>
    <row r="48" spans="1:15">
      <c r="A48" s="221" t="s">
        <v>693</v>
      </c>
      <c r="B48" s="216">
        <v>454</v>
      </c>
      <c r="C48" s="222" t="s">
        <v>700</v>
      </c>
      <c r="D48" s="217" t="s">
        <v>701</v>
      </c>
      <c r="E48" s="1176">
        <v>146982.10999999999</v>
      </c>
      <c r="F48" s="319" t="str">
        <f>$J$2</f>
        <v>GRSM</v>
      </c>
      <c r="G48" s="319">
        <f t="shared" si="12"/>
        <v>0</v>
      </c>
      <c r="H48" s="219">
        <v>0</v>
      </c>
      <c r="I48" s="219">
        <f t="shared" si="8"/>
        <v>0</v>
      </c>
      <c r="J48" s="319">
        <f t="shared" si="9"/>
        <v>146982.10999999999</v>
      </c>
      <c r="K48" s="357" t="s">
        <v>668</v>
      </c>
      <c r="L48" s="326">
        <v>29678.495876543999</v>
      </c>
      <c r="M48" s="220">
        <f>J48-L48</f>
        <v>117303.61412345599</v>
      </c>
      <c r="N48" s="319">
        <f t="shared" si="11"/>
        <v>0</v>
      </c>
      <c r="O48" s="223">
        <v>2</v>
      </c>
    </row>
    <row r="49" spans="1:15">
      <c r="A49" s="221" t="s">
        <v>696</v>
      </c>
      <c r="B49" s="216">
        <v>454</v>
      </c>
      <c r="C49" s="222" t="s">
        <v>703</v>
      </c>
      <c r="D49" s="217" t="s">
        <v>704</v>
      </c>
      <c r="E49" s="1176">
        <v>9240</v>
      </c>
      <c r="F49" s="319" t="str">
        <f>$J$2</f>
        <v>GRSM</v>
      </c>
      <c r="G49" s="319">
        <f t="shared" si="12"/>
        <v>0</v>
      </c>
      <c r="H49" s="219">
        <v>0</v>
      </c>
      <c r="I49" s="219">
        <f t="shared" si="8"/>
        <v>0</v>
      </c>
      <c r="J49" s="319">
        <f t="shared" si="9"/>
        <v>9240</v>
      </c>
      <c r="K49" s="357" t="s">
        <v>668</v>
      </c>
      <c r="L49" s="326">
        <v>1003.7752927775</v>
      </c>
      <c r="M49" s="220">
        <f t="shared" ref="M49:M69" si="13">J49-L49</f>
        <v>8236.2247072225</v>
      </c>
      <c r="N49" s="319">
        <f t="shared" si="11"/>
        <v>0</v>
      </c>
      <c r="O49" s="223">
        <v>2</v>
      </c>
    </row>
    <row r="50" spans="1:15">
      <c r="A50" s="221" t="s">
        <v>699</v>
      </c>
      <c r="B50" s="216">
        <v>454</v>
      </c>
      <c r="C50" s="222" t="s">
        <v>706</v>
      </c>
      <c r="D50" s="217" t="s">
        <v>707</v>
      </c>
      <c r="E50" s="1176">
        <v>18880</v>
      </c>
      <c r="F50" s="319" t="str">
        <f>$J$2</f>
        <v>GRSM</v>
      </c>
      <c r="G50" s="319">
        <f t="shared" si="12"/>
        <v>0</v>
      </c>
      <c r="H50" s="219">
        <v>0</v>
      </c>
      <c r="I50" s="219">
        <f t="shared" si="8"/>
        <v>0</v>
      </c>
      <c r="J50" s="319">
        <f t="shared" si="9"/>
        <v>18880</v>
      </c>
      <c r="K50" s="357" t="s">
        <v>668</v>
      </c>
      <c r="L50" s="326">
        <v>17840</v>
      </c>
      <c r="M50" s="220">
        <f t="shared" si="13"/>
        <v>1040</v>
      </c>
      <c r="N50" s="319">
        <f t="shared" si="11"/>
        <v>0</v>
      </c>
      <c r="O50" s="223">
        <v>2</v>
      </c>
    </row>
    <row r="51" spans="1:15">
      <c r="A51" s="221" t="s">
        <v>702</v>
      </c>
      <c r="B51" s="216">
        <v>454</v>
      </c>
      <c r="C51" s="233" t="s">
        <v>709</v>
      </c>
      <c r="D51" s="217" t="s">
        <v>710</v>
      </c>
      <c r="E51" s="1176">
        <v>13134.36</v>
      </c>
      <c r="F51" s="319" t="str">
        <f>$J$2</f>
        <v>GRSM</v>
      </c>
      <c r="G51" s="319">
        <f t="shared" si="12"/>
        <v>0</v>
      </c>
      <c r="H51" s="219">
        <v>0</v>
      </c>
      <c r="I51" s="219">
        <f t="shared" si="8"/>
        <v>0</v>
      </c>
      <c r="J51" s="319">
        <f t="shared" si="9"/>
        <v>13134.36</v>
      </c>
      <c r="K51" s="357" t="s">
        <v>668</v>
      </c>
      <c r="L51" s="326">
        <v>2112.3112490588001</v>
      </c>
      <c r="M51" s="220">
        <f t="shared" si="13"/>
        <v>11022.048750941201</v>
      </c>
      <c r="N51" s="319">
        <f t="shared" si="11"/>
        <v>0</v>
      </c>
      <c r="O51" s="218">
        <v>2</v>
      </c>
    </row>
    <row r="52" spans="1:15">
      <c r="A52" s="221" t="s">
        <v>705</v>
      </c>
      <c r="B52" s="216">
        <v>454</v>
      </c>
      <c r="C52" s="217" t="s">
        <v>712</v>
      </c>
      <c r="D52" s="217" t="s">
        <v>1358</v>
      </c>
      <c r="E52" s="1176">
        <v>-787608.96</v>
      </c>
      <c r="F52" s="319" t="str">
        <f>$G$2</f>
        <v>Traditional OOR</v>
      </c>
      <c r="G52" s="319">
        <f t="shared" si="12"/>
        <v>-787608.96</v>
      </c>
      <c r="H52" s="219">
        <v>0</v>
      </c>
      <c r="I52" s="219">
        <f t="shared" si="8"/>
        <v>-787608.96</v>
      </c>
      <c r="J52" s="319">
        <f t="shared" si="9"/>
        <v>0</v>
      </c>
      <c r="K52" s="319"/>
      <c r="L52" s="325"/>
      <c r="M52" s="220">
        <f t="shared" si="13"/>
        <v>0</v>
      </c>
      <c r="N52" s="319">
        <f t="shared" si="11"/>
        <v>0</v>
      </c>
      <c r="O52" s="218">
        <v>4</v>
      </c>
    </row>
    <row r="53" spans="1:15">
      <c r="A53" s="221" t="s">
        <v>708</v>
      </c>
      <c r="B53" s="216">
        <v>454</v>
      </c>
      <c r="C53" s="217" t="s">
        <v>714</v>
      </c>
      <c r="D53" s="217" t="s">
        <v>715</v>
      </c>
      <c r="E53" s="1176">
        <v>60454.31</v>
      </c>
      <c r="F53" s="319" t="str">
        <f>$N$2</f>
        <v>Other Ratemaking</v>
      </c>
      <c r="G53" s="319">
        <f>I53+H53</f>
        <v>3578.2906088999998</v>
      </c>
      <c r="H53" s="219">
        <f>E53*$D$254</f>
        <v>3578.2906088999998</v>
      </c>
      <c r="I53" s="219">
        <v>0</v>
      </c>
      <c r="J53" s="319">
        <f t="shared" si="9"/>
        <v>0</v>
      </c>
      <c r="K53" s="319"/>
      <c r="L53" s="325"/>
      <c r="M53" s="220">
        <f t="shared" si="13"/>
        <v>0</v>
      </c>
      <c r="N53" s="319">
        <f>IF(F53=$N$2,E53-H53,0)</f>
        <v>56876.019391099995</v>
      </c>
      <c r="O53" s="223" t="s">
        <v>716</v>
      </c>
    </row>
    <row r="54" spans="1:15">
      <c r="A54" s="221" t="s">
        <v>711</v>
      </c>
      <c r="B54" s="216">
        <v>454</v>
      </c>
      <c r="C54" s="217" t="s">
        <v>718</v>
      </c>
      <c r="D54" s="217" t="s">
        <v>719</v>
      </c>
      <c r="E54" s="1176"/>
      <c r="F54" s="319" t="str">
        <f>$G$2</f>
        <v>Traditional OOR</v>
      </c>
      <c r="G54" s="319">
        <f t="shared" si="12"/>
        <v>0</v>
      </c>
      <c r="H54" s="219">
        <f>E54*$D$254</f>
        <v>0</v>
      </c>
      <c r="I54" s="219">
        <f>G54-H54</f>
        <v>0</v>
      </c>
      <c r="J54" s="319">
        <f t="shared" si="9"/>
        <v>0</v>
      </c>
      <c r="K54" s="319"/>
      <c r="L54" s="325"/>
      <c r="M54" s="220">
        <f t="shared" si="13"/>
        <v>0</v>
      </c>
      <c r="N54" s="319">
        <f t="shared" si="11"/>
        <v>0</v>
      </c>
      <c r="O54" s="223">
        <v>7</v>
      </c>
    </row>
    <row r="55" spans="1:15">
      <c r="A55" s="221" t="s">
        <v>713</v>
      </c>
      <c r="B55" s="216">
        <v>454</v>
      </c>
      <c r="C55" s="217" t="s">
        <v>721</v>
      </c>
      <c r="D55" s="1072" t="s">
        <v>2871</v>
      </c>
      <c r="E55" s="1176">
        <v>1344451.36</v>
      </c>
      <c r="F55" s="319" t="str">
        <f>$N$2</f>
        <v>Other Ratemaking</v>
      </c>
      <c r="G55" s="319">
        <f>I55+H55</f>
        <v>79578.075998400003</v>
      </c>
      <c r="H55" s="219">
        <f>E55*$D$254</f>
        <v>79578.075998400003</v>
      </c>
      <c r="I55" s="219">
        <v>0</v>
      </c>
      <c r="J55" s="319">
        <f>IF(F55=$J$2,#REF!,0)</f>
        <v>0</v>
      </c>
      <c r="K55" s="319"/>
      <c r="L55" s="325"/>
      <c r="M55" s="219">
        <f t="shared" si="13"/>
        <v>0</v>
      </c>
      <c r="N55" s="319">
        <f>IF(F55=$N$2,E55-H55,0)</f>
        <v>1264873.2840016</v>
      </c>
      <c r="O55" s="218" t="s">
        <v>716</v>
      </c>
    </row>
    <row r="56" spans="1:15">
      <c r="A56" s="221" t="s">
        <v>717</v>
      </c>
      <c r="B56" s="216">
        <v>454</v>
      </c>
      <c r="C56" s="217" t="s">
        <v>723</v>
      </c>
      <c r="D56" s="217" t="s">
        <v>724</v>
      </c>
      <c r="E56" s="654"/>
      <c r="F56" s="319" t="str">
        <f t="shared" ref="F56:F61" si="14">$G$2</f>
        <v>Traditional OOR</v>
      </c>
      <c r="G56" s="319">
        <f>IF(F56=$G$2,E56,0)</f>
        <v>0</v>
      </c>
      <c r="H56" s="219">
        <f>E56*$D$248</f>
        <v>0</v>
      </c>
      <c r="I56" s="219">
        <f t="shared" ref="I56:I67" si="15">G56-H56</f>
        <v>0</v>
      </c>
      <c r="J56" s="319">
        <f>IF(F56=$J$2,E55,0)</f>
        <v>0</v>
      </c>
      <c r="K56" s="319"/>
      <c r="L56" s="325"/>
      <c r="M56" s="220">
        <f t="shared" si="13"/>
        <v>0</v>
      </c>
      <c r="N56" s="319">
        <f>IF(F56=$N$2,E55,0)</f>
        <v>0</v>
      </c>
      <c r="O56" s="223">
        <v>7</v>
      </c>
    </row>
    <row r="57" spans="1:15">
      <c r="A57" s="221" t="s">
        <v>720</v>
      </c>
      <c r="B57" s="216">
        <v>454</v>
      </c>
      <c r="C57" s="217" t="s">
        <v>726</v>
      </c>
      <c r="D57" s="217" t="s">
        <v>727</v>
      </c>
      <c r="E57" s="1176"/>
      <c r="F57" s="319" t="str">
        <f t="shared" si="14"/>
        <v>Traditional OOR</v>
      </c>
      <c r="G57" s="319">
        <f t="shared" si="12"/>
        <v>0</v>
      </c>
      <c r="H57" s="219">
        <v>0</v>
      </c>
      <c r="I57" s="219">
        <f t="shared" si="15"/>
        <v>0</v>
      </c>
      <c r="J57" s="319">
        <f t="shared" si="9"/>
        <v>0</v>
      </c>
      <c r="K57" s="319"/>
      <c r="L57" s="325"/>
      <c r="M57" s="220">
        <f t="shared" si="13"/>
        <v>0</v>
      </c>
      <c r="N57" s="319">
        <f t="shared" si="11"/>
        <v>0</v>
      </c>
      <c r="O57" s="223">
        <v>1</v>
      </c>
    </row>
    <row r="58" spans="1:15">
      <c r="A58" s="221" t="s">
        <v>722</v>
      </c>
      <c r="B58" s="216">
        <v>454</v>
      </c>
      <c r="C58" s="217" t="s">
        <v>729</v>
      </c>
      <c r="D58" s="217" t="s">
        <v>730</v>
      </c>
      <c r="E58" s="1176">
        <v>10649093.380000001</v>
      </c>
      <c r="F58" s="319" t="str">
        <f t="shared" si="14"/>
        <v>Traditional OOR</v>
      </c>
      <c r="G58" s="319">
        <f t="shared" si="12"/>
        <v>10649093.380000001</v>
      </c>
      <c r="H58" s="219">
        <v>0</v>
      </c>
      <c r="I58" s="219">
        <f t="shared" si="15"/>
        <v>10649093.380000001</v>
      </c>
      <c r="J58" s="319">
        <f t="shared" si="9"/>
        <v>0</v>
      </c>
      <c r="K58" s="319"/>
      <c r="L58" s="325"/>
      <c r="M58" s="220">
        <f t="shared" si="13"/>
        <v>0</v>
      </c>
      <c r="N58" s="319">
        <f t="shared" si="11"/>
        <v>0</v>
      </c>
      <c r="O58" s="223">
        <v>4</v>
      </c>
    </row>
    <row r="59" spans="1:15">
      <c r="A59" s="221" t="s">
        <v>725</v>
      </c>
      <c r="B59" s="216">
        <v>454</v>
      </c>
      <c r="C59" s="217" t="s">
        <v>732</v>
      </c>
      <c r="D59" s="217" t="s">
        <v>733</v>
      </c>
      <c r="E59" s="1176">
        <v>747195.91</v>
      </c>
      <c r="F59" s="319" t="str">
        <f t="shared" si="14"/>
        <v>Traditional OOR</v>
      </c>
      <c r="G59" s="319">
        <f t="shared" si="12"/>
        <v>747195.91</v>
      </c>
      <c r="H59" s="219">
        <v>0</v>
      </c>
      <c r="I59" s="219">
        <f>G59-H59</f>
        <v>747195.91</v>
      </c>
      <c r="J59" s="319">
        <f t="shared" si="9"/>
        <v>0</v>
      </c>
      <c r="K59" s="319"/>
      <c r="L59" s="325"/>
      <c r="M59" s="220">
        <f t="shared" si="13"/>
        <v>0</v>
      </c>
      <c r="N59" s="319">
        <f t="shared" si="11"/>
        <v>0</v>
      </c>
      <c r="O59" s="223">
        <v>4</v>
      </c>
    </row>
    <row r="60" spans="1:15">
      <c r="A60" s="221" t="s">
        <v>728</v>
      </c>
      <c r="B60" s="216">
        <v>454</v>
      </c>
      <c r="C60" s="217" t="s">
        <v>735</v>
      </c>
      <c r="D60" s="217" t="s">
        <v>736</v>
      </c>
      <c r="E60" s="1176">
        <v>22731824.84</v>
      </c>
      <c r="F60" s="319" t="str">
        <f t="shared" si="14"/>
        <v>Traditional OOR</v>
      </c>
      <c r="G60" s="319">
        <f t="shared" si="12"/>
        <v>22731824.84</v>
      </c>
      <c r="H60" s="219">
        <v>0</v>
      </c>
      <c r="I60" s="219">
        <f t="shared" si="15"/>
        <v>22731824.84</v>
      </c>
      <c r="J60" s="319">
        <f t="shared" si="9"/>
        <v>0</v>
      </c>
      <c r="K60" s="319"/>
      <c r="L60" s="325"/>
      <c r="M60" s="220">
        <f t="shared" si="13"/>
        <v>0</v>
      </c>
      <c r="N60" s="319">
        <f t="shared" si="11"/>
        <v>0</v>
      </c>
      <c r="O60" s="223">
        <v>4</v>
      </c>
    </row>
    <row r="61" spans="1:15">
      <c r="A61" s="221" t="s">
        <v>731</v>
      </c>
      <c r="B61" s="216">
        <v>454</v>
      </c>
      <c r="C61" s="217" t="s">
        <v>738</v>
      </c>
      <c r="D61" s="217" t="s">
        <v>739</v>
      </c>
      <c r="E61" s="1176">
        <v>13246533.060000001</v>
      </c>
      <c r="F61" s="319" t="str">
        <f t="shared" si="14"/>
        <v>Traditional OOR</v>
      </c>
      <c r="G61" s="319">
        <f t="shared" si="12"/>
        <v>13246533.060000001</v>
      </c>
      <c r="H61" s="815">
        <v>3119188.1941049998</v>
      </c>
      <c r="I61" s="219">
        <f>G61-H61</f>
        <v>10127344.865895001</v>
      </c>
      <c r="J61" s="319">
        <f t="shared" si="9"/>
        <v>0</v>
      </c>
      <c r="K61" s="319"/>
      <c r="L61" s="325"/>
      <c r="M61" s="220">
        <f t="shared" si="13"/>
        <v>0</v>
      </c>
      <c r="N61" s="319">
        <f t="shared" si="11"/>
        <v>0</v>
      </c>
      <c r="O61" s="223">
        <v>8</v>
      </c>
    </row>
    <row r="62" spans="1:15">
      <c r="A62" s="221" t="s">
        <v>734</v>
      </c>
      <c r="B62" s="216">
        <v>454</v>
      </c>
      <c r="C62" s="217" t="s">
        <v>741</v>
      </c>
      <c r="D62" s="217" t="s">
        <v>742</v>
      </c>
      <c r="E62" s="1176">
        <v>21987089.23</v>
      </c>
      <c r="F62" s="319" t="str">
        <f>$J$2</f>
        <v>GRSM</v>
      </c>
      <c r="G62" s="319">
        <f t="shared" si="12"/>
        <v>0</v>
      </c>
      <c r="H62" s="219">
        <v>0</v>
      </c>
      <c r="I62" s="219">
        <f t="shared" si="15"/>
        <v>0</v>
      </c>
      <c r="J62" s="319">
        <f t="shared" si="9"/>
        <v>21987089.23</v>
      </c>
      <c r="K62" s="357" t="s">
        <v>668</v>
      </c>
      <c r="L62" s="326">
        <v>4456796.6464858698</v>
      </c>
      <c r="M62" s="220">
        <f t="shared" si="13"/>
        <v>17530292.583514132</v>
      </c>
      <c r="N62" s="319">
        <f t="shared" si="11"/>
        <v>0</v>
      </c>
      <c r="O62" s="218">
        <v>2</v>
      </c>
    </row>
    <row r="63" spans="1:15">
      <c r="A63" s="221" t="s">
        <v>737</v>
      </c>
      <c r="B63" s="216">
        <v>454</v>
      </c>
      <c r="C63" s="217" t="s">
        <v>743</v>
      </c>
      <c r="D63" s="217" t="s">
        <v>744</v>
      </c>
      <c r="E63" s="1176"/>
      <c r="F63" s="319" t="str">
        <f>$G$2</f>
        <v>Traditional OOR</v>
      </c>
      <c r="G63" s="319">
        <f t="shared" si="12"/>
        <v>0</v>
      </c>
      <c r="H63" s="219">
        <v>0</v>
      </c>
      <c r="I63" s="219">
        <f t="shared" si="15"/>
        <v>0</v>
      </c>
      <c r="J63" s="319">
        <f t="shared" si="9"/>
        <v>0</v>
      </c>
      <c r="K63" s="319"/>
      <c r="L63" s="325"/>
      <c r="M63" s="220">
        <f t="shared" si="13"/>
        <v>0</v>
      </c>
      <c r="N63" s="319">
        <f t="shared" si="11"/>
        <v>0</v>
      </c>
      <c r="O63" s="218">
        <v>4</v>
      </c>
    </row>
    <row r="64" spans="1:15">
      <c r="A64" s="221" t="s">
        <v>740</v>
      </c>
      <c r="B64" s="216">
        <v>454</v>
      </c>
      <c r="C64" s="215" t="s">
        <v>1550</v>
      </c>
      <c r="D64" s="217" t="s">
        <v>1549</v>
      </c>
      <c r="E64" s="1176">
        <f>79426770-79462641.1</f>
        <v>-35871.09999999404</v>
      </c>
      <c r="F64" s="319" t="str">
        <f>$G$2</f>
        <v>Traditional OOR</v>
      </c>
      <c r="G64" s="319">
        <f t="shared" si="12"/>
        <v>-35871.09999999404</v>
      </c>
      <c r="H64" s="219">
        <v>0</v>
      </c>
      <c r="I64" s="219">
        <f t="shared" si="15"/>
        <v>-35871.09999999404</v>
      </c>
      <c r="J64" s="319">
        <f t="shared" si="9"/>
        <v>0</v>
      </c>
      <c r="K64" s="319"/>
      <c r="L64" s="325"/>
      <c r="M64" s="220">
        <f t="shared" si="13"/>
        <v>0</v>
      </c>
      <c r="N64" s="319">
        <f t="shared" si="11"/>
        <v>0</v>
      </c>
      <c r="O64" s="218">
        <v>1</v>
      </c>
    </row>
    <row r="65" spans="1:15" ht="12" customHeight="1">
      <c r="A65" s="215" t="s">
        <v>2535</v>
      </c>
      <c r="B65" s="216">
        <v>454</v>
      </c>
      <c r="C65" s="216">
        <v>4206515</v>
      </c>
      <c r="D65" s="234" t="s">
        <v>2536</v>
      </c>
      <c r="E65" s="1176">
        <v>1353393.45</v>
      </c>
      <c r="F65" s="319" t="s">
        <v>625</v>
      </c>
      <c r="G65" s="319">
        <f>IF(F65=$G$2,E65,0)</f>
        <v>0</v>
      </c>
      <c r="H65" s="219">
        <v>0</v>
      </c>
      <c r="I65" s="1070">
        <f t="shared" si="15"/>
        <v>0</v>
      </c>
      <c r="J65" s="1071">
        <f t="shared" si="9"/>
        <v>1353393.45</v>
      </c>
      <c r="K65" s="1071" t="s">
        <v>668</v>
      </c>
      <c r="L65" s="325">
        <v>272457.58135189</v>
      </c>
      <c r="M65" s="219">
        <f t="shared" si="13"/>
        <v>1080935.86864811</v>
      </c>
      <c r="N65" s="319">
        <f t="shared" si="11"/>
        <v>0</v>
      </c>
      <c r="O65" s="218">
        <v>2</v>
      </c>
    </row>
    <row r="66" spans="1:15">
      <c r="A66" s="215" t="s">
        <v>2537</v>
      </c>
      <c r="B66" s="216">
        <v>454</v>
      </c>
      <c r="C66" s="216">
        <v>4184122</v>
      </c>
      <c r="D66" s="234" t="s">
        <v>2538</v>
      </c>
      <c r="E66" s="1176"/>
      <c r="F66" s="319" t="s">
        <v>624</v>
      </c>
      <c r="G66" s="319">
        <f t="shared" si="12"/>
        <v>0</v>
      </c>
      <c r="H66" s="219">
        <v>0</v>
      </c>
      <c r="I66" s="1070">
        <f t="shared" si="15"/>
        <v>0</v>
      </c>
      <c r="J66" s="1071">
        <f t="shared" si="9"/>
        <v>0</v>
      </c>
      <c r="K66" s="319"/>
      <c r="L66" s="325"/>
      <c r="M66" s="219">
        <f t="shared" si="13"/>
        <v>0</v>
      </c>
      <c r="N66" s="319">
        <f t="shared" si="11"/>
        <v>0</v>
      </c>
      <c r="O66" s="218">
        <v>4</v>
      </c>
    </row>
    <row r="67" spans="1:15">
      <c r="A67" s="215" t="s">
        <v>2539</v>
      </c>
      <c r="B67" s="216">
        <v>454</v>
      </c>
      <c r="C67" s="216">
        <v>4184124</v>
      </c>
      <c r="D67" s="234" t="s">
        <v>2540</v>
      </c>
      <c r="E67" s="1176">
        <v>5840</v>
      </c>
      <c r="F67" s="319" t="s">
        <v>624</v>
      </c>
      <c r="G67" s="319">
        <f t="shared" si="12"/>
        <v>5840</v>
      </c>
      <c r="H67" s="219">
        <v>0</v>
      </c>
      <c r="I67" s="1070">
        <f t="shared" si="15"/>
        <v>5840</v>
      </c>
      <c r="J67" s="1071">
        <f t="shared" si="9"/>
        <v>0</v>
      </c>
      <c r="K67" s="319"/>
      <c r="L67" s="325"/>
      <c r="M67" s="219">
        <f t="shared" si="13"/>
        <v>0</v>
      </c>
      <c r="N67" s="319">
        <f t="shared" si="11"/>
        <v>0</v>
      </c>
      <c r="O67" s="218">
        <v>4</v>
      </c>
    </row>
    <row r="68" spans="1:15" s="14" customFormat="1">
      <c r="A68" s="1073" t="s">
        <v>2873</v>
      </c>
      <c r="B68" s="216">
        <v>454</v>
      </c>
      <c r="C68" s="216">
        <v>4184821</v>
      </c>
      <c r="D68" s="234" t="s">
        <v>2875</v>
      </c>
      <c r="E68" s="1180">
        <v>84599.8</v>
      </c>
      <c r="F68" s="622" t="s">
        <v>626</v>
      </c>
      <c r="G68" s="319">
        <f>H68+I68</f>
        <v>5007.4621619999998</v>
      </c>
      <c r="H68" s="219">
        <f>E68*$D$254</f>
        <v>5007.4621619999998</v>
      </c>
      <c r="I68" s="1070">
        <v>0</v>
      </c>
      <c r="J68" s="1071">
        <f t="shared" si="9"/>
        <v>0</v>
      </c>
      <c r="K68" s="319"/>
      <c r="L68" s="325"/>
      <c r="M68" s="219">
        <f t="shared" si="13"/>
        <v>0</v>
      </c>
      <c r="N68" s="319">
        <f>IF(F68=$N$2,E68-H68,0)</f>
        <v>79592.337838000007</v>
      </c>
      <c r="O68" s="620" t="s">
        <v>716</v>
      </c>
    </row>
    <row r="69" spans="1:15" s="14" customFormat="1">
      <c r="A69" s="1073" t="s">
        <v>2874</v>
      </c>
      <c r="B69" s="216">
        <v>454</v>
      </c>
      <c r="C69" s="216">
        <v>4184811</v>
      </c>
      <c r="D69" s="234" t="s">
        <v>2876</v>
      </c>
      <c r="E69" s="1180">
        <v>960790.89</v>
      </c>
      <c r="F69" s="622" t="s">
        <v>626</v>
      </c>
      <c r="G69" s="319">
        <f>H69+I69</f>
        <v>56869.212779100002</v>
      </c>
      <c r="H69" s="219">
        <f>E69*$D$254</f>
        <v>56869.212779100002</v>
      </c>
      <c r="I69" s="1070">
        <v>0</v>
      </c>
      <c r="J69" s="1071">
        <f t="shared" si="9"/>
        <v>0</v>
      </c>
      <c r="K69" s="319"/>
      <c r="L69" s="325"/>
      <c r="M69" s="219">
        <f t="shared" si="13"/>
        <v>0</v>
      </c>
      <c r="N69" s="319">
        <f>IF(F69=$N$2,E69-H69,0)</f>
        <v>903921.67722089996</v>
      </c>
      <c r="O69" s="620" t="s">
        <v>716</v>
      </c>
    </row>
    <row r="70" spans="1:15" s="1158" customFormat="1">
      <c r="A70" s="1305" t="s">
        <v>3037</v>
      </c>
      <c r="B70" s="1375">
        <v>454</v>
      </c>
      <c r="C70" s="1375">
        <v>4184515</v>
      </c>
      <c r="D70" s="1307" t="s">
        <v>3036</v>
      </c>
      <c r="E70" s="1180">
        <v>1848475</v>
      </c>
      <c r="F70" s="1180" t="s">
        <v>626</v>
      </c>
      <c r="G70" s="1180">
        <f>IF(F70=$G$2,E70,0)</f>
        <v>0</v>
      </c>
      <c r="H70" s="815">
        <v>0</v>
      </c>
      <c r="I70" s="815">
        <f>G70-H70</f>
        <v>0</v>
      </c>
      <c r="J70" s="1180">
        <f>IF(F70=$J$2,E70,0)</f>
        <v>0</v>
      </c>
      <c r="K70" s="1180"/>
      <c r="L70" s="815"/>
      <c r="M70" s="815">
        <f>J70-L70</f>
        <v>0</v>
      </c>
      <c r="N70" s="1180">
        <f>IF(F70=$N$2,E70-H70,0)</f>
        <v>1848475</v>
      </c>
      <c r="O70" s="1376">
        <v>6</v>
      </c>
    </row>
    <row r="71" spans="1:15" s="14" customFormat="1">
      <c r="A71" s="1305"/>
      <c r="B71" s="348"/>
      <c r="C71" s="348"/>
      <c r="D71" s="349"/>
      <c r="E71" s="1180"/>
      <c r="F71" s="1308"/>
      <c r="G71" s="323"/>
      <c r="H71" s="325"/>
      <c r="I71" s="815"/>
      <c r="J71" s="1180"/>
      <c r="K71" s="323"/>
      <c r="L71" s="325"/>
      <c r="M71" s="325"/>
      <c r="N71" s="323"/>
      <c r="O71" s="324"/>
    </row>
    <row r="72" spans="1:15" s="14" customFormat="1">
      <c r="A72" s="352"/>
      <c r="B72" s="348"/>
      <c r="C72" s="347"/>
      <c r="D72" s="349"/>
      <c r="E72" s="323"/>
      <c r="F72" s="323"/>
      <c r="G72" s="327"/>
      <c r="H72" s="325"/>
      <c r="I72" s="325"/>
      <c r="J72" s="323"/>
      <c r="K72" s="323"/>
      <c r="L72" s="325"/>
      <c r="M72" s="325"/>
      <c r="N72" s="323"/>
      <c r="O72" s="324"/>
    </row>
    <row r="73" spans="1:15">
      <c r="A73" s="215">
        <v>11</v>
      </c>
      <c r="B73" s="1419" t="s">
        <v>745</v>
      </c>
      <c r="C73" s="1420"/>
      <c r="D73" s="1421"/>
      <c r="E73" s="332">
        <f>SUM(E42:E72)</f>
        <v>79426770.000000015</v>
      </c>
      <c r="F73" s="341"/>
      <c r="G73" s="332">
        <f>SUM(G42:G72)</f>
        <v>51744312.531548411</v>
      </c>
      <c r="H73" s="332">
        <f>SUM(H42:H72)</f>
        <v>3264221.2356534</v>
      </c>
      <c r="I73" s="332">
        <f>SUM(I42:I72)</f>
        <v>48480091.29589501</v>
      </c>
      <c r="J73" s="332">
        <f>SUM(J42:J72)</f>
        <v>23528719.149999999</v>
      </c>
      <c r="K73" s="341"/>
      <c r="L73" s="332">
        <f>SUM(L42:L72)</f>
        <v>4779888.8102561403</v>
      </c>
      <c r="M73" s="332">
        <f>SUM(M42:M72)</f>
        <v>18748830.33974386</v>
      </c>
      <c r="N73" s="332">
        <f>SUM(N42:N72)</f>
        <v>4153738.3184515997</v>
      </c>
      <c r="O73" s="209"/>
    </row>
    <row r="74" spans="1:15" ht="24.75" customHeight="1">
      <c r="A74" s="221">
        <v>12</v>
      </c>
      <c r="B74" s="1411" t="s">
        <v>1363</v>
      </c>
      <c r="C74" s="1412"/>
      <c r="D74" s="1413"/>
      <c r="E74" s="1343">
        <v>79426770</v>
      </c>
      <c r="F74" s="331"/>
      <c r="G74" s="346"/>
      <c r="H74" s="331"/>
      <c r="I74" s="331"/>
      <c r="J74" s="317"/>
      <c r="K74" s="331"/>
      <c r="L74" s="317"/>
      <c r="M74" s="317"/>
      <c r="N74" s="317"/>
      <c r="O74" s="207"/>
    </row>
    <row r="75" spans="1:15">
      <c r="A75" s="224"/>
      <c r="B75" s="225"/>
      <c r="C75" s="226"/>
      <c r="D75" s="227"/>
      <c r="E75" s="317"/>
      <c r="F75" s="317"/>
      <c r="G75" s="317"/>
      <c r="H75" s="331"/>
      <c r="I75" s="331"/>
      <c r="J75" s="317"/>
      <c r="K75" s="331"/>
      <c r="L75" s="317"/>
      <c r="M75" s="317"/>
      <c r="N75" s="317"/>
      <c r="O75" s="207"/>
    </row>
    <row r="76" spans="1:15">
      <c r="A76" s="221" t="s">
        <v>746</v>
      </c>
      <c r="B76" s="216">
        <v>456</v>
      </c>
      <c r="C76" s="217" t="s">
        <v>750</v>
      </c>
      <c r="D76" s="217" t="s">
        <v>751</v>
      </c>
      <c r="E76" s="1180">
        <v>3857355.73</v>
      </c>
      <c r="F76" s="319" t="str">
        <f t="shared" ref="F76:F84" si="16">$G$2</f>
        <v>Traditional OOR</v>
      </c>
      <c r="G76" s="319">
        <f t="shared" ref="G76:G136" si="17">IF(F76=$G$2,E76,0)</f>
        <v>3857355.73</v>
      </c>
      <c r="H76" s="219">
        <v>0</v>
      </c>
      <c r="I76" s="219">
        <f t="shared" ref="I76:I136" si="18">G76-H76</f>
        <v>3857355.73</v>
      </c>
      <c r="J76" s="319">
        <f t="shared" ref="J76:J138" si="19">IF(F76=$J$2,E76,0)</f>
        <v>0</v>
      </c>
      <c r="K76" s="319"/>
      <c r="L76" s="325"/>
      <c r="M76" s="220">
        <f>J76-L76</f>
        <v>0</v>
      </c>
      <c r="N76" s="319">
        <f t="shared" ref="N76:N137" si="20">IF(F76=$N$2,E76,0)</f>
        <v>0</v>
      </c>
      <c r="O76" s="223">
        <v>1</v>
      </c>
    </row>
    <row r="77" spans="1:15">
      <c r="A77" s="221" t="s">
        <v>747</v>
      </c>
      <c r="B77" s="216">
        <v>456</v>
      </c>
      <c r="C77" s="217" t="s">
        <v>752</v>
      </c>
      <c r="D77" s="217" t="s">
        <v>753</v>
      </c>
      <c r="E77" s="1180">
        <v>576.14</v>
      </c>
      <c r="F77" s="319" t="str">
        <f t="shared" si="16"/>
        <v>Traditional OOR</v>
      </c>
      <c r="G77" s="319">
        <f t="shared" si="17"/>
        <v>576.14</v>
      </c>
      <c r="H77" s="219">
        <v>0</v>
      </c>
      <c r="I77" s="219">
        <f t="shared" si="18"/>
        <v>576.14</v>
      </c>
      <c r="J77" s="319">
        <f t="shared" si="19"/>
        <v>0</v>
      </c>
      <c r="K77" s="319"/>
      <c r="L77" s="325"/>
      <c r="M77" s="220">
        <f t="shared" ref="M77:M127" si="21">J77-L77</f>
        <v>0</v>
      </c>
      <c r="N77" s="319">
        <f t="shared" si="20"/>
        <v>0</v>
      </c>
      <c r="O77" s="223">
        <v>4</v>
      </c>
    </row>
    <row r="78" spans="1:15">
      <c r="A78" s="221" t="s">
        <v>748</v>
      </c>
      <c r="B78" s="216">
        <v>456</v>
      </c>
      <c r="C78" s="217" t="s">
        <v>754</v>
      </c>
      <c r="D78" s="217" t="s">
        <v>755</v>
      </c>
      <c r="E78" s="1180">
        <v>133079.85</v>
      </c>
      <c r="F78" s="319" t="str">
        <f t="shared" si="16"/>
        <v>Traditional OOR</v>
      </c>
      <c r="G78" s="319">
        <f t="shared" si="17"/>
        <v>133079.85</v>
      </c>
      <c r="H78" s="219">
        <v>0</v>
      </c>
      <c r="I78" s="219">
        <f t="shared" si="18"/>
        <v>133079.85</v>
      </c>
      <c r="J78" s="319">
        <f t="shared" si="19"/>
        <v>0</v>
      </c>
      <c r="K78" s="319"/>
      <c r="L78" s="325"/>
      <c r="M78" s="220">
        <f t="shared" si="21"/>
        <v>0</v>
      </c>
      <c r="N78" s="319">
        <f t="shared" si="20"/>
        <v>0</v>
      </c>
      <c r="O78" s="223">
        <v>4</v>
      </c>
    </row>
    <row r="79" spans="1:15">
      <c r="A79" s="221" t="s">
        <v>749</v>
      </c>
      <c r="B79" s="216">
        <v>456</v>
      </c>
      <c r="C79" s="1072" t="s">
        <v>757</v>
      </c>
      <c r="D79" s="217" t="s">
        <v>758</v>
      </c>
      <c r="E79" s="1180"/>
      <c r="F79" s="319" t="str">
        <f t="shared" si="16"/>
        <v>Traditional OOR</v>
      </c>
      <c r="G79" s="319">
        <f t="shared" si="17"/>
        <v>0</v>
      </c>
      <c r="H79" s="219">
        <v>0</v>
      </c>
      <c r="I79" s="219">
        <f t="shared" si="18"/>
        <v>0</v>
      </c>
      <c r="J79" s="319">
        <f t="shared" si="19"/>
        <v>0</v>
      </c>
      <c r="K79" s="319"/>
      <c r="L79" s="325"/>
      <c r="M79" s="220">
        <f t="shared" si="21"/>
        <v>0</v>
      </c>
      <c r="N79" s="319">
        <f t="shared" si="20"/>
        <v>0</v>
      </c>
      <c r="O79" s="223">
        <v>3</v>
      </c>
    </row>
    <row r="80" spans="1:15">
      <c r="A80" s="215" t="s">
        <v>756</v>
      </c>
      <c r="B80" s="216">
        <v>456</v>
      </c>
      <c r="C80" s="217" t="s">
        <v>760</v>
      </c>
      <c r="D80" s="217" t="s">
        <v>761</v>
      </c>
      <c r="E80" s="1180">
        <v>160</v>
      </c>
      <c r="F80" s="319" t="str">
        <f t="shared" si="16"/>
        <v>Traditional OOR</v>
      </c>
      <c r="G80" s="319">
        <f t="shared" si="17"/>
        <v>160</v>
      </c>
      <c r="H80" s="219">
        <v>0</v>
      </c>
      <c r="I80" s="219">
        <f t="shared" si="18"/>
        <v>160</v>
      </c>
      <c r="J80" s="319">
        <f t="shared" si="19"/>
        <v>0</v>
      </c>
      <c r="K80" s="319"/>
      <c r="L80" s="325"/>
      <c r="M80" s="220">
        <f t="shared" si="21"/>
        <v>0</v>
      </c>
      <c r="N80" s="319">
        <f t="shared" si="20"/>
        <v>0</v>
      </c>
      <c r="O80" s="223">
        <v>1</v>
      </c>
    </row>
    <row r="81" spans="1:15">
      <c r="A81" s="215" t="s">
        <v>759</v>
      </c>
      <c r="B81" s="216">
        <v>456</v>
      </c>
      <c r="C81" s="217" t="s">
        <v>763</v>
      </c>
      <c r="D81" s="217" t="s">
        <v>764</v>
      </c>
      <c r="E81" s="1180">
        <v>803911.17</v>
      </c>
      <c r="F81" s="319" t="str">
        <f t="shared" si="16"/>
        <v>Traditional OOR</v>
      </c>
      <c r="G81" s="319">
        <f t="shared" si="17"/>
        <v>803911.17</v>
      </c>
      <c r="H81" s="219">
        <v>0</v>
      </c>
      <c r="I81" s="219">
        <f t="shared" si="18"/>
        <v>803911.17</v>
      </c>
      <c r="J81" s="319">
        <f t="shared" si="19"/>
        <v>0</v>
      </c>
      <c r="K81" s="319"/>
      <c r="L81" s="325"/>
      <c r="M81" s="220">
        <f t="shared" si="21"/>
        <v>0</v>
      </c>
      <c r="N81" s="319">
        <f t="shared" si="20"/>
        <v>0</v>
      </c>
      <c r="O81" s="223">
        <v>1</v>
      </c>
    </row>
    <row r="82" spans="1:15">
      <c r="A82" s="215" t="s">
        <v>762</v>
      </c>
      <c r="B82" s="216">
        <v>456</v>
      </c>
      <c r="C82" s="1072" t="s">
        <v>766</v>
      </c>
      <c r="D82" s="217" t="s">
        <v>767</v>
      </c>
      <c r="E82" s="1180"/>
      <c r="F82" s="319" t="str">
        <f t="shared" si="16"/>
        <v>Traditional OOR</v>
      </c>
      <c r="G82" s="319">
        <f t="shared" si="17"/>
        <v>0</v>
      </c>
      <c r="H82" s="219">
        <v>0</v>
      </c>
      <c r="I82" s="219">
        <f t="shared" si="18"/>
        <v>0</v>
      </c>
      <c r="J82" s="319">
        <f t="shared" si="19"/>
        <v>0</v>
      </c>
      <c r="K82" s="319"/>
      <c r="L82" s="325"/>
      <c r="M82" s="220">
        <f t="shared" si="21"/>
        <v>0</v>
      </c>
      <c r="N82" s="319">
        <f t="shared" si="20"/>
        <v>0</v>
      </c>
      <c r="O82" s="223">
        <v>3</v>
      </c>
    </row>
    <row r="83" spans="1:15">
      <c r="A83" s="215" t="s">
        <v>765</v>
      </c>
      <c r="B83" s="216">
        <v>456</v>
      </c>
      <c r="C83" s="216">
        <v>4186142</v>
      </c>
      <c r="D83" s="217" t="s">
        <v>1548</v>
      </c>
      <c r="E83" s="1180">
        <v>3427.67</v>
      </c>
      <c r="F83" s="319" t="str">
        <f t="shared" si="16"/>
        <v>Traditional OOR</v>
      </c>
      <c r="G83" s="319">
        <f>IF(F83=$G$2,E83,0)</f>
        <v>3427.67</v>
      </c>
      <c r="H83" s="219">
        <v>0</v>
      </c>
      <c r="I83" s="219">
        <f>G83-H83</f>
        <v>3427.67</v>
      </c>
      <c r="J83" s="319">
        <f t="shared" si="19"/>
        <v>0</v>
      </c>
      <c r="K83" s="319"/>
      <c r="L83" s="325"/>
      <c r="M83" s="220">
        <f t="shared" si="21"/>
        <v>0</v>
      </c>
      <c r="N83" s="319">
        <f t="shared" si="20"/>
        <v>0</v>
      </c>
      <c r="O83" s="223">
        <v>4</v>
      </c>
    </row>
    <row r="84" spans="1:15">
      <c r="A84" s="215" t="s">
        <v>768</v>
      </c>
      <c r="B84" s="216">
        <v>456</v>
      </c>
      <c r="C84" s="217" t="s">
        <v>769</v>
      </c>
      <c r="D84" s="217" t="s">
        <v>770</v>
      </c>
      <c r="E84" s="1180"/>
      <c r="F84" s="319" t="str">
        <f t="shared" si="16"/>
        <v>Traditional OOR</v>
      </c>
      <c r="G84" s="319">
        <f t="shared" si="17"/>
        <v>0</v>
      </c>
      <c r="H84" s="219">
        <f>E84*$D$248</f>
        <v>0</v>
      </c>
      <c r="I84" s="219">
        <f t="shared" si="18"/>
        <v>0</v>
      </c>
      <c r="J84" s="319">
        <f t="shared" si="19"/>
        <v>0</v>
      </c>
      <c r="K84" s="319"/>
      <c r="L84" s="325"/>
      <c r="M84" s="220">
        <f t="shared" si="21"/>
        <v>0</v>
      </c>
      <c r="N84" s="319">
        <f t="shared" si="20"/>
        <v>0</v>
      </c>
      <c r="O84" s="223">
        <v>7</v>
      </c>
    </row>
    <row r="85" spans="1:15">
      <c r="A85" s="215" t="s">
        <v>771</v>
      </c>
      <c r="B85" s="216">
        <v>456</v>
      </c>
      <c r="C85" s="217" t="s">
        <v>772</v>
      </c>
      <c r="D85" s="217" t="s">
        <v>773</v>
      </c>
      <c r="E85" s="1180">
        <v>8005.24</v>
      </c>
      <c r="F85" s="319" t="str">
        <f>$N$2</f>
        <v>Other Ratemaking</v>
      </c>
      <c r="G85" s="319">
        <f>I85+H85</f>
        <v>473.83015560000001</v>
      </c>
      <c r="H85" s="219">
        <f>E85*$D$254</f>
        <v>473.83015560000001</v>
      </c>
      <c r="I85" s="219">
        <v>0</v>
      </c>
      <c r="J85" s="319">
        <f t="shared" si="19"/>
        <v>0</v>
      </c>
      <c r="K85" s="319"/>
      <c r="L85" s="325"/>
      <c r="M85" s="220">
        <f t="shared" si="21"/>
        <v>0</v>
      </c>
      <c r="N85" s="319">
        <f>IF(F85=$N$2,E85-H85,0)</f>
        <v>7531.4098444000001</v>
      </c>
      <c r="O85" s="223" t="s">
        <v>716</v>
      </c>
    </row>
    <row r="86" spans="1:15">
      <c r="A86" s="215" t="s">
        <v>774</v>
      </c>
      <c r="B86" s="216">
        <v>456</v>
      </c>
      <c r="C86" s="217" t="s">
        <v>775</v>
      </c>
      <c r="D86" s="217" t="s">
        <v>776</v>
      </c>
      <c r="E86" s="1180">
        <v>1446.84</v>
      </c>
      <c r="F86" s="319" t="str">
        <f t="shared" ref="F86:F91" si="22">$G$2</f>
        <v>Traditional OOR</v>
      </c>
      <c r="G86" s="319">
        <f t="shared" si="17"/>
        <v>1446.84</v>
      </c>
      <c r="H86" s="219">
        <v>0</v>
      </c>
      <c r="I86" s="219">
        <f t="shared" si="18"/>
        <v>1446.84</v>
      </c>
      <c r="J86" s="319">
        <f t="shared" si="19"/>
        <v>0</v>
      </c>
      <c r="K86" s="319"/>
      <c r="L86" s="325"/>
      <c r="M86" s="220">
        <f t="shared" si="21"/>
        <v>0</v>
      </c>
      <c r="N86" s="319">
        <f t="shared" si="20"/>
        <v>0</v>
      </c>
      <c r="O86" s="223">
        <v>4</v>
      </c>
    </row>
    <row r="87" spans="1:15">
      <c r="A87" s="215" t="s">
        <v>777</v>
      </c>
      <c r="B87" s="216">
        <v>456</v>
      </c>
      <c r="C87" s="217" t="s">
        <v>778</v>
      </c>
      <c r="D87" s="217" t="s">
        <v>779</v>
      </c>
      <c r="E87" s="1180">
        <v>14521.92</v>
      </c>
      <c r="F87" s="319" t="str">
        <f t="shared" si="22"/>
        <v>Traditional OOR</v>
      </c>
      <c r="G87" s="319">
        <f t="shared" si="17"/>
        <v>14521.92</v>
      </c>
      <c r="H87" s="219">
        <v>0</v>
      </c>
      <c r="I87" s="219">
        <f t="shared" si="18"/>
        <v>14521.92</v>
      </c>
      <c r="J87" s="319">
        <f t="shared" si="19"/>
        <v>0</v>
      </c>
      <c r="K87" s="319"/>
      <c r="L87" s="325"/>
      <c r="M87" s="220">
        <f t="shared" si="21"/>
        <v>0</v>
      </c>
      <c r="N87" s="319">
        <f t="shared" si="20"/>
        <v>0</v>
      </c>
      <c r="O87" s="223">
        <v>4</v>
      </c>
    </row>
    <row r="88" spans="1:15">
      <c r="A88" s="215" t="s">
        <v>780</v>
      </c>
      <c r="B88" s="216">
        <v>456</v>
      </c>
      <c r="C88" s="217" t="s">
        <v>781</v>
      </c>
      <c r="D88" s="217" t="s">
        <v>782</v>
      </c>
      <c r="E88" s="1180">
        <v>4387.92</v>
      </c>
      <c r="F88" s="319" t="str">
        <f t="shared" si="22"/>
        <v>Traditional OOR</v>
      </c>
      <c r="G88" s="319">
        <f t="shared" si="17"/>
        <v>4387.92</v>
      </c>
      <c r="H88" s="219">
        <v>0</v>
      </c>
      <c r="I88" s="219">
        <f t="shared" si="18"/>
        <v>4387.92</v>
      </c>
      <c r="J88" s="319">
        <f t="shared" si="19"/>
        <v>0</v>
      </c>
      <c r="K88" s="319"/>
      <c r="L88" s="325"/>
      <c r="M88" s="220">
        <f t="shared" si="21"/>
        <v>0</v>
      </c>
      <c r="N88" s="319">
        <f t="shared" si="20"/>
        <v>0</v>
      </c>
      <c r="O88" s="223">
        <v>4</v>
      </c>
    </row>
    <row r="89" spans="1:15">
      <c r="A89" s="215" t="s">
        <v>783</v>
      </c>
      <c r="B89" s="216">
        <v>456</v>
      </c>
      <c r="C89" s="217" t="s">
        <v>784</v>
      </c>
      <c r="D89" s="217" t="s">
        <v>785</v>
      </c>
      <c r="E89" s="1180">
        <v>993</v>
      </c>
      <c r="F89" s="319" t="str">
        <f t="shared" si="22"/>
        <v>Traditional OOR</v>
      </c>
      <c r="G89" s="319">
        <f t="shared" si="17"/>
        <v>993</v>
      </c>
      <c r="H89" s="219">
        <v>0</v>
      </c>
      <c r="I89" s="219">
        <f t="shared" si="18"/>
        <v>993</v>
      </c>
      <c r="J89" s="319">
        <f t="shared" si="19"/>
        <v>0</v>
      </c>
      <c r="K89" s="319"/>
      <c r="L89" s="325"/>
      <c r="M89" s="220">
        <f t="shared" si="21"/>
        <v>0</v>
      </c>
      <c r="N89" s="319">
        <f t="shared" si="20"/>
        <v>0</v>
      </c>
      <c r="O89" s="223">
        <v>4</v>
      </c>
    </row>
    <row r="90" spans="1:15">
      <c r="A90" s="215" t="s">
        <v>786</v>
      </c>
      <c r="B90" s="216">
        <v>456</v>
      </c>
      <c r="C90" s="217" t="s">
        <v>787</v>
      </c>
      <c r="D90" s="217" t="s">
        <v>788</v>
      </c>
      <c r="E90" s="1180">
        <v>844.92</v>
      </c>
      <c r="F90" s="319" t="str">
        <f t="shared" si="22"/>
        <v>Traditional OOR</v>
      </c>
      <c r="G90" s="319">
        <f t="shared" si="17"/>
        <v>844.92</v>
      </c>
      <c r="H90" s="219">
        <v>0</v>
      </c>
      <c r="I90" s="219">
        <f t="shared" si="18"/>
        <v>844.92</v>
      </c>
      <c r="J90" s="319">
        <f t="shared" si="19"/>
        <v>0</v>
      </c>
      <c r="K90" s="319"/>
      <c r="L90" s="325"/>
      <c r="M90" s="220">
        <f t="shared" si="21"/>
        <v>0</v>
      </c>
      <c r="N90" s="319">
        <f t="shared" si="20"/>
        <v>0</v>
      </c>
      <c r="O90" s="223">
        <v>4</v>
      </c>
    </row>
    <row r="91" spans="1:15">
      <c r="A91" s="215" t="s">
        <v>789</v>
      </c>
      <c r="B91" s="216">
        <v>456</v>
      </c>
      <c r="C91" s="217" t="s">
        <v>790</v>
      </c>
      <c r="D91" s="217" t="s">
        <v>791</v>
      </c>
      <c r="E91" s="1177">
        <v>173880</v>
      </c>
      <c r="F91" s="319" t="str">
        <f t="shared" si="22"/>
        <v>Traditional OOR</v>
      </c>
      <c r="G91" s="319">
        <f t="shared" si="17"/>
        <v>173880</v>
      </c>
      <c r="H91" s="219">
        <v>0</v>
      </c>
      <c r="I91" s="219">
        <f t="shared" si="18"/>
        <v>173880</v>
      </c>
      <c r="J91" s="319">
        <f t="shared" si="19"/>
        <v>0</v>
      </c>
      <c r="K91" s="319"/>
      <c r="L91" s="325"/>
      <c r="M91" s="220">
        <f t="shared" si="21"/>
        <v>0</v>
      </c>
      <c r="N91" s="319">
        <f t="shared" si="20"/>
        <v>0</v>
      </c>
      <c r="O91" s="223">
        <v>4</v>
      </c>
    </row>
    <row r="92" spans="1:15">
      <c r="A92" s="215" t="s">
        <v>792</v>
      </c>
      <c r="B92" s="216">
        <v>456</v>
      </c>
      <c r="C92" s="217" t="s">
        <v>793</v>
      </c>
      <c r="D92" s="217" t="s">
        <v>794</v>
      </c>
      <c r="E92" s="1177">
        <v>1965773.85</v>
      </c>
      <c r="F92" s="319" t="str">
        <f t="shared" ref="F92:F105" si="23">$J$2</f>
        <v>GRSM</v>
      </c>
      <c r="G92" s="319">
        <f t="shared" si="17"/>
        <v>0</v>
      </c>
      <c r="H92" s="219">
        <v>0</v>
      </c>
      <c r="I92" s="219">
        <f t="shared" si="18"/>
        <v>0</v>
      </c>
      <c r="J92" s="319">
        <f t="shared" si="19"/>
        <v>1965773.85</v>
      </c>
      <c r="K92" s="357" t="s">
        <v>668</v>
      </c>
      <c r="L92" s="326">
        <v>315815.45309682202</v>
      </c>
      <c r="M92" s="220">
        <f t="shared" si="21"/>
        <v>1649958.3969031782</v>
      </c>
      <c r="N92" s="319">
        <f t="shared" si="20"/>
        <v>0</v>
      </c>
      <c r="O92" s="223">
        <v>2</v>
      </c>
    </row>
    <row r="93" spans="1:15">
      <c r="A93" s="1073" t="s">
        <v>795</v>
      </c>
      <c r="B93" s="216">
        <v>456</v>
      </c>
      <c r="C93" s="217" t="s">
        <v>796</v>
      </c>
      <c r="D93" s="217" t="s">
        <v>797</v>
      </c>
      <c r="E93" s="1177">
        <v>161224.70000000001</v>
      </c>
      <c r="F93" s="319" t="str">
        <f t="shared" si="23"/>
        <v>GRSM</v>
      </c>
      <c r="G93" s="319">
        <f t="shared" si="17"/>
        <v>0</v>
      </c>
      <c r="H93" s="219">
        <v>0</v>
      </c>
      <c r="I93" s="219">
        <f t="shared" si="18"/>
        <v>0</v>
      </c>
      <c r="J93" s="319">
        <f t="shared" si="19"/>
        <v>161224.70000000001</v>
      </c>
      <c r="K93" s="357" t="s">
        <v>668</v>
      </c>
      <c r="L93" s="326">
        <v>37882.929004293001</v>
      </c>
      <c r="M93" s="220">
        <f t="shared" si="21"/>
        <v>123341.77099570702</v>
      </c>
      <c r="N93" s="319">
        <f t="shared" si="20"/>
        <v>0</v>
      </c>
      <c r="O93" s="223">
        <v>2</v>
      </c>
    </row>
    <row r="94" spans="1:15">
      <c r="A94" s="215" t="s">
        <v>798</v>
      </c>
      <c r="B94" s="216">
        <v>456</v>
      </c>
      <c r="C94" s="217" t="s">
        <v>799</v>
      </c>
      <c r="D94" s="217" t="s">
        <v>800</v>
      </c>
      <c r="E94" s="1177">
        <v>40875</v>
      </c>
      <c r="F94" s="319" t="str">
        <f t="shared" si="23"/>
        <v>GRSM</v>
      </c>
      <c r="G94" s="319">
        <f t="shared" si="17"/>
        <v>0</v>
      </c>
      <c r="H94" s="219">
        <v>0</v>
      </c>
      <c r="I94" s="219">
        <f t="shared" si="18"/>
        <v>0</v>
      </c>
      <c r="J94" s="319">
        <f t="shared" si="19"/>
        <v>40875</v>
      </c>
      <c r="K94" s="357" t="s">
        <v>668</v>
      </c>
      <c r="L94" s="325">
        <v>84.116480806000098</v>
      </c>
      <c r="M94" s="220">
        <f t="shared" si="21"/>
        <v>40790.883519194002</v>
      </c>
      <c r="N94" s="319">
        <f t="shared" si="20"/>
        <v>0</v>
      </c>
      <c r="O94" s="223">
        <v>2</v>
      </c>
    </row>
    <row r="95" spans="1:15">
      <c r="A95" s="215" t="s">
        <v>801</v>
      </c>
      <c r="B95" s="216">
        <v>456</v>
      </c>
      <c r="C95" s="217" t="s">
        <v>802</v>
      </c>
      <c r="D95" s="217" t="s">
        <v>803</v>
      </c>
      <c r="E95" s="1177"/>
      <c r="F95" s="319" t="str">
        <f t="shared" si="23"/>
        <v>GRSM</v>
      </c>
      <c r="G95" s="319">
        <f t="shared" si="17"/>
        <v>0</v>
      </c>
      <c r="H95" s="219">
        <v>0</v>
      </c>
      <c r="I95" s="219">
        <f t="shared" si="18"/>
        <v>0</v>
      </c>
      <c r="J95" s="319">
        <f t="shared" si="19"/>
        <v>0</v>
      </c>
      <c r="K95" s="357" t="s">
        <v>668</v>
      </c>
      <c r="L95" s="325"/>
      <c r="M95" s="220">
        <f t="shared" si="21"/>
        <v>0</v>
      </c>
      <c r="N95" s="319">
        <f t="shared" si="20"/>
        <v>0</v>
      </c>
      <c r="O95" s="218">
        <v>2</v>
      </c>
    </row>
    <row r="96" spans="1:15">
      <c r="A96" s="215" t="s">
        <v>804</v>
      </c>
      <c r="B96" s="216">
        <v>456</v>
      </c>
      <c r="C96" s="217" t="s">
        <v>805</v>
      </c>
      <c r="D96" s="217" t="s">
        <v>806</v>
      </c>
      <c r="E96" s="1177"/>
      <c r="F96" s="319" t="str">
        <f t="shared" si="23"/>
        <v>GRSM</v>
      </c>
      <c r="G96" s="319">
        <f t="shared" si="17"/>
        <v>0</v>
      </c>
      <c r="H96" s="219">
        <v>0</v>
      </c>
      <c r="I96" s="219">
        <f t="shared" si="18"/>
        <v>0</v>
      </c>
      <c r="J96" s="319">
        <f t="shared" si="19"/>
        <v>0</v>
      </c>
      <c r="K96" s="357" t="s">
        <v>668</v>
      </c>
      <c r="L96" s="325"/>
      <c r="M96" s="220">
        <f t="shared" si="21"/>
        <v>0</v>
      </c>
      <c r="N96" s="319">
        <f t="shared" si="20"/>
        <v>0</v>
      </c>
      <c r="O96" s="223">
        <v>2</v>
      </c>
    </row>
    <row r="97" spans="1:15">
      <c r="A97" s="215" t="s">
        <v>807</v>
      </c>
      <c r="B97" s="216">
        <v>456</v>
      </c>
      <c r="C97" s="217" t="s">
        <v>808</v>
      </c>
      <c r="D97" s="217" t="s">
        <v>809</v>
      </c>
      <c r="E97" s="1177">
        <v>1700</v>
      </c>
      <c r="F97" s="319" t="str">
        <f t="shared" si="23"/>
        <v>GRSM</v>
      </c>
      <c r="G97" s="319">
        <f t="shared" si="17"/>
        <v>0</v>
      </c>
      <c r="H97" s="219">
        <v>0</v>
      </c>
      <c r="I97" s="219">
        <f t="shared" si="18"/>
        <v>0</v>
      </c>
      <c r="J97" s="319">
        <f t="shared" si="19"/>
        <v>1700</v>
      </c>
      <c r="K97" s="357" t="s">
        <v>668</v>
      </c>
      <c r="L97" s="325">
        <v>0</v>
      </c>
      <c r="M97" s="220">
        <f t="shared" si="21"/>
        <v>1700</v>
      </c>
      <c r="N97" s="319">
        <f t="shared" si="20"/>
        <v>0</v>
      </c>
      <c r="O97" s="223">
        <v>2</v>
      </c>
    </row>
    <row r="98" spans="1:15">
      <c r="A98" s="215" t="s">
        <v>810</v>
      </c>
      <c r="B98" s="216">
        <v>456</v>
      </c>
      <c r="C98" s="217" t="s">
        <v>811</v>
      </c>
      <c r="D98" s="217" t="s">
        <v>812</v>
      </c>
      <c r="E98" s="1177">
        <v>3775</v>
      </c>
      <c r="F98" s="319" t="str">
        <f t="shared" si="23"/>
        <v>GRSM</v>
      </c>
      <c r="G98" s="319">
        <f t="shared" si="17"/>
        <v>0</v>
      </c>
      <c r="H98" s="219">
        <v>0</v>
      </c>
      <c r="I98" s="219">
        <f t="shared" si="18"/>
        <v>0</v>
      </c>
      <c r="J98" s="319">
        <f t="shared" si="19"/>
        <v>3775</v>
      </c>
      <c r="K98" s="357" t="s">
        <v>668</v>
      </c>
      <c r="L98" s="325">
        <v>2775</v>
      </c>
      <c r="M98" s="220">
        <f t="shared" si="21"/>
        <v>1000</v>
      </c>
      <c r="N98" s="319">
        <f t="shared" si="20"/>
        <v>0</v>
      </c>
      <c r="O98" s="218">
        <v>2</v>
      </c>
    </row>
    <row r="99" spans="1:15">
      <c r="A99" s="215" t="s">
        <v>813</v>
      </c>
      <c r="B99" s="216">
        <v>456</v>
      </c>
      <c r="C99" s="216">
        <v>4186536</v>
      </c>
      <c r="D99" s="234" t="s">
        <v>814</v>
      </c>
      <c r="E99" s="1177"/>
      <c r="F99" s="319" t="str">
        <f t="shared" si="23"/>
        <v>GRSM</v>
      </c>
      <c r="G99" s="319">
        <f t="shared" si="17"/>
        <v>0</v>
      </c>
      <c r="H99" s="219">
        <v>0</v>
      </c>
      <c r="I99" s="219">
        <f t="shared" si="18"/>
        <v>0</v>
      </c>
      <c r="J99" s="319">
        <f t="shared" si="19"/>
        <v>0</v>
      </c>
      <c r="K99" s="357" t="s">
        <v>668</v>
      </c>
      <c r="L99" s="325"/>
      <c r="M99" s="220">
        <f t="shared" si="21"/>
        <v>0</v>
      </c>
      <c r="N99" s="319">
        <f t="shared" si="20"/>
        <v>0</v>
      </c>
      <c r="O99" s="218">
        <v>2</v>
      </c>
    </row>
    <row r="100" spans="1:15">
      <c r="A100" s="215" t="s">
        <v>815</v>
      </c>
      <c r="B100" s="216">
        <v>456</v>
      </c>
      <c r="C100" s="216">
        <v>4186538</v>
      </c>
      <c r="D100" s="234" t="s">
        <v>816</v>
      </c>
      <c r="E100" s="1177"/>
      <c r="F100" s="319" t="str">
        <f t="shared" si="23"/>
        <v>GRSM</v>
      </c>
      <c r="G100" s="319">
        <f t="shared" si="17"/>
        <v>0</v>
      </c>
      <c r="H100" s="219">
        <v>0</v>
      </c>
      <c r="I100" s="219">
        <f t="shared" si="18"/>
        <v>0</v>
      </c>
      <c r="J100" s="319">
        <f t="shared" si="19"/>
        <v>0</v>
      </c>
      <c r="K100" s="357" t="s">
        <v>668</v>
      </c>
      <c r="L100" s="325"/>
      <c r="M100" s="220">
        <f t="shared" si="21"/>
        <v>0</v>
      </c>
      <c r="N100" s="319">
        <f t="shared" si="20"/>
        <v>0</v>
      </c>
      <c r="O100" s="218">
        <v>2</v>
      </c>
    </row>
    <row r="101" spans="1:15">
      <c r="A101" s="215" t="s">
        <v>817</v>
      </c>
      <c r="B101" s="216">
        <v>456</v>
      </c>
      <c r="C101" s="217" t="s">
        <v>818</v>
      </c>
      <c r="D101" s="217" t="s">
        <v>819</v>
      </c>
      <c r="E101" s="1177"/>
      <c r="F101" s="319" t="str">
        <f t="shared" si="23"/>
        <v>GRSM</v>
      </c>
      <c r="G101" s="319">
        <f t="shared" si="17"/>
        <v>0</v>
      </c>
      <c r="H101" s="219">
        <v>0</v>
      </c>
      <c r="I101" s="219">
        <f t="shared" si="18"/>
        <v>0</v>
      </c>
      <c r="J101" s="319">
        <f t="shared" si="19"/>
        <v>0</v>
      </c>
      <c r="K101" s="357" t="s">
        <v>610</v>
      </c>
      <c r="L101" s="325"/>
      <c r="M101" s="220">
        <f t="shared" si="21"/>
        <v>0</v>
      </c>
      <c r="N101" s="319">
        <f t="shared" si="20"/>
        <v>0</v>
      </c>
      <c r="O101" s="218">
        <v>2</v>
      </c>
    </row>
    <row r="102" spans="1:15">
      <c r="A102" s="215" t="s">
        <v>820</v>
      </c>
      <c r="B102" s="216">
        <v>456</v>
      </c>
      <c r="C102" s="217" t="s">
        <v>821</v>
      </c>
      <c r="D102" s="217" t="s">
        <v>822</v>
      </c>
      <c r="E102" s="1177"/>
      <c r="F102" s="319" t="str">
        <f t="shared" si="23"/>
        <v>GRSM</v>
      </c>
      <c r="G102" s="319">
        <f t="shared" si="17"/>
        <v>0</v>
      </c>
      <c r="H102" s="219">
        <v>0</v>
      </c>
      <c r="I102" s="219">
        <f t="shared" si="18"/>
        <v>0</v>
      </c>
      <c r="J102" s="319">
        <f t="shared" si="19"/>
        <v>0</v>
      </c>
      <c r="K102" s="357" t="s">
        <v>610</v>
      </c>
      <c r="L102" s="325"/>
      <c r="M102" s="220">
        <f>J102-L102</f>
        <v>0</v>
      </c>
      <c r="N102" s="319">
        <f t="shared" si="20"/>
        <v>0</v>
      </c>
      <c r="O102" s="218">
        <v>2</v>
      </c>
    </row>
    <row r="103" spans="1:15">
      <c r="A103" s="215" t="s">
        <v>823</v>
      </c>
      <c r="B103" s="216">
        <v>456</v>
      </c>
      <c r="C103" s="217" t="s">
        <v>824</v>
      </c>
      <c r="D103" s="217" t="s">
        <v>825</v>
      </c>
      <c r="E103" s="1177"/>
      <c r="F103" s="319" t="str">
        <f t="shared" si="23"/>
        <v>GRSM</v>
      </c>
      <c r="G103" s="319">
        <f t="shared" si="17"/>
        <v>0</v>
      </c>
      <c r="H103" s="219">
        <v>0</v>
      </c>
      <c r="I103" s="219">
        <f t="shared" si="18"/>
        <v>0</v>
      </c>
      <c r="J103" s="319">
        <f t="shared" si="19"/>
        <v>0</v>
      </c>
      <c r="K103" s="357" t="s">
        <v>610</v>
      </c>
      <c r="L103" s="325"/>
      <c r="M103" s="220">
        <f t="shared" si="21"/>
        <v>0</v>
      </c>
      <c r="N103" s="319">
        <f t="shared" si="20"/>
        <v>0</v>
      </c>
      <c r="O103" s="218">
        <v>2</v>
      </c>
    </row>
    <row r="104" spans="1:15">
      <c r="A104" s="215" t="s">
        <v>826</v>
      </c>
      <c r="B104" s="216">
        <v>456</v>
      </c>
      <c r="C104" s="217" t="s">
        <v>827</v>
      </c>
      <c r="D104" s="217" t="s">
        <v>828</v>
      </c>
      <c r="E104" s="1177"/>
      <c r="F104" s="319" t="str">
        <f t="shared" si="23"/>
        <v>GRSM</v>
      </c>
      <c r="G104" s="319">
        <f t="shared" si="17"/>
        <v>0</v>
      </c>
      <c r="H104" s="219">
        <v>0</v>
      </c>
      <c r="I104" s="219">
        <f t="shared" si="18"/>
        <v>0</v>
      </c>
      <c r="J104" s="319">
        <f>IF(F104=$J$2,E104,0)</f>
        <v>0</v>
      </c>
      <c r="K104" s="357" t="s">
        <v>610</v>
      </c>
      <c r="L104" s="325"/>
      <c r="M104" s="220">
        <f t="shared" si="21"/>
        <v>0</v>
      </c>
      <c r="N104" s="319">
        <f t="shared" si="20"/>
        <v>0</v>
      </c>
      <c r="O104" s="223">
        <v>2</v>
      </c>
    </row>
    <row r="105" spans="1:15">
      <c r="A105" s="215" t="s">
        <v>829</v>
      </c>
      <c r="B105" s="216">
        <v>456</v>
      </c>
      <c r="C105" s="217" t="s">
        <v>830</v>
      </c>
      <c r="D105" s="217" t="s">
        <v>831</v>
      </c>
      <c r="E105" s="1177">
        <v>56262.27</v>
      </c>
      <c r="F105" s="319" t="str">
        <f t="shared" si="23"/>
        <v>GRSM</v>
      </c>
      <c r="G105" s="319">
        <f t="shared" si="17"/>
        <v>0</v>
      </c>
      <c r="H105" s="219">
        <v>0</v>
      </c>
      <c r="I105" s="219">
        <f t="shared" si="18"/>
        <v>0</v>
      </c>
      <c r="J105" s="319">
        <f t="shared" si="19"/>
        <v>56262.27</v>
      </c>
      <c r="K105" s="357" t="s">
        <v>610</v>
      </c>
      <c r="L105" s="326">
        <v>20209.25</v>
      </c>
      <c r="M105" s="219">
        <f t="shared" si="21"/>
        <v>36053.019999999997</v>
      </c>
      <c r="N105" s="319">
        <f t="shared" si="20"/>
        <v>0</v>
      </c>
      <c r="O105" s="218">
        <v>2</v>
      </c>
    </row>
    <row r="106" spans="1:15">
      <c r="A106" s="215" t="s">
        <v>832</v>
      </c>
      <c r="B106" s="216">
        <v>456</v>
      </c>
      <c r="C106" s="217" t="s">
        <v>833</v>
      </c>
      <c r="D106" s="217" t="s">
        <v>834</v>
      </c>
      <c r="E106" s="1177"/>
      <c r="F106" s="319" t="str">
        <f>$N$2</f>
        <v>Other Ratemaking</v>
      </c>
      <c r="G106" s="319">
        <f t="shared" si="17"/>
        <v>0</v>
      </c>
      <c r="H106" s="219">
        <v>0</v>
      </c>
      <c r="I106" s="219">
        <f t="shared" si="18"/>
        <v>0</v>
      </c>
      <c r="J106" s="319">
        <f t="shared" si="19"/>
        <v>0</v>
      </c>
      <c r="K106" s="319"/>
      <c r="L106" s="325"/>
      <c r="M106" s="220">
        <f t="shared" si="21"/>
        <v>0</v>
      </c>
      <c r="N106" s="319">
        <f t="shared" si="20"/>
        <v>0</v>
      </c>
      <c r="O106" s="223">
        <v>6</v>
      </c>
    </row>
    <row r="107" spans="1:15">
      <c r="A107" s="215" t="s">
        <v>835</v>
      </c>
      <c r="B107" s="216">
        <v>456</v>
      </c>
      <c r="C107" s="217" t="s">
        <v>836</v>
      </c>
      <c r="D107" s="217" t="s">
        <v>837</v>
      </c>
      <c r="E107" s="1177">
        <v>25076869.25</v>
      </c>
      <c r="F107" s="319" t="str">
        <f>$G$2</f>
        <v>Traditional OOR</v>
      </c>
      <c r="G107" s="319">
        <f t="shared" si="17"/>
        <v>25076869.25</v>
      </c>
      <c r="H107" s="219">
        <v>0</v>
      </c>
      <c r="I107" s="219">
        <f t="shared" si="18"/>
        <v>25076869.25</v>
      </c>
      <c r="J107" s="319">
        <f t="shared" si="19"/>
        <v>0</v>
      </c>
      <c r="K107" s="319"/>
      <c r="L107" s="325"/>
      <c r="M107" s="220">
        <f t="shared" si="21"/>
        <v>0</v>
      </c>
      <c r="N107" s="319">
        <f t="shared" si="20"/>
        <v>0</v>
      </c>
      <c r="O107" s="223">
        <v>4</v>
      </c>
    </row>
    <row r="108" spans="1:15">
      <c r="A108" s="215" t="s">
        <v>838</v>
      </c>
      <c r="B108" s="216">
        <v>456</v>
      </c>
      <c r="C108" s="217" t="s">
        <v>839</v>
      </c>
      <c r="D108" s="1072" t="s">
        <v>1940</v>
      </c>
      <c r="E108" s="1177">
        <v>-450696490.37</v>
      </c>
      <c r="F108" s="319" t="str">
        <f t="shared" ref="F108:F113" si="24">$N$2</f>
        <v>Other Ratemaking</v>
      </c>
      <c r="G108" s="319">
        <f t="shared" si="17"/>
        <v>0</v>
      </c>
      <c r="H108" s="219">
        <v>0</v>
      </c>
      <c r="I108" s="219">
        <f t="shared" si="18"/>
        <v>0</v>
      </c>
      <c r="J108" s="319">
        <f t="shared" si="19"/>
        <v>0</v>
      </c>
      <c r="K108" s="319"/>
      <c r="L108" s="325"/>
      <c r="M108" s="220">
        <f t="shared" si="21"/>
        <v>0</v>
      </c>
      <c r="N108" s="319">
        <f t="shared" si="20"/>
        <v>-450696490.37</v>
      </c>
      <c r="O108" s="223">
        <v>6</v>
      </c>
    </row>
    <row r="109" spans="1:15">
      <c r="A109" s="215" t="s">
        <v>840</v>
      </c>
      <c r="B109" s="216">
        <v>456</v>
      </c>
      <c r="C109" s="1072" t="s">
        <v>841</v>
      </c>
      <c r="D109" s="1072" t="s">
        <v>1941</v>
      </c>
      <c r="E109" s="1177">
        <v>-11397579.4</v>
      </c>
      <c r="F109" s="319" t="str">
        <f t="shared" si="24"/>
        <v>Other Ratemaking</v>
      </c>
      <c r="G109" s="319">
        <f t="shared" si="17"/>
        <v>0</v>
      </c>
      <c r="H109" s="219">
        <v>0</v>
      </c>
      <c r="I109" s="219">
        <f t="shared" si="18"/>
        <v>0</v>
      </c>
      <c r="J109" s="319">
        <f t="shared" si="19"/>
        <v>0</v>
      </c>
      <c r="K109" s="319"/>
      <c r="L109" s="325"/>
      <c r="M109" s="220">
        <f t="shared" si="21"/>
        <v>0</v>
      </c>
      <c r="N109" s="319">
        <f t="shared" si="20"/>
        <v>-11397579.4</v>
      </c>
      <c r="O109" s="223">
        <v>6</v>
      </c>
    </row>
    <row r="110" spans="1:15">
      <c r="A110" s="215" t="s">
        <v>842</v>
      </c>
      <c r="B110" s="216">
        <v>456</v>
      </c>
      <c r="C110" s="217" t="s">
        <v>843</v>
      </c>
      <c r="D110" s="217" t="s">
        <v>844</v>
      </c>
      <c r="E110" s="1177">
        <v>450696233.61000001</v>
      </c>
      <c r="F110" s="319" t="str">
        <f t="shared" si="24"/>
        <v>Other Ratemaking</v>
      </c>
      <c r="G110" s="319">
        <f t="shared" si="17"/>
        <v>0</v>
      </c>
      <c r="H110" s="219">
        <v>0</v>
      </c>
      <c r="I110" s="219">
        <f t="shared" si="18"/>
        <v>0</v>
      </c>
      <c r="J110" s="319">
        <f t="shared" si="19"/>
        <v>0</v>
      </c>
      <c r="K110" s="319"/>
      <c r="L110" s="325"/>
      <c r="M110" s="220">
        <f t="shared" si="21"/>
        <v>0</v>
      </c>
      <c r="N110" s="319">
        <f t="shared" si="20"/>
        <v>450696233.61000001</v>
      </c>
      <c r="O110" s="223">
        <v>6</v>
      </c>
    </row>
    <row r="111" spans="1:15">
      <c r="A111" s="215" t="s">
        <v>845</v>
      </c>
      <c r="B111" s="216">
        <v>456</v>
      </c>
      <c r="C111" s="217" t="s">
        <v>846</v>
      </c>
      <c r="D111" s="217" t="s">
        <v>847</v>
      </c>
      <c r="E111" s="1177">
        <v>11397579.4</v>
      </c>
      <c r="F111" s="319" t="str">
        <f t="shared" si="24"/>
        <v>Other Ratemaking</v>
      </c>
      <c r="G111" s="319">
        <f t="shared" si="17"/>
        <v>0</v>
      </c>
      <c r="H111" s="219">
        <v>0</v>
      </c>
      <c r="I111" s="219">
        <f t="shared" si="18"/>
        <v>0</v>
      </c>
      <c r="J111" s="319">
        <f t="shared" si="19"/>
        <v>0</v>
      </c>
      <c r="K111" s="319"/>
      <c r="L111" s="325"/>
      <c r="M111" s="220">
        <f t="shared" si="21"/>
        <v>0</v>
      </c>
      <c r="N111" s="319">
        <f t="shared" si="20"/>
        <v>11397579.4</v>
      </c>
      <c r="O111" s="223">
        <v>6</v>
      </c>
    </row>
    <row r="112" spans="1:15">
      <c r="A112" s="215" t="s">
        <v>848</v>
      </c>
      <c r="B112" s="216">
        <v>456</v>
      </c>
      <c r="C112" s="217" t="s">
        <v>849</v>
      </c>
      <c r="D112" s="1072" t="s">
        <v>1942</v>
      </c>
      <c r="E112" s="1177">
        <v>38748031.759999998</v>
      </c>
      <c r="F112" s="319" t="str">
        <f t="shared" si="24"/>
        <v>Other Ratemaking</v>
      </c>
      <c r="G112" s="319">
        <f t="shared" si="17"/>
        <v>0</v>
      </c>
      <c r="H112" s="219">
        <v>0</v>
      </c>
      <c r="I112" s="219">
        <f t="shared" si="18"/>
        <v>0</v>
      </c>
      <c r="J112" s="319">
        <f t="shared" si="19"/>
        <v>0</v>
      </c>
      <c r="K112" s="319"/>
      <c r="L112" s="325"/>
      <c r="M112" s="220">
        <f t="shared" si="21"/>
        <v>0</v>
      </c>
      <c r="N112" s="319">
        <f t="shared" si="20"/>
        <v>38748031.759999998</v>
      </c>
      <c r="O112" s="223">
        <v>6</v>
      </c>
    </row>
    <row r="113" spans="1:15">
      <c r="A113" s="215" t="s">
        <v>850</v>
      </c>
      <c r="B113" s="216">
        <v>456</v>
      </c>
      <c r="C113" s="217" t="s">
        <v>851</v>
      </c>
      <c r="D113" s="217" t="s">
        <v>852</v>
      </c>
      <c r="E113" s="1177">
        <v>-38748031.759999998</v>
      </c>
      <c r="F113" s="319" t="str">
        <f t="shared" si="24"/>
        <v>Other Ratemaking</v>
      </c>
      <c r="G113" s="319">
        <f t="shared" si="17"/>
        <v>0</v>
      </c>
      <c r="H113" s="219">
        <v>0</v>
      </c>
      <c r="I113" s="219">
        <f t="shared" si="18"/>
        <v>0</v>
      </c>
      <c r="J113" s="319">
        <f t="shared" si="19"/>
        <v>0</v>
      </c>
      <c r="K113" s="319"/>
      <c r="L113" s="325"/>
      <c r="M113" s="220">
        <f t="shared" si="21"/>
        <v>0</v>
      </c>
      <c r="N113" s="319">
        <f t="shared" si="20"/>
        <v>-38748031.759999998</v>
      </c>
      <c r="O113" s="223">
        <v>6</v>
      </c>
    </row>
    <row r="114" spans="1:15">
      <c r="A114" s="215" t="s">
        <v>853</v>
      </c>
      <c r="B114" s="216">
        <v>456</v>
      </c>
      <c r="C114" s="217" t="s">
        <v>854</v>
      </c>
      <c r="D114" s="217" t="s">
        <v>855</v>
      </c>
      <c r="E114" s="1177"/>
      <c r="F114" s="319" t="str">
        <f>$J$2</f>
        <v>GRSM</v>
      </c>
      <c r="G114" s="319">
        <f t="shared" si="17"/>
        <v>0</v>
      </c>
      <c r="H114" s="219">
        <v>0</v>
      </c>
      <c r="I114" s="219">
        <f t="shared" si="18"/>
        <v>0</v>
      </c>
      <c r="J114" s="319">
        <f t="shared" si="19"/>
        <v>0</v>
      </c>
      <c r="K114" s="357" t="s">
        <v>610</v>
      </c>
      <c r="L114" s="325"/>
      <c r="M114" s="220">
        <f t="shared" si="21"/>
        <v>0</v>
      </c>
      <c r="N114" s="319">
        <f t="shared" si="20"/>
        <v>0</v>
      </c>
      <c r="O114" s="223">
        <v>2</v>
      </c>
    </row>
    <row r="115" spans="1:15">
      <c r="A115" s="215" t="s">
        <v>856</v>
      </c>
      <c r="B115" s="216">
        <v>456</v>
      </c>
      <c r="C115" s="217" t="s">
        <v>857</v>
      </c>
      <c r="D115" s="217" t="s">
        <v>858</v>
      </c>
      <c r="E115" s="1178"/>
      <c r="F115" s="319" t="str">
        <f>$J$2</f>
        <v>GRSM</v>
      </c>
      <c r="G115" s="319">
        <f t="shared" si="17"/>
        <v>0</v>
      </c>
      <c r="H115" s="219">
        <v>0</v>
      </c>
      <c r="I115" s="219">
        <f t="shared" si="18"/>
        <v>0</v>
      </c>
      <c r="J115" s="319">
        <f t="shared" si="19"/>
        <v>0</v>
      </c>
      <c r="K115" s="357" t="s">
        <v>610</v>
      </c>
      <c r="L115" s="326"/>
      <c r="M115" s="220">
        <f t="shared" si="21"/>
        <v>0</v>
      </c>
      <c r="N115" s="319">
        <f t="shared" si="20"/>
        <v>0</v>
      </c>
      <c r="O115" s="223">
        <v>2</v>
      </c>
    </row>
    <row r="116" spans="1:15">
      <c r="A116" s="215" t="s">
        <v>859</v>
      </c>
      <c r="B116" s="216">
        <v>456</v>
      </c>
      <c r="C116" s="217" t="s">
        <v>860</v>
      </c>
      <c r="D116" s="217" t="s">
        <v>861</v>
      </c>
      <c r="E116" s="1177"/>
      <c r="F116" s="319" t="str">
        <f>$N$2</f>
        <v>Other Ratemaking</v>
      </c>
      <c r="G116" s="319">
        <f t="shared" si="17"/>
        <v>0</v>
      </c>
      <c r="H116" s="219">
        <v>0</v>
      </c>
      <c r="I116" s="219">
        <f t="shared" si="18"/>
        <v>0</v>
      </c>
      <c r="J116" s="319">
        <f t="shared" si="19"/>
        <v>0</v>
      </c>
      <c r="K116" s="319"/>
      <c r="L116" s="325"/>
      <c r="M116" s="220">
        <f t="shared" si="21"/>
        <v>0</v>
      </c>
      <c r="N116" s="319">
        <f t="shared" si="20"/>
        <v>0</v>
      </c>
      <c r="O116" s="223">
        <v>6</v>
      </c>
    </row>
    <row r="117" spans="1:15">
      <c r="A117" s="215" t="s">
        <v>862</v>
      </c>
      <c r="B117" s="216">
        <v>456</v>
      </c>
      <c r="C117" s="217" t="s">
        <v>863</v>
      </c>
      <c r="D117" s="217" t="s">
        <v>864</v>
      </c>
      <c r="E117" s="1177">
        <v>137951.74</v>
      </c>
      <c r="F117" s="319" t="str">
        <f t="shared" ref="F117:F127" si="25">$G$2</f>
        <v>Traditional OOR</v>
      </c>
      <c r="G117" s="319">
        <f t="shared" si="17"/>
        <v>137951.74</v>
      </c>
      <c r="H117" s="219">
        <v>0</v>
      </c>
      <c r="I117" s="219">
        <f t="shared" si="18"/>
        <v>137951.74</v>
      </c>
      <c r="J117" s="319">
        <f t="shared" si="19"/>
        <v>0</v>
      </c>
      <c r="K117" s="319"/>
      <c r="L117" s="325"/>
      <c r="M117" s="220">
        <f t="shared" si="21"/>
        <v>0</v>
      </c>
      <c r="N117" s="319">
        <f t="shared" si="20"/>
        <v>0</v>
      </c>
      <c r="O117" s="223">
        <v>1</v>
      </c>
    </row>
    <row r="118" spans="1:15">
      <c r="A118" s="215" t="s">
        <v>865</v>
      </c>
      <c r="B118" s="216">
        <v>456</v>
      </c>
      <c r="C118" s="217" t="s">
        <v>866</v>
      </c>
      <c r="D118" s="217" t="s">
        <v>867</v>
      </c>
      <c r="E118" s="1177"/>
      <c r="F118" s="319" t="str">
        <f t="shared" si="25"/>
        <v>Traditional OOR</v>
      </c>
      <c r="G118" s="319">
        <f t="shared" si="17"/>
        <v>0</v>
      </c>
      <c r="H118" s="219">
        <v>0</v>
      </c>
      <c r="I118" s="219">
        <f t="shared" si="18"/>
        <v>0</v>
      </c>
      <c r="J118" s="319">
        <f t="shared" si="19"/>
        <v>0</v>
      </c>
      <c r="K118" s="319"/>
      <c r="L118" s="325"/>
      <c r="M118" s="220">
        <f t="shared" si="21"/>
        <v>0</v>
      </c>
      <c r="N118" s="319">
        <f t="shared" si="20"/>
        <v>0</v>
      </c>
      <c r="O118" s="223">
        <v>1</v>
      </c>
    </row>
    <row r="119" spans="1:15">
      <c r="A119" s="215" t="s">
        <v>868</v>
      </c>
      <c r="B119" s="216">
        <v>456</v>
      </c>
      <c r="C119" s="217" t="s">
        <v>869</v>
      </c>
      <c r="D119" s="217" t="s">
        <v>870</v>
      </c>
      <c r="E119" s="1177">
        <v>4720962.3099999996</v>
      </c>
      <c r="F119" s="319" t="str">
        <f t="shared" si="25"/>
        <v>Traditional OOR</v>
      </c>
      <c r="G119" s="319">
        <f t="shared" si="17"/>
        <v>4720962.3099999996</v>
      </c>
      <c r="H119" s="219">
        <v>0</v>
      </c>
      <c r="I119" s="219">
        <f t="shared" si="18"/>
        <v>4720962.3099999996</v>
      </c>
      <c r="J119" s="319">
        <f t="shared" si="19"/>
        <v>0</v>
      </c>
      <c r="K119" s="319"/>
      <c r="L119" s="325"/>
      <c r="M119" s="220">
        <f t="shared" si="21"/>
        <v>0</v>
      </c>
      <c r="N119" s="319">
        <f t="shared" si="20"/>
        <v>0</v>
      </c>
      <c r="O119" s="223">
        <v>4</v>
      </c>
    </row>
    <row r="120" spans="1:15">
      <c r="A120" s="215" t="s">
        <v>871</v>
      </c>
      <c r="B120" s="216">
        <v>456</v>
      </c>
      <c r="C120" s="217" t="s">
        <v>872</v>
      </c>
      <c r="D120" s="217" t="s">
        <v>873</v>
      </c>
      <c r="E120" s="1177">
        <v>139470</v>
      </c>
      <c r="F120" s="319" t="str">
        <f t="shared" si="25"/>
        <v>Traditional OOR</v>
      </c>
      <c r="G120" s="319">
        <f t="shared" si="17"/>
        <v>139470</v>
      </c>
      <c r="H120" s="219">
        <v>0</v>
      </c>
      <c r="I120" s="219">
        <f t="shared" si="18"/>
        <v>139470</v>
      </c>
      <c r="J120" s="319">
        <f t="shared" si="19"/>
        <v>0</v>
      </c>
      <c r="K120" s="319"/>
      <c r="L120" s="325"/>
      <c r="M120" s="220">
        <f t="shared" si="21"/>
        <v>0</v>
      </c>
      <c r="N120" s="319">
        <f t="shared" si="20"/>
        <v>0</v>
      </c>
      <c r="O120" s="223">
        <v>4</v>
      </c>
    </row>
    <row r="121" spans="1:15">
      <c r="A121" s="215" t="s">
        <v>874</v>
      </c>
      <c r="B121" s="216">
        <v>456</v>
      </c>
      <c r="C121" s="217" t="s">
        <v>875</v>
      </c>
      <c r="D121" s="217" t="s">
        <v>876</v>
      </c>
      <c r="E121" s="1177"/>
      <c r="F121" s="319" t="str">
        <f t="shared" si="25"/>
        <v>Traditional OOR</v>
      </c>
      <c r="G121" s="319">
        <f t="shared" si="17"/>
        <v>0</v>
      </c>
      <c r="H121" s="219">
        <v>0</v>
      </c>
      <c r="I121" s="219">
        <f t="shared" si="18"/>
        <v>0</v>
      </c>
      <c r="J121" s="319">
        <f t="shared" si="19"/>
        <v>0</v>
      </c>
      <c r="K121" s="319"/>
      <c r="L121" s="325"/>
      <c r="M121" s="220">
        <f t="shared" si="21"/>
        <v>0</v>
      </c>
      <c r="N121" s="319">
        <f t="shared" si="20"/>
        <v>0</v>
      </c>
      <c r="O121" s="223">
        <v>4</v>
      </c>
    </row>
    <row r="122" spans="1:15">
      <c r="A122" s="215" t="s">
        <v>877</v>
      </c>
      <c r="B122" s="216">
        <v>456</v>
      </c>
      <c r="C122" s="217" t="s">
        <v>878</v>
      </c>
      <c r="D122" s="217" t="s">
        <v>879</v>
      </c>
      <c r="E122" s="1177"/>
      <c r="F122" s="319" t="str">
        <f t="shared" si="25"/>
        <v>Traditional OOR</v>
      </c>
      <c r="G122" s="319">
        <f t="shared" si="17"/>
        <v>0</v>
      </c>
      <c r="H122" s="219">
        <v>0</v>
      </c>
      <c r="I122" s="219">
        <f t="shared" si="18"/>
        <v>0</v>
      </c>
      <c r="J122" s="319">
        <f t="shared" si="19"/>
        <v>0</v>
      </c>
      <c r="K122" s="319"/>
      <c r="L122" s="325"/>
      <c r="M122" s="220">
        <f t="shared" si="21"/>
        <v>0</v>
      </c>
      <c r="N122" s="319">
        <f t="shared" si="20"/>
        <v>0</v>
      </c>
      <c r="O122" s="223">
        <v>1</v>
      </c>
    </row>
    <row r="123" spans="1:15">
      <c r="A123" s="215" t="s">
        <v>880</v>
      </c>
      <c r="B123" s="216">
        <v>456</v>
      </c>
      <c r="C123" s="217" t="s">
        <v>881</v>
      </c>
      <c r="D123" s="217" t="s">
        <v>882</v>
      </c>
      <c r="E123" s="1177"/>
      <c r="F123" s="319" t="str">
        <f t="shared" si="25"/>
        <v>Traditional OOR</v>
      </c>
      <c r="G123" s="319">
        <f t="shared" si="17"/>
        <v>0</v>
      </c>
      <c r="H123" s="219">
        <v>0</v>
      </c>
      <c r="I123" s="219">
        <f t="shared" si="18"/>
        <v>0</v>
      </c>
      <c r="J123" s="319">
        <f t="shared" si="19"/>
        <v>0</v>
      </c>
      <c r="K123" s="319"/>
      <c r="L123" s="325"/>
      <c r="M123" s="220">
        <f t="shared" si="21"/>
        <v>0</v>
      </c>
      <c r="N123" s="319">
        <f t="shared" si="20"/>
        <v>0</v>
      </c>
      <c r="O123" s="223">
        <v>4</v>
      </c>
    </row>
    <row r="124" spans="1:15">
      <c r="A124" s="215" t="s">
        <v>883</v>
      </c>
      <c r="B124" s="216">
        <v>456</v>
      </c>
      <c r="C124" s="217" t="s">
        <v>884</v>
      </c>
      <c r="D124" s="217" t="s">
        <v>885</v>
      </c>
      <c r="E124" s="1177">
        <v>3322796.92</v>
      </c>
      <c r="F124" s="319" t="str">
        <f t="shared" si="25"/>
        <v>Traditional OOR</v>
      </c>
      <c r="G124" s="319">
        <f t="shared" si="17"/>
        <v>3322796.92</v>
      </c>
      <c r="H124" s="815">
        <v>24627.91</v>
      </c>
      <c r="I124" s="219">
        <f t="shared" si="18"/>
        <v>3298169.01</v>
      </c>
      <c r="J124" s="319">
        <f t="shared" si="19"/>
        <v>0</v>
      </c>
      <c r="K124" s="319"/>
      <c r="L124" s="325"/>
      <c r="M124" s="220">
        <f t="shared" si="21"/>
        <v>0</v>
      </c>
      <c r="N124" s="319">
        <f t="shared" si="20"/>
        <v>0</v>
      </c>
      <c r="O124" s="218">
        <v>8</v>
      </c>
    </row>
    <row r="125" spans="1:15">
      <c r="A125" s="215" t="s">
        <v>886</v>
      </c>
      <c r="B125" s="216">
        <v>456</v>
      </c>
      <c r="C125" s="217" t="s">
        <v>887</v>
      </c>
      <c r="D125" s="217" t="s">
        <v>888</v>
      </c>
      <c r="E125" s="1177">
        <v>15018440.6</v>
      </c>
      <c r="F125" s="319" t="str">
        <f t="shared" si="25"/>
        <v>Traditional OOR</v>
      </c>
      <c r="G125" s="319">
        <f t="shared" si="17"/>
        <v>15018440.6</v>
      </c>
      <c r="H125" s="219">
        <v>0</v>
      </c>
      <c r="I125" s="219">
        <f t="shared" si="18"/>
        <v>15018440.6</v>
      </c>
      <c r="J125" s="319">
        <f t="shared" si="19"/>
        <v>0</v>
      </c>
      <c r="K125" s="319"/>
      <c r="L125" s="325"/>
      <c r="M125" s="220">
        <f t="shared" si="21"/>
        <v>0</v>
      </c>
      <c r="N125" s="319">
        <f t="shared" si="20"/>
        <v>0</v>
      </c>
      <c r="O125" s="223">
        <v>4</v>
      </c>
    </row>
    <row r="126" spans="1:15">
      <c r="A126" s="215" t="s">
        <v>889</v>
      </c>
      <c r="B126" s="216">
        <v>456</v>
      </c>
      <c r="C126" s="217" t="s">
        <v>890</v>
      </c>
      <c r="D126" s="217" t="s">
        <v>891</v>
      </c>
      <c r="E126" s="1177">
        <v>2757</v>
      </c>
      <c r="F126" s="319" t="str">
        <f t="shared" si="25"/>
        <v>Traditional OOR</v>
      </c>
      <c r="G126" s="319">
        <f t="shared" si="17"/>
        <v>2757</v>
      </c>
      <c r="H126" s="219">
        <v>0</v>
      </c>
      <c r="I126" s="219">
        <f t="shared" si="18"/>
        <v>2757</v>
      </c>
      <c r="J126" s="319">
        <f t="shared" si="19"/>
        <v>0</v>
      </c>
      <c r="K126" s="319"/>
      <c r="L126" s="325"/>
      <c r="M126" s="220">
        <f t="shared" si="21"/>
        <v>0</v>
      </c>
      <c r="N126" s="319">
        <f t="shared" si="20"/>
        <v>0</v>
      </c>
      <c r="O126" s="223">
        <v>4</v>
      </c>
    </row>
    <row r="127" spans="1:15">
      <c r="A127" s="215" t="s">
        <v>892</v>
      </c>
      <c r="B127" s="216">
        <v>456</v>
      </c>
      <c r="C127" s="217" t="s">
        <v>893</v>
      </c>
      <c r="D127" s="217" t="s">
        <v>894</v>
      </c>
      <c r="E127" s="1177">
        <v>435631.35999999999</v>
      </c>
      <c r="F127" s="319" t="str">
        <f t="shared" si="25"/>
        <v>Traditional OOR</v>
      </c>
      <c r="G127" s="319">
        <f t="shared" si="17"/>
        <v>435631.35999999999</v>
      </c>
      <c r="H127" s="219">
        <v>0</v>
      </c>
      <c r="I127" s="219">
        <f t="shared" si="18"/>
        <v>435631.35999999999</v>
      </c>
      <c r="J127" s="319">
        <f t="shared" si="19"/>
        <v>0</v>
      </c>
      <c r="K127" s="319"/>
      <c r="L127" s="325"/>
      <c r="M127" s="220">
        <f t="shared" si="21"/>
        <v>0</v>
      </c>
      <c r="N127" s="319">
        <f t="shared" si="20"/>
        <v>0</v>
      </c>
      <c r="O127" s="223">
        <v>6</v>
      </c>
    </row>
    <row r="128" spans="1:15">
      <c r="A128" s="1073" t="s">
        <v>1924</v>
      </c>
      <c r="B128" s="216">
        <v>456</v>
      </c>
      <c r="C128" s="217" t="s">
        <v>895</v>
      </c>
      <c r="D128" s="1072" t="s">
        <v>1943</v>
      </c>
      <c r="E128" s="1177"/>
      <c r="F128" s="319" t="str">
        <f>$J$2</f>
        <v>GRSM</v>
      </c>
      <c r="G128" s="319">
        <f t="shared" si="17"/>
        <v>0</v>
      </c>
      <c r="H128" s="219">
        <v>0</v>
      </c>
      <c r="I128" s="219">
        <f t="shared" si="18"/>
        <v>0</v>
      </c>
      <c r="J128" s="319">
        <f t="shared" si="19"/>
        <v>0</v>
      </c>
      <c r="K128" s="357" t="s">
        <v>668</v>
      </c>
      <c r="L128" s="325"/>
      <c r="M128" s="220">
        <f>J128-L128</f>
        <v>0</v>
      </c>
      <c r="N128" s="319">
        <f t="shared" si="20"/>
        <v>0</v>
      </c>
      <c r="O128" s="223">
        <v>2</v>
      </c>
    </row>
    <row r="129" spans="1:15">
      <c r="A129" s="1073" t="s">
        <v>1925</v>
      </c>
      <c r="B129" s="216">
        <v>456</v>
      </c>
      <c r="C129" s="215" t="s">
        <v>1550</v>
      </c>
      <c r="D129" s="217" t="s">
        <v>1549</v>
      </c>
      <c r="E129" s="1180">
        <f>E142-467086886.66</f>
        <v>513.33999997377396</v>
      </c>
      <c r="F129" s="319" t="str">
        <f>$G$2</f>
        <v>Traditional OOR</v>
      </c>
      <c r="G129" s="319">
        <f t="shared" si="17"/>
        <v>513.33999997377396</v>
      </c>
      <c r="H129" s="219">
        <v>0</v>
      </c>
      <c r="I129" s="219">
        <f t="shared" si="18"/>
        <v>513.33999997377396</v>
      </c>
      <c r="J129" s="319">
        <f t="shared" si="19"/>
        <v>0</v>
      </c>
      <c r="K129" s="319"/>
      <c r="L129" s="325"/>
      <c r="M129" s="220">
        <f>J129-L129</f>
        <v>0</v>
      </c>
      <c r="N129" s="319">
        <f t="shared" si="20"/>
        <v>0</v>
      </c>
      <c r="O129" s="223">
        <v>1</v>
      </c>
    </row>
    <row r="130" spans="1:15">
      <c r="A130" s="1073" t="s">
        <v>2543</v>
      </c>
      <c r="B130" s="216">
        <v>456</v>
      </c>
      <c r="C130" s="216">
        <v>4186911</v>
      </c>
      <c r="D130" s="234" t="s">
        <v>2541</v>
      </c>
      <c r="E130" s="1177">
        <v>4866854.92</v>
      </c>
      <c r="F130" s="319" t="s">
        <v>626</v>
      </c>
      <c r="G130" s="319">
        <f t="shared" si="17"/>
        <v>0</v>
      </c>
      <c r="H130" s="219">
        <v>0</v>
      </c>
      <c r="I130" s="219">
        <f t="shared" si="18"/>
        <v>0</v>
      </c>
      <c r="J130" s="319">
        <f t="shared" si="19"/>
        <v>0</v>
      </c>
      <c r="K130" s="319"/>
      <c r="L130" s="325"/>
      <c r="M130" s="219">
        <f t="shared" ref="M130:M138" si="26">J130-L130</f>
        <v>0</v>
      </c>
      <c r="N130" s="319">
        <f t="shared" si="20"/>
        <v>4866854.92</v>
      </c>
      <c r="O130" s="218">
        <v>6</v>
      </c>
    </row>
    <row r="131" spans="1:15">
      <c r="A131" s="1073" t="s">
        <v>2544</v>
      </c>
      <c r="B131" s="216">
        <v>456</v>
      </c>
      <c r="C131" s="216">
        <v>4186925</v>
      </c>
      <c r="D131" s="234" t="s">
        <v>2542</v>
      </c>
      <c r="E131" s="1177">
        <v>384894151.81</v>
      </c>
      <c r="F131" s="319" t="s">
        <v>626</v>
      </c>
      <c r="G131" s="319">
        <f t="shared" si="17"/>
        <v>0</v>
      </c>
      <c r="H131" s="219">
        <v>0</v>
      </c>
      <c r="I131" s="219">
        <f t="shared" si="18"/>
        <v>0</v>
      </c>
      <c r="J131" s="319">
        <f t="shared" si="19"/>
        <v>0</v>
      </c>
      <c r="K131" s="319"/>
      <c r="L131" s="325"/>
      <c r="M131" s="219">
        <f t="shared" si="26"/>
        <v>0</v>
      </c>
      <c r="N131" s="319">
        <f t="shared" si="20"/>
        <v>384894151.81</v>
      </c>
      <c r="O131" s="218">
        <v>6</v>
      </c>
    </row>
    <row r="132" spans="1:15">
      <c r="A132" s="1073" t="s">
        <v>2877</v>
      </c>
      <c r="B132" s="216">
        <v>456</v>
      </c>
      <c r="C132" s="216">
        <v>4186132</v>
      </c>
      <c r="D132" s="234" t="s">
        <v>2882</v>
      </c>
      <c r="E132" s="323">
        <v>1589444.76</v>
      </c>
      <c r="F132" s="622" t="s">
        <v>624</v>
      </c>
      <c r="G132" s="319">
        <f t="shared" si="17"/>
        <v>1589444.76</v>
      </c>
      <c r="H132" s="219">
        <v>0</v>
      </c>
      <c r="I132" s="219">
        <f t="shared" si="18"/>
        <v>1589444.76</v>
      </c>
      <c r="J132" s="319">
        <f t="shared" si="19"/>
        <v>0</v>
      </c>
      <c r="K132" s="319"/>
      <c r="L132" s="325"/>
      <c r="M132" s="219">
        <f t="shared" si="26"/>
        <v>0</v>
      </c>
      <c r="N132" s="319">
        <f t="shared" si="20"/>
        <v>0</v>
      </c>
      <c r="O132" s="218">
        <v>4</v>
      </c>
    </row>
    <row r="133" spans="1:15" s="1158" customFormat="1">
      <c r="A133" s="1073" t="s">
        <v>2878</v>
      </c>
      <c r="B133" s="216">
        <v>456</v>
      </c>
      <c r="C133" s="216">
        <v>4186116</v>
      </c>
      <c r="D133" s="234" t="s">
        <v>2883</v>
      </c>
      <c r="E133" s="323"/>
      <c r="F133" s="622" t="s">
        <v>624</v>
      </c>
      <c r="G133" s="319">
        <f t="shared" si="17"/>
        <v>0</v>
      </c>
      <c r="H133" s="219">
        <v>0</v>
      </c>
      <c r="I133" s="219">
        <f t="shared" si="18"/>
        <v>0</v>
      </c>
      <c r="J133" s="319">
        <f t="shared" si="19"/>
        <v>0</v>
      </c>
      <c r="K133" s="319"/>
      <c r="L133" s="325"/>
      <c r="M133" s="219">
        <f t="shared" si="26"/>
        <v>0</v>
      </c>
      <c r="N133" s="319">
        <f t="shared" si="20"/>
        <v>0</v>
      </c>
      <c r="O133" s="218">
        <v>4</v>
      </c>
    </row>
    <row r="134" spans="1:15" s="1158" customFormat="1">
      <c r="A134" s="1073" t="s">
        <v>2879</v>
      </c>
      <c r="B134" s="216">
        <v>456</v>
      </c>
      <c r="C134" s="216">
        <v>4186115</v>
      </c>
      <c r="D134" s="14" t="s">
        <v>2884</v>
      </c>
      <c r="E134" s="323">
        <v>95176.73</v>
      </c>
      <c r="F134" s="622" t="s">
        <v>624</v>
      </c>
      <c r="G134" s="319">
        <f t="shared" si="17"/>
        <v>95176.73</v>
      </c>
      <c r="H134" s="219">
        <v>0</v>
      </c>
      <c r="I134" s="219">
        <f t="shared" si="18"/>
        <v>95176.73</v>
      </c>
      <c r="J134" s="319">
        <f t="shared" si="19"/>
        <v>0</v>
      </c>
      <c r="K134" s="319"/>
      <c r="L134" s="325"/>
      <c r="M134" s="219">
        <f t="shared" si="26"/>
        <v>0</v>
      </c>
      <c r="N134" s="319">
        <f t="shared" si="20"/>
        <v>0</v>
      </c>
      <c r="O134" s="218">
        <v>4</v>
      </c>
    </row>
    <row r="135" spans="1:15" s="1158" customFormat="1">
      <c r="A135" s="1073" t="s">
        <v>2880</v>
      </c>
      <c r="B135" s="216">
        <v>456</v>
      </c>
      <c r="C135" s="216">
        <v>4186156</v>
      </c>
      <c r="D135" s="234" t="s">
        <v>2885</v>
      </c>
      <c r="E135" s="323">
        <v>131684.79999999999</v>
      </c>
      <c r="F135" s="622" t="s">
        <v>626</v>
      </c>
      <c r="G135" s="319">
        <f>H135+I135</f>
        <v>7794.423311999999</v>
      </c>
      <c r="H135" s="219">
        <f>E135*$D$254</f>
        <v>7794.423311999999</v>
      </c>
      <c r="I135" s="219">
        <v>0</v>
      </c>
      <c r="J135" s="319">
        <f t="shared" si="19"/>
        <v>0</v>
      </c>
      <c r="K135" s="319"/>
      <c r="L135" s="325"/>
      <c r="M135" s="219">
        <f t="shared" si="26"/>
        <v>0</v>
      </c>
      <c r="N135" s="319">
        <f>IF(F135=$N$2,E135-H135,0)</f>
        <v>123890.37668799999</v>
      </c>
      <c r="O135" s="620" t="s">
        <v>716</v>
      </c>
    </row>
    <row r="136" spans="1:15" s="1158" customFormat="1">
      <c r="A136" s="1073" t="s">
        <v>2881</v>
      </c>
      <c r="B136" s="216">
        <v>456</v>
      </c>
      <c r="C136" s="217" t="s">
        <v>2890</v>
      </c>
      <c r="D136" s="234" t="s">
        <v>2891</v>
      </c>
      <c r="E136" s="323">
        <v>19405750</v>
      </c>
      <c r="F136" s="622" t="s">
        <v>624</v>
      </c>
      <c r="G136" s="319">
        <f t="shared" si="17"/>
        <v>19405750</v>
      </c>
      <c r="H136" s="219">
        <v>0</v>
      </c>
      <c r="I136" s="219">
        <f t="shared" si="18"/>
        <v>19405750</v>
      </c>
      <c r="J136" s="319">
        <f t="shared" si="19"/>
        <v>0</v>
      </c>
      <c r="K136" s="319"/>
      <c r="L136" s="325"/>
      <c r="M136" s="219">
        <f t="shared" si="26"/>
        <v>0</v>
      </c>
      <c r="N136" s="319">
        <f t="shared" si="20"/>
        <v>0</v>
      </c>
      <c r="O136" s="218">
        <v>4</v>
      </c>
    </row>
    <row r="137" spans="1:15" s="1158" customFormat="1">
      <c r="A137" s="1073" t="s">
        <v>2920</v>
      </c>
      <c r="B137" s="216">
        <v>456</v>
      </c>
      <c r="C137" s="217" t="s">
        <v>763</v>
      </c>
      <c r="D137" s="1345" t="s">
        <v>2921</v>
      </c>
      <c r="E137" s="323">
        <v>5000</v>
      </c>
      <c r="F137" s="622" t="s">
        <v>624</v>
      </c>
      <c r="G137" s="319">
        <f>IF(F137=$G$2,E137,0)</f>
        <v>5000</v>
      </c>
      <c r="H137" s="219">
        <f>G137</f>
        <v>5000</v>
      </c>
      <c r="I137" s="219">
        <f>G137-H137</f>
        <v>0</v>
      </c>
      <c r="J137" s="319">
        <f t="shared" si="19"/>
        <v>0</v>
      </c>
      <c r="K137" s="319"/>
      <c r="L137" s="325"/>
      <c r="M137" s="219">
        <f t="shared" si="26"/>
        <v>0</v>
      </c>
      <c r="N137" s="319">
        <f t="shared" si="20"/>
        <v>0</v>
      </c>
      <c r="O137" s="218">
        <v>5</v>
      </c>
    </row>
    <row r="138" spans="1:15" s="1158" customFormat="1">
      <c r="A138" s="1305" t="s">
        <v>3039</v>
      </c>
      <c r="B138" s="1375">
        <v>456</v>
      </c>
      <c r="C138" s="1375">
        <v>4186732</v>
      </c>
      <c r="D138" s="1307" t="s">
        <v>3038</v>
      </c>
      <c r="E138" s="1180">
        <v>12000</v>
      </c>
      <c r="F138" s="1180" t="s">
        <v>625</v>
      </c>
      <c r="G138" s="1180">
        <f>IF(F138=$G$2,E138,0)</f>
        <v>0</v>
      </c>
      <c r="H138" s="815">
        <v>0</v>
      </c>
      <c r="I138" s="815">
        <f t="shared" ref="I138" si="27">G138-H138</f>
        <v>0</v>
      </c>
      <c r="J138" s="1180">
        <f t="shared" si="19"/>
        <v>12000</v>
      </c>
      <c r="K138" s="1180" t="s">
        <v>668</v>
      </c>
      <c r="L138" s="815">
        <v>0</v>
      </c>
      <c r="M138" s="815">
        <f t="shared" si="26"/>
        <v>12000</v>
      </c>
      <c r="N138" s="1180">
        <f>IF(F138=$N$2,E138,0)</f>
        <v>0</v>
      </c>
      <c r="O138" s="1376">
        <v>2</v>
      </c>
    </row>
    <row r="139" spans="1:15" s="1158" customFormat="1">
      <c r="A139" s="1305"/>
      <c r="B139" s="348"/>
      <c r="C139" s="347"/>
      <c r="D139" s="1307"/>
      <c r="E139" s="323"/>
      <c r="F139" s="1308"/>
      <c r="G139" s="323"/>
      <c r="H139" s="325"/>
      <c r="I139" s="325"/>
      <c r="J139" s="323"/>
      <c r="K139" s="323"/>
      <c r="L139" s="325"/>
      <c r="M139" s="325"/>
      <c r="N139" s="323"/>
      <c r="O139" s="324"/>
    </row>
    <row r="140" spans="1:15">
      <c r="A140" s="352"/>
      <c r="B140" s="348"/>
      <c r="C140" s="347"/>
      <c r="D140" s="349"/>
      <c r="E140" s="323"/>
      <c r="F140" s="323"/>
      <c r="G140" s="327"/>
      <c r="H140" s="325"/>
      <c r="I140" s="325"/>
      <c r="J140" s="323"/>
      <c r="K140" s="323"/>
      <c r="L140" s="325"/>
      <c r="M140" s="325"/>
      <c r="N140" s="323"/>
      <c r="O140" s="324"/>
    </row>
    <row r="141" spans="1:15">
      <c r="A141" s="215">
        <v>13</v>
      </c>
      <c r="B141" s="1419" t="s">
        <v>896</v>
      </c>
      <c r="C141" s="1420"/>
      <c r="D141" s="1421"/>
      <c r="E141" s="332">
        <f>SUM(E76:E140)</f>
        <v>467087400.00000006</v>
      </c>
      <c r="F141" s="341"/>
      <c r="G141" s="332">
        <f>SUM(G76:G140)</f>
        <v>74953617.423467577</v>
      </c>
      <c r="H141" s="332">
        <f>SUM(H76:H140)</f>
        <v>37896.163467599996</v>
      </c>
      <c r="I141" s="332">
        <f>SUM(I76:I140)</f>
        <v>74915721.259999961</v>
      </c>
      <c r="J141" s="332">
        <f>SUM(J76:J140)</f>
        <v>2241610.8200000003</v>
      </c>
      <c r="K141" s="341"/>
      <c r="L141" s="332">
        <f>SUM(L76:L140)</f>
        <v>376766.74858192104</v>
      </c>
      <c r="M141" s="332">
        <f>SUM(M76:M140)</f>
        <v>1864844.0714180793</v>
      </c>
      <c r="N141" s="332">
        <f>SUM(N76:N140)</f>
        <v>389892171.75653243</v>
      </c>
      <c r="O141" s="209"/>
    </row>
    <row r="142" spans="1:15" ht="25.5" customHeight="1">
      <c r="A142" s="221">
        <v>14</v>
      </c>
      <c r="B142" s="1411" t="s">
        <v>1364</v>
      </c>
      <c r="C142" s="1412"/>
      <c r="D142" s="1413"/>
      <c r="E142" s="1343">
        <v>467087400</v>
      </c>
      <c r="F142" s="331"/>
      <c r="G142" s="346"/>
      <c r="H142" s="331"/>
      <c r="I142" s="331"/>
      <c r="J142" s="346"/>
      <c r="K142" s="331"/>
      <c r="L142" s="317"/>
      <c r="M142" s="317"/>
      <c r="N142" s="317"/>
      <c r="O142" s="207"/>
    </row>
    <row r="143" spans="1:15">
      <c r="A143" s="224"/>
      <c r="B143" s="225"/>
      <c r="C143" s="226"/>
      <c r="D143" s="227"/>
      <c r="E143" s="317"/>
      <c r="F143" s="317"/>
      <c r="G143" s="317"/>
      <c r="H143" s="331"/>
      <c r="I143" s="331"/>
      <c r="J143" s="317"/>
      <c r="K143" s="331"/>
      <c r="L143" s="317"/>
      <c r="M143" s="317"/>
      <c r="N143" s="317"/>
      <c r="O143" s="207"/>
    </row>
    <row r="144" spans="1:15">
      <c r="A144" s="221" t="s">
        <v>897</v>
      </c>
      <c r="B144" s="216">
        <v>456.1</v>
      </c>
      <c r="C144" s="217" t="s">
        <v>898</v>
      </c>
      <c r="D144" s="217" t="s">
        <v>899</v>
      </c>
      <c r="E144" s="1181"/>
      <c r="F144" s="319" t="str">
        <f>$G$2</f>
        <v>Traditional OOR</v>
      </c>
      <c r="G144" s="319">
        <f t="shared" ref="G144:G165" si="28">IF(F144=$G$2,E144,0)</f>
        <v>0</v>
      </c>
      <c r="H144" s="219">
        <f>G144</f>
        <v>0</v>
      </c>
      <c r="I144" s="219">
        <f t="shared" ref="I144:I162" si="29">G144-H144</f>
        <v>0</v>
      </c>
      <c r="J144" s="319">
        <f t="shared" ref="J144:J162" si="30">IF(F144=$J$2,E144,0)</f>
        <v>0</v>
      </c>
      <c r="K144" s="357"/>
      <c r="L144" s="325"/>
      <c r="M144" s="220">
        <f t="shared" ref="M144:M162" si="31">J144-L144</f>
        <v>0</v>
      </c>
      <c r="N144" s="319">
        <f t="shared" ref="N144:N161" si="32">IF(F144=$N$2,E144,0)</f>
        <v>0</v>
      </c>
      <c r="O144" s="223">
        <v>5</v>
      </c>
    </row>
    <row r="145" spans="1:15">
      <c r="A145" s="221" t="s">
        <v>900</v>
      </c>
      <c r="B145" s="216">
        <v>456.1</v>
      </c>
      <c r="C145" s="217" t="s">
        <v>901</v>
      </c>
      <c r="D145" s="217" t="s">
        <v>902</v>
      </c>
      <c r="E145" s="1181">
        <v>296028</v>
      </c>
      <c r="F145" s="319" t="str">
        <f>$G$2</f>
        <v>Traditional OOR</v>
      </c>
      <c r="G145" s="319">
        <f t="shared" si="28"/>
        <v>296028</v>
      </c>
      <c r="H145" s="219">
        <v>0</v>
      </c>
      <c r="I145" s="219">
        <f t="shared" si="29"/>
        <v>296028</v>
      </c>
      <c r="J145" s="319">
        <f t="shared" si="30"/>
        <v>0</v>
      </c>
      <c r="K145" s="357"/>
      <c r="L145" s="325"/>
      <c r="M145" s="220">
        <f t="shared" si="31"/>
        <v>0</v>
      </c>
      <c r="N145" s="319">
        <f t="shared" si="32"/>
        <v>0</v>
      </c>
      <c r="O145" s="223">
        <v>4</v>
      </c>
    </row>
    <row r="146" spans="1:15">
      <c r="A146" s="221" t="s">
        <v>903</v>
      </c>
      <c r="B146" s="216">
        <v>456.1</v>
      </c>
      <c r="C146" s="217" t="s">
        <v>904</v>
      </c>
      <c r="D146" s="217" t="s">
        <v>905</v>
      </c>
      <c r="E146" s="1181">
        <v>930162.96</v>
      </c>
      <c r="F146" s="319" t="str">
        <f>$G$2</f>
        <v>Traditional OOR</v>
      </c>
      <c r="G146" s="319">
        <f t="shared" si="28"/>
        <v>930162.96</v>
      </c>
      <c r="H146" s="219">
        <v>0</v>
      </c>
      <c r="I146" s="219">
        <f t="shared" si="29"/>
        <v>930162.96</v>
      </c>
      <c r="J146" s="319">
        <f t="shared" si="30"/>
        <v>0</v>
      </c>
      <c r="K146" s="357"/>
      <c r="L146" s="325"/>
      <c r="M146" s="220">
        <f t="shared" si="31"/>
        <v>0</v>
      </c>
      <c r="N146" s="319">
        <f t="shared" si="32"/>
        <v>0</v>
      </c>
      <c r="O146" s="223">
        <v>4</v>
      </c>
    </row>
    <row r="147" spans="1:15">
      <c r="A147" s="221" t="s">
        <v>906</v>
      </c>
      <c r="B147" s="216">
        <v>456.1</v>
      </c>
      <c r="C147" s="217" t="s">
        <v>907</v>
      </c>
      <c r="D147" s="217" t="s">
        <v>908</v>
      </c>
      <c r="E147" s="1181">
        <v>151885.32999999999</v>
      </c>
      <c r="F147" s="319" t="str">
        <f>$N$2</f>
        <v>Other Ratemaking</v>
      </c>
      <c r="G147" s="319">
        <f t="shared" si="28"/>
        <v>0</v>
      </c>
      <c r="H147" s="219">
        <v>0</v>
      </c>
      <c r="I147" s="219">
        <f t="shared" si="29"/>
        <v>0</v>
      </c>
      <c r="J147" s="319">
        <f t="shared" si="30"/>
        <v>0</v>
      </c>
      <c r="K147" s="357"/>
      <c r="L147" s="325"/>
      <c r="M147" s="220">
        <f t="shared" si="31"/>
        <v>0</v>
      </c>
      <c r="N147" s="319">
        <f t="shared" si="32"/>
        <v>151885.32999999999</v>
      </c>
      <c r="O147" s="223">
        <v>6</v>
      </c>
    </row>
    <row r="148" spans="1:15">
      <c r="A148" s="221" t="s">
        <v>909</v>
      </c>
      <c r="B148" s="216">
        <v>456.1</v>
      </c>
      <c r="C148" s="217" t="s">
        <v>910</v>
      </c>
      <c r="D148" s="217" t="s">
        <v>911</v>
      </c>
      <c r="E148" s="1181">
        <v>74458174.980000004</v>
      </c>
      <c r="F148" s="319" t="str">
        <f>$N$2</f>
        <v>Other Ratemaking</v>
      </c>
      <c r="G148" s="319">
        <f t="shared" si="28"/>
        <v>0</v>
      </c>
      <c r="H148" s="219">
        <v>0</v>
      </c>
      <c r="I148" s="219">
        <f t="shared" si="29"/>
        <v>0</v>
      </c>
      <c r="J148" s="319">
        <f t="shared" si="30"/>
        <v>0</v>
      </c>
      <c r="K148" s="357"/>
      <c r="L148" s="325"/>
      <c r="M148" s="220">
        <f t="shared" si="31"/>
        <v>0</v>
      </c>
      <c r="N148" s="319">
        <f t="shared" si="32"/>
        <v>74458174.980000004</v>
      </c>
      <c r="O148" s="223">
        <v>6</v>
      </c>
    </row>
    <row r="149" spans="1:15">
      <c r="A149" s="221" t="s">
        <v>912</v>
      </c>
      <c r="B149" s="216">
        <v>456.1</v>
      </c>
      <c r="C149" s="217" t="s">
        <v>913</v>
      </c>
      <c r="D149" s="217" t="s">
        <v>914</v>
      </c>
      <c r="E149" s="1181"/>
      <c r="F149" s="319" t="str">
        <f>$N$2</f>
        <v>Other Ratemaking</v>
      </c>
      <c r="G149" s="319">
        <f t="shared" si="28"/>
        <v>0</v>
      </c>
      <c r="H149" s="219">
        <v>0</v>
      </c>
      <c r="I149" s="219">
        <f t="shared" si="29"/>
        <v>0</v>
      </c>
      <c r="J149" s="319">
        <f t="shared" si="30"/>
        <v>0</v>
      </c>
      <c r="K149" s="357"/>
      <c r="L149" s="325"/>
      <c r="M149" s="220">
        <f t="shared" si="31"/>
        <v>0</v>
      </c>
      <c r="N149" s="319">
        <f t="shared" si="32"/>
        <v>0</v>
      </c>
      <c r="O149" s="223">
        <v>6</v>
      </c>
    </row>
    <row r="150" spans="1:15">
      <c r="A150" s="221" t="s">
        <v>915</v>
      </c>
      <c r="B150" s="216">
        <v>456.1</v>
      </c>
      <c r="C150" s="217" t="s">
        <v>916</v>
      </c>
      <c r="D150" s="217" t="s">
        <v>917</v>
      </c>
      <c r="E150" s="1181">
        <v>46329300.560000002</v>
      </c>
      <c r="F150" s="319" t="str">
        <f>$G$2</f>
        <v>Traditional OOR</v>
      </c>
      <c r="G150" s="319">
        <f t="shared" si="28"/>
        <v>46329300.560000002</v>
      </c>
      <c r="H150" s="219">
        <f>G150</f>
        <v>46329300.560000002</v>
      </c>
      <c r="I150" s="219">
        <f t="shared" si="29"/>
        <v>0</v>
      </c>
      <c r="J150" s="319">
        <f t="shared" si="30"/>
        <v>0</v>
      </c>
      <c r="K150" s="357"/>
      <c r="L150" s="325"/>
      <c r="M150" s="220">
        <f t="shared" si="31"/>
        <v>0</v>
      </c>
      <c r="N150" s="319">
        <f t="shared" si="32"/>
        <v>0</v>
      </c>
      <c r="O150" s="223">
        <v>5</v>
      </c>
    </row>
    <row r="151" spans="1:15">
      <c r="A151" s="221" t="s">
        <v>918</v>
      </c>
      <c r="B151" s="216">
        <v>456.1</v>
      </c>
      <c r="C151" s="217" t="s">
        <v>919</v>
      </c>
      <c r="D151" s="217" t="s">
        <v>920</v>
      </c>
      <c r="E151" s="1181">
        <v>5560312.75</v>
      </c>
      <c r="F151" s="319" t="str">
        <f>$G$2</f>
        <v>Traditional OOR</v>
      </c>
      <c r="G151" s="319">
        <f t="shared" si="28"/>
        <v>5560312.75</v>
      </c>
      <c r="H151" s="219">
        <v>0</v>
      </c>
      <c r="I151" s="219">
        <f t="shared" si="29"/>
        <v>5560312.75</v>
      </c>
      <c r="J151" s="319">
        <f t="shared" si="30"/>
        <v>0</v>
      </c>
      <c r="K151" s="357"/>
      <c r="L151" s="325"/>
      <c r="M151" s="220">
        <f t="shared" si="31"/>
        <v>0</v>
      </c>
      <c r="N151" s="319">
        <f t="shared" si="32"/>
        <v>0</v>
      </c>
      <c r="O151" s="223">
        <v>4</v>
      </c>
    </row>
    <row r="152" spans="1:15">
      <c r="A152" s="221" t="s">
        <v>921</v>
      </c>
      <c r="B152" s="216">
        <v>456.1</v>
      </c>
      <c r="C152" s="217" t="s">
        <v>922</v>
      </c>
      <c r="D152" s="217" t="s">
        <v>923</v>
      </c>
      <c r="E152" s="1181">
        <v>-574575</v>
      </c>
      <c r="F152" s="319" t="str">
        <f>$G$2</f>
        <v>Traditional OOR</v>
      </c>
      <c r="G152" s="319">
        <f t="shared" si="28"/>
        <v>-574575</v>
      </c>
      <c r="H152" s="219">
        <v>0</v>
      </c>
      <c r="I152" s="219">
        <f t="shared" si="29"/>
        <v>-574575</v>
      </c>
      <c r="J152" s="319">
        <f t="shared" si="30"/>
        <v>0</v>
      </c>
      <c r="K152" s="357"/>
      <c r="L152" s="325"/>
      <c r="M152" s="220">
        <f t="shared" si="31"/>
        <v>0</v>
      </c>
      <c r="N152" s="319">
        <f t="shared" si="32"/>
        <v>0</v>
      </c>
      <c r="O152" s="223">
        <v>4</v>
      </c>
    </row>
    <row r="153" spans="1:15">
      <c r="A153" s="221" t="s">
        <v>924</v>
      </c>
      <c r="B153" s="216">
        <v>456.1</v>
      </c>
      <c r="C153" s="217" t="s">
        <v>925</v>
      </c>
      <c r="D153" s="217" t="s">
        <v>926</v>
      </c>
      <c r="E153" s="1181"/>
      <c r="F153" s="319" t="str">
        <f>$N$2</f>
        <v>Other Ratemaking</v>
      </c>
      <c r="G153" s="319">
        <f t="shared" si="28"/>
        <v>0</v>
      </c>
      <c r="H153" s="219">
        <v>0</v>
      </c>
      <c r="I153" s="219">
        <f t="shared" si="29"/>
        <v>0</v>
      </c>
      <c r="J153" s="319">
        <f t="shared" si="30"/>
        <v>0</v>
      </c>
      <c r="K153" s="357"/>
      <c r="L153" s="325"/>
      <c r="M153" s="220">
        <f t="shared" si="31"/>
        <v>0</v>
      </c>
      <c r="N153" s="319">
        <f t="shared" si="32"/>
        <v>0</v>
      </c>
      <c r="O153" s="223">
        <v>6</v>
      </c>
    </row>
    <row r="154" spans="1:15">
      <c r="A154" s="221" t="s">
        <v>927</v>
      </c>
      <c r="B154" s="216">
        <v>456.1</v>
      </c>
      <c r="C154" s="217" t="s">
        <v>928</v>
      </c>
      <c r="D154" s="217" t="s">
        <v>929</v>
      </c>
      <c r="E154" s="1181">
        <v>1080948.48</v>
      </c>
      <c r="F154" s="319" t="str">
        <f t="shared" ref="F154:F161" si="33">$G$2</f>
        <v>Traditional OOR</v>
      </c>
      <c r="G154" s="319">
        <f t="shared" si="28"/>
        <v>1080948.48</v>
      </c>
      <c r="H154" s="219">
        <v>0</v>
      </c>
      <c r="I154" s="219">
        <f t="shared" si="29"/>
        <v>1080948.48</v>
      </c>
      <c r="J154" s="319">
        <f t="shared" si="30"/>
        <v>0</v>
      </c>
      <c r="K154" s="357"/>
      <c r="L154" s="325"/>
      <c r="M154" s="220">
        <f t="shared" si="31"/>
        <v>0</v>
      </c>
      <c r="N154" s="319">
        <f t="shared" si="32"/>
        <v>0</v>
      </c>
      <c r="O154" s="223">
        <v>4</v>
      </c>
    </row>
    <row r="155" spans="1:15">
      <c r="A155" s="221" t="s">
        <v>930</v>
      </c>
      <c r="B155" s="216">
        <v>456.1</v>
      </c>
      <c r="C155" s="217" t="s">
        <v>931</v>
      </c>
      <c r="D155" s="217" t="s">
        <v>932</v>
      </c>
      <c r="E155" s="1181">
        <v>402147.6</v>
      </c>
      <c r="F155" s="319" t="str">
        <f t="shared" si="33"/>
        <v>Traditional OOR</v>
      </c>
      <c r="G155" s="319">
        <f t="shared" si="28"/>
        <v>402147.6</v>
      </c>
      <c r="H155" s="219">
        <v>0</v>
      </c>
      <c r="I155" s="219">
        <f t="shared" si="29"/>
        <v>402147.6</v>
      </c>
      <c r="J155" s="319">
        <f t="shared" si="30"/>
        <v>0</v>
      </c>
      <c r="K155" s="357"/>
      <c r="L155" s="325"/>
      <c r="M155" s="220">
        <f t="shared" si="31"/>
        <v>0</v>
      </c>
      <c r="N155" s="319">
        <f t="shared" si="32"/>
        <v>0</v>
      </c>
      <c r="O155" s="223">
        <v>4</v>
      </c>
    </row>
    <row r="156" spans="1:15">
      <c r="A156" s="221" t="s">
        <v>933</v>
      </c>
      <c r="B156" s="216">
        <v>456.1</v>
      </c>
      <c r="C156" s="217" t="s">
        <v>934</v>
      </c>
      <c r="D156" s="217" t="s">
        <v>935</v>
      </c>
      <c r="E156" s="1181">
        <v>209706</v>
      </c>
      <c r="F156" s="319" t="str">
        <f t="shared" si="33"/>
        <v>Traditional OOR</v>
      </c>
      <c r="G156" s="319">
        <f t="shared" si="28"/>
        <v>209706</v>
      </c>
      <c r="H156" s="219">
        <v>0</v>
      </c>
      <c r="I156" s="219">
        <f t="shared" si="29"/>
        <v>209706</v>
      </c>
      <c r="J156" s="319">
        <f t="shared" si="30"/>
        <v>0</v>
      </c>
      <c r="K156" s="357"/>
      <c r="L156" s="325"/>
      <c r="M156" s="220">
        <f t="shared" si="31"/>
        <v>0</v>
      </c>
      <c r="N156" s="319">
        <f t="shared" si="32"/>
        <v>0</v>
      </c>
      <c r="O156" s="223">
        <v>4</v>
      </c>
    </row>
    <row r="157" spans="1:15">
      <c r="A157" s="221" t="s">
        <v>936</v>
      </c>
      <c r="B157" s="216">
        <v>456.1</v>
      </c>
      <c r="C157" s="217" t="s">
        <v>937</v>
      </c>
      <c r="D157" s="217" t="s">
        <v>938</v>
      </c>
      <c r="E157" s="1181">
        <v>89265.32</v>
      </c>
      <c r="F157" s="319" t="str">
        <f t="shared" si="33"/>
        <v>Traditional OOR</v>
      </c>
      <c r="G157" s="319">
        <f t="shared" si="28"/>
        <v>89265.32</v>
      </c>
      <c r="H157" s="219">
        <v>0</v>
      </c>
      <c r="I157" s="219">
        <f t="shared" si="29"/>
        <v>89265.32</v>
      </c>
      <c r="J157" s="319">
        <f t="shared" si="30"/>
        <v>0</v>
      </c>
      <c r="K157" s="357"/>
      <c r="L157" s="325"/>
      <c r="M157" s="220">
        <f t="shared" si="31"/>
        <v>0</v>
      </c>
      <c r="N157" s="319">
        <f t="shared" si="32"/>
        <v>0</v>
      </c>
      <c r="O157" s="223">
        <v>4</v>
      </c>
    </row>
    <row r="158" spans="1:15">
      <c r="A158" s="221" t="s">
        <v>939</v>
      </c>
      <c r="B158" s="216">
        <v>456.1</v>
      </c>
      <c r="C158" s="217" t="s">
        <v>940</v>
      </c>
      <c r="D158" s="217" t="s">
        <v>941</v>
      </c>
      <c r="E158" s="1181">
        <v>651331.07999999996</v>
      </c>
      <c r="F158" s="319" t="str">
        <f t="shared" si="33"/>
        <v>Traditional OOR</v>
      </c>
      <c r="G158" s="319">
        <f t="shared" si="28"/>
        <v>651331.07999999996</v>
      </c>
      <c r="H158" s="219">
        <v>0</v>
      </c>
      <c r="I158" s="219">
        <f t="shared" si="29"/>
        <v>651331.07999999996</v>
      </c>
      <c r="J158" s="319">
        <f t="shared" si="30"/>
        <v>0</v>
      </c>
      <c r="K158" s="357"/>
      <c r="L158" s="325"/>
      <c r="M158" s="220">
        <f t="shared" si="31"/>
        <v>0</v>
      </c>
      <c r="N158" s="319">
        <f t="shared" si="32"/>
        <v>0</v>
      </c>
      <c r="O158" s="223">
        <v>4</v>
      </c>
    </row>
    <row r="159" spans="1:15">
      <c r="A159" s="221" t="s">
        <v>942</v>
      </c>
      <c r="B159" s="216">
        <v>456.1</v>
      </c>
      <c r="C159" s="217" t="s">
        <v>943</v>
      </c>
      <c r="D159" s="217" t="s">
        <v>944</v>
      </c>
      <c r="E159" s="1181">
        <v>264133.44</v>
      </c>
      <c r="F159" s="319" t="str">
        <f t="shared" si="33"/>
        <v>Traditional OOR</v>
      </c>
      <c r="G159" s="319">
        <f t="shared" si="28"/>
        <v>264133.44</v>
      </c>
      <c r="H159" s="219">
        <v>0</v>
      </c>
      <c r="I159" s="219">
        <f t="shared" si="29"/>
        <v>264133.44</v>
      </c>
      <c r="J159" s="319">
        <f t="shared" si="30"/>
        <v>0</v>
      </c>
      <c r="K159" s="357"/>
      <c r="L159" s="325"/>
      <c r="M159" s="220">
        <f t="shared" si="31"/>
        <v>0</v>
      </c>
      <c r="N159" s="319">
        <f t="shared" si="32"/>
        <v>0</v>
      </c>
      <c r="O159" s="223">
        <v>4</v>
      </c>
    </row>
    <row r="160" spans="1:15">
      <c r="A160" s="221" t="s">
        <v>945</v>
      </c>
      <c r="B160" s="216">
        <v>456.1</v>
      </c>
      <c r="C160" s="217" t="s">
        <v>946</v>
      </c>
      <c r="D160" s="217" t="s">
        <v>947</v>
      </c>
      <c r="E160" s="1180"/>
      <c r="F160" s="319" t="str">
        <f t="shared" si="33"/>
        <v>Traditional OOR</v>
      </c>
      <c r="G160" s="319">
        <f t="shared" si="28"/>
        <v>0</v>
      </c>
      <c r="H160" s="219">
        <v>0</v>
      </c>
      <c r="I160" s="219">
        <f t="shared" si="29"/>
        <v>0</v>
      </c>
      <c r="J160" s="319">
        <f t="shared" si="30"/>
        <v>0</v>
      </c>
      <c r="K160" s="319"/>
      <c r="L160" s="325"/>
      <c r="M160" s="220">
        <f t="shared" si="31"/>
        <v>0</v>
      </c>
      <c r="N160" s="319">
        <f t="shared" si="32"/>
        <v>0</v>
      </c>
      <c r="O160" s="223">
        <v>4</v>
      </c>
    </row>
    <row r="161" spans="1:15">
      <c r="A161" s="221" t="s">
        <v>948</v>
      </c>
      <c r="B161" s="216">
        <v>456.1</v>
      </c>
      <c r="C161" s="217" t="s">
        <v>949</v>
      </c>
      <c r="D161" s="217" t="s">
        <v>950</v>
      </c>
      <c r="E161" s="1181">
        <v>42492.12</v>
      </c>
      <c r="F161" s="319" t="str">
        <f t="shared" si="33"/>
        <v>Traditional OOR</v>
      </c>
      <c r="G161" s="319">
        <f t="shared" si="28"/>
        <v>42492.12</v>
      </c>
      <c r="H161" s="219">
        <v>0</v>
      </c>
      <c r="I161" s="219">
        <f t="shared" si="29"/>
        <v>42492.12</v>
      </c>
      <c r="J161" s="319">
        <f t="shared" si="30"/>
        <v>0</v>
      </c>
      <c r="K161" s="357"/>
      <c r="L161" s="325"/>
      <c r="M161" s="220">
        <f t="shared" si="31"/>
        <v>0</v>
      </c>
      <c r="N161" s="319">
        <f t="shared" si="32"/>
        <v>0</v>
      </c>
      <c r="O161" s="223">
        <v>4</v>
      </c>
    </row>
    <row r="162" spans="1:15">
      <c r="A162" s="221" t="s">
        <v>951</v>
      </c>
      <c r="B162" s="216">
        <v>456.1</v>
      </c>
      <c r="C162" s="217" t="s">
        <v>952</v>
      </c>
      <c r="D162" s="217" t="s">
        <v>953</v>
      </c>
      <c r="E162" s="1181">
        <v>285798.44</v>
      </c>
      <c r="F162" s="319" t="str">
        <f>$N$2</f>
        <v>Other Ratemaking</v>
      </c>
      <c r="G162" s="319">
        <f t="shared" si="28"/>
        <v>0</v>
      </c>
      <c r="H162" s="219">
        <v>0</v>
      </c>
      <c r="I162" s="219">
        <f t="shared" si="29"/>
        <v>0</v>
      </c>
      <c r="J162" s="319">
        <f t="shared" si="30"/>
        <v>0</v>
      </c>
      <c r="K162" s="357"/>
      <c r="L162" s="325"/>
      <c r="M162" s="220">
        <f t="shared" si="31"/>
        <v>0</v>
      </c>
      <c r="N162" s="319">
        <f>IF(F162=$N$2,E162,0)</f>
        <v>285798.44</v>
      </c>
      <c r="O162" s="223">
        <v>6</v>
      </c>
    </row>
    <row r="163" spans="1:15" s="1158" customFormat="1">
      <c r="A163" s="1073" t="s">
        <v>2893</v>
      </c>
      <c r="B163" s="216">
        <v>456.1</v>
      </c>
      <c r="C163" s="217" t="s">
        <v>2892</v>
      </c>
      <c r="D163" s="1072" t="s">
        <v>2898</v>
      </c>
      <c r="E163" s="1181">
        <v>90532.92</v>
      </c>
      <c r="F163" s="622" t="s">
        <v>624</v>
      </c>
      <c r="G163" s="319">
        <f t="shared" si="28"/>
        <v>90532.92</v>
      </c>
      <c r="H163" s="219">
        <v>0</v>
      </c>
      <c r="I163" s="219">
        <f t="shared" ref="I163:I165" si="34">G163-H163</f>
        <v>90532.92</v>
      </c>
      <c r="J163" s="319">
        <f t="shared" ref="J163:J165" si="35">IF(F163=$J$2,E163,0)</f>
        <v>0</v>
      </c>
      <c r="K163" s="357"/>
      <c r="L163" s="325"/>
      <c r="M163" s="219">
        <f t="shared" ref="M163:M165" si="36">J163-L163</f>
        <v>0</v>
      </c>
      <c r="N163" s="319">
        <f>IF(F163=$N$2,E163,0)</f>
        <v>0</v>
      </c>
      <c r="O163" s="218">
        <v>4</v>
      </c>
    </row>
    <row r="164" spans="1:15" s="1158" customFormat="1">
      <c r="A164" s="1073" t="s">
        <v>2894</v>
      </c>
      <c r="B164" s="216">
        <v>456.1</v>
      </c>
      <c r="C164" s="217" t="s">
        <v>2896</v>
      </c>
      <c r="D164" s="1072" t="s">
        <v>2899</v>
      </c>
      <c r="E164" s="1181">
        <v>229853.64</v>
      </c>
      <c r="F164" s="622" t="s">
        <v>624</v>
      </c>
      <c r="G164" s="319">
        <f t="shared" si="28"/>
        <v>229853.64</v>
      </c>
      <c r="H164" s="219">
        <v>0</v>
      </c>
      <c r="I164" s="219">
        <f t="shared" si="34"/>
        <v>229853.64</v>
      </c>
      <c r="J164" s="319">
        <f t="shared" si="35"/>
        <v>0</v>
      </c>
      <c r="K164" s="357"/>
      <c r="L164" s="325"/>
      <c r="M164" s="219">
        <f t="shared" si="36"/>
        <v>0</v>
      </c>
      <c r="N164" s="319">
        <f>IF(F164=$N$2,E164,0)</f>
        <v>0</v>
      </c>
      <c r="O164" s="218">
        <v>4</v>
      </c>
    </row>
    <row r="165" spans="1:15" s="1158" customFormat="1">
      <c r="A165" s="1073" t="s">
        <v>2895</v>
      </c>
      <c r="B165" s="216">
        <v>456.1</v>
      </c>
      <c r="C165" s="217" t="s">
        <v>2897</v>
      </c>
      <c r="D165" s="1345" t="s">
        <v>2900</v>
      </c>
      <c r="E165" s="326">
        <v>3708122.66</v>
      </c>
      <c r="F165" s="1346" t="s">
        <v>626</v>
      </c>
      <c r="G165" s="319">
        <f t="shared" si="28"/>
        <v>0</v>
      </c>
      <c r="H165" s="219">
        <v>0</v>
      </c>
      <c r="I165" s="219">
        <f t="shared" si="34"/>
        <v>0</v>
      </c>
      <c r="J165" s="319">
        <f t="shared" si="35"/>
        <v>0</v>
      </c>
      <c r="K165" s="357"/>
      <c r="L165" s="325"/>
      <c r="M165" s="219">
        <f t="shared" si="36"/>
        <v>0</v>
      </c>
      <c r="N165" s="319">
        <f t="shared" ref="N165" si="37">IF(F165=$N$2,E165,0)</f>
        <v>3708122.66</v>
      </c>
      <c r="O165" s="218">
        <v>6</v>
      </c>
    </row>
    <row r="166" spans="1:15">
      <c r="A166" s="1305"/>
      <c r="B166" s="348"/>
      <c r="C166" s="347"/>
      <c r="D166" s="349"/>
      <c r="E166" s="326"/>
      <c r="F166" s="326"/>
      <c r="G166" s="327"/>
      <c r="H166" s="325"/>
      <c r="I166" s="325"/>
      <c r="J166" s="323"/>
      <c r="K166" s="326"/>
      <c r="L166" s="325"/>
      <c r="M166" s="325"/>
      <c r="N166" s="323"/>
      <c r="O166" s="324"/>
    </row>
    <row r="167" spans="1:15">
      <c r="A167" s="1305"/>
      <c r="B167" s="348"/>
      <c r="C167" s="347"/>
      <c r="D167" s="349"/>
      <c r="E167" s="326"/>
      <c r="F167" s="326"/>
      <c r="G167" s="327"/>
      <c r="H167" s="325"/>
      <c r="I167" s="325"/>
      <c r="J167" s="323"/>
      <c r="K167" s="326"/>
      <c r="L167" s="325"/>
      <c r="M167" s="325"/>
      <c r="N167" s="323"/>
      <c r="O167" s="324"/>
    </row>
    <row r="168" spans="1:15">
      <c r="A168" s="215">
        <v>16</v>
      </c>
      <c r="B168" s="1419" t="s">
        <v>954</v>
      </c>
      <c r="C168" s="1420"/>
      <c r="D168" s="1421"/>
      <c r="E168" s="332">
        <f>SUM(E144:E167)</f>
        <v>134205621.28</v>
      </c>
      <c r="F168" s="341"/>
      <c r="G168" s="332">
        <f>SUM(G144:G167)</f>
        <v>55601639.869999997</v>
      </c>
      <c r="H168" s="332">
        <f>SUM(H144:H167)</f>
        <v>46329300.560000002</v>
      </c>
      <c r="I168" s="332">
        <f>SUM(I144:I167)</f>
        <v>9272339.3099999987</v>
      </c>
      <c r="J168" s="332">
        <f>SUM(J144:J167)</f>
        <v>0</v>
      </c>
      <c r="K168" s="341"/>
      <c r="L168" s="332">
        <f>SUM(L144:L167)</f>
        <v>0</v>
      </c>
      <c r="M168" s="332">
        <f>SUM(M144:M167)</f>
        <v>0</v>
      </c>
      <c r="N168" s="332">
        <f>SUM(N144:N167)</f>
        <v>78603981.409999996</v>
      </c>
      <c r="O168" s="209"/>
    </row>
    <row r="169" spans="1:15" ht="25.5" customHeight="1">
      <c r="A169" s="221">
        <v>17</v>
      </c>
      <c r="B169" s="1411" t="s">
        <v>1359</v>
      </c>
      <c r="C169" s="1412"/>
      <c r="D169" s="1413"/>
      <c r="E169" s="329">
        <v>134205621</v>
      </c>
      <c r="F169" s="331"/>
      <c r="G169" s="343"/>
      <c r="H169" s="333"/>
      <c r="I169" s="333"/>
      <c r="J169" s="316"/>
      <c r="K169" s="333"/>
      <c r="L169" s="316"/>
      <c r="M169" s="316"/>
      <c r="N169" s="316"/>
      <c r="O169" s="207"/>
    </row>
    <row r="170" spans="1:15">
      <c r="A170" s="224"/>
      <c r="B170" s="225"/>
      <c r="C170" s="226"/>
      <c r="D170" s="227"/>
      <c r="E170" s="316"/>
      <c r="F170" s="316"/>
      <c r="G170" s="316"/>
      <c r="H170" s="333"/>
      <c r="I170" s="333"/>
      <c r="J170" s="316"/>
      <c r="K170" s="333"/>
      <c r="L170" s="316"/>
      <c r="M170" s="316"/>
      <c r="N170" s="316"/>
      <c r="O170" s="207"/>
    </row>
    <row r="171" spans="1:15">
      <c r="A171" s="352" t="s">
        <v>955</v>
      </c>
      <c r="B171" s="350"/>
      <c r="C171" s="370"/>
      <c r="D171" s="370"/>
      <c r="E171" s="371"/>
      <c r="F171" s="371"/>
      <c r="G171" s="371"/>
      <c r="H171" s="371"/>
      <c r="I171" s="371"/>
      <c r="J171" s="371"/>
      <c r="K171" s="371"/>
      <c r="L171" s="371"/>
      <c r="M171" s="371"/>
      <c r="N171" s="371"/>
      <c r="O171" s="324"/>
    </row>
    <row r="172" spans="1:15">
      <c r="A172" s="352"/>
      <c r="B172" s="372"/>
      <c r="C172" s="370"/>
      <c r="D172" s="370"/>
      <c r="E172" s="371"/>
      <c r="F172" s="371"/>
      <c r="G172" s="371"/>
      <c r="H172" s="371"/>
      <c r="I172" s="371"/>
      <c r="J172" s="371"/>
      <c r="K172" s="371"/>
      <c r="L172" s="371"/>
      <c r="M172" s="371"/>
      <c r="N172" s="371"/>
      <c r="O172" s="324"/>
    </row>
    <row r="173" spans="1:15">
      <c r="A173" s="215">
        <v>19</v>
      </c>
      <c r="B173" s="1419" t="s">
        <v>956</v>
      </c>
      <c r="C173" s="1420"/>
      <c r="D173" s="1421"/>
      <c r="E173" s="332">
        <f>SUM(E171:E172)</f>
        <v>0</v>
      </c>
      <c r="F173" s="378"/>
      <c r="G173" s="332">
        <f>SUM(G171:G172)</f>
        <v>0</v>
      </c>
      <c r="H173" s="332">
        <f t="shared" ref="H173:N173" si="38">SUM(H171:H172)</f>
        <v>0</v>
      </c>
      <c r="I173" s="332">
        <f t="shared" si="38"/>
        <v>0</v>
      </c>
      <c r="J173" s="332">
        <f t="shared" si="38"/>
        <v>0</v>
      </c>
      <c r="K173" s="341"/>
      <c r="L173" s="332">
        <f t="shared" si="38"/>
        <v>0</v>
      </c>
      <c r="M173" s="332">
        <f t="shared" si="38"/>
        <v>0</v>
      </c>
      <c r="N173" s="332">
        <f t="shared" si="38"/>
        <v>0</v>
      </c>
      <c r="O173" s="332"/>
    </row>
    <row r="174" spans="1:15" ht="26.25" customHeight="1">
      <c r="A174" s="215">
        <v>20</v>
      </c>
      <c r="B174" s="1429" t="s">
        <v>1365</v>
      </c>
      <c r="C174" s="1430"/>
      <c r="D174" s="1431"/>
      <c r="E174" s="1343">
        <v>0</v>
      </c>
      <c r="F174" s="316"/>
      <c r="G174" s="317"/>
      <c r="H174" s="331"/>
      <c r="I174" s="331"/>
      <c r="J174" s="317"/>
      <c r="K174" s="331"/>
      <c r="L174" s="317"/>
      <c r="M174" s="317"/>
      <c r="N174" s="317"/>
      <c r="O174" s="434"/>
    </row>
    <row r="175" spans="1:15">
      <c r="A175" s="224"/>
      <c r="B175" s="225"/>
      <c r="C175" s="226"/>
      <c r="D175" s="227"/>
      <c r="E175" s="316"/>
      <c r="F175" s="316"/>
      <c r="G175" s="317"/>
      <c r="H175" s="331"/>
      <c r="I175" s="331"/>
      <c r="J175" s="317"/>
      <c r="K175" s="331"/>
      <c r="L175" s="317"/>
      <c r="M175" s="317"/>
      <c r="N175" s="317"/>
      <c r="O175" s="434"/>
    </row>
    <row r="176" spans="1:15">
      <c r="A176" s="352" t="s">
        <v>957</v>
      </c>
      <c r="B176" s="350"/>
      <c r="C176" s="370"/>
      <c r="D176" s="370"/>
      <c r="E176" s="371"/>
      <c r="F176" s="371"/>
      <c r="G176" s="329"/>
      <c r="H176" s="329"/>
      <c r="I176" s="329"/>
      <c r="J176" s="329"/>
      <c r="K176" s="329"/>
      <c r="L176" s="329"/>
      <c r="M176" s="329"/>
      <c r="N176" s="329"/>
      <c r="O176" s="325"/>
    </row>
    <row r="177" spans="1:15">
      <c r="A177" s="352"/>
      <c r="B177" s="372"/>
      <c r="C177" s="370"/>
      <c r="D177" s="370"/>
      <c r="E177" s="371"/>
      <c r="F177" s="371"/>
      <c r="G177" s="329"/>
      <c r="H177" s="329"/>
      <c r="I177" s="329"/>
      <c r="J177" s="329"/>
      <c r="K177" s="329"/>
      <c r="L177" s="329"/>
      <c r="M177" s="329"/>
      <c r="N177" s="329"/>
      <c r="O177" s="325"/>
    </row>
    <row r="178" spans="1:15">
      <c r="A178" s="215">
        <v>22</v>
      </c>
      <c r="B178" s="1419" t="s">
        <v>958</v>
      </c>
      <c r="C178" s="1420"/>
      <c r="D178" s="1421"/>
      <c r="E178" s="332">
        <f>SUM(E176:E177)</f>
        <v>0</v>
      </c>
      <c r="F178" s="378"/>
      <c r="G178" s="332">
        <f>SUM(G176:G177)</f>
        <v>0</v>
      </c>
      <c r="H178" s="332">
        <f>SUM(H176:H177)</f>
        <v>0</v>
      </c>
      <c r="I178" s="332">
        <f>SUM(I176:I177)</f>
        <v>0</v>
      </c>
      <c r="J178" s="332">
        <f>SUM(J176:J177)</f>
        <v>0</v>
      </c>
      <c r="K178" s="341"/>
      <c r="L178" s="332">
        <f>SUM(L176:L177)</f>
        <v>0</v>
      </c>
      <c r="M178" s="332">
        <f>SUM(M176:M177)</f>
        <v>0</v>
      </c>
      <c r="N178" s="332">
        <f>SUM(N176:N177)</f>
        <v>0</v>
      </c>
      <c r="O178" s="332"/>
    </row>
    <row r="179" spans="1:15" ht="26.25" customHeight="1">
      <c r="A179" s="215">
        <v>23</v>
      </c>
      <c r="B179" s="1429" t="s">
        <v>1366</v>
      </c>
      <c r="C179" s="1430"/>
      <c r="D179" s="1431"/>
      <c r="E179" s="1343">
        <v>0</v>
      </c>
      <c r="F179" s="316"/>
      <c r="G179" s="316"/>
      <c r="H179" s="333"/>
      <c r="I179" s="333"/>
      <c r="J179" s="316"/>
      <c r="K179" s="333"/>
      <c r="L179" s="316"/>
      <c r="M179" s="316"/>
      <c r="N179" s="316"/>
      <c r="O179" s="207"/>
    </row>
    <row r="180" spans="1:15">
      <c r="A180" s="224"/>
      <c r="B180" s="225"/>
      <c r="C180" s="226"/>
      <c r="D180" s="227"/>
      <c r="E180" s="316"/>
      <c r="F180" s="316"/>
      <c r="G180" s="316"/>
      <c r="H180" s="333"/>
      <c r="I180" s="333"/>
      <c r="J180" s="316"/>
      <c r="K180" s="333"/>
      <c r="L180" s="316"/>
      <c r="M180" s="316"/>
      <c r="N180" s="316"/>
      <c r="O180" s="207"/>
    </row>
    <row r="181" spans="1:15">
      <c r="A181" s="224"/>
      <c r="B181" s="225" t="s">
        <v>959</v>
      </c>
      <c r="C181" s="226"/>
      <c r="D181" s="227"/>
      <c r="E181" s="316"/>
      <c r="F181" s="316"/>
      <c r="G181" s="316"/>
      <c r="H181" s="333"/>
      <c r="I181" s="333"/>
      <c r="J181" s="316"/>
      <c r="K181" s="333"/>
      <c r="L181" s="316"/>
      <c r="M181" s="316"/>
      <c r="N181" s="316"/>
      <c r="O181" s="207"/>
    </row>
    <row r="182" spans="1:15">
      <c r="A182" s="221" t="s">
        <v>960</v>
      </c>
      <c r="B182" s="235">
        <v>417</v>
      </c>
      <c r="C182" s="322">
        <v>4863135</v>
      </c>
      <c r="D182" s="231" t="s">
        <v>961</v>
      </c>
      <c r="E182" s="326"/>
      <c r="F182" s="319" t="str">
        <f t="shared" ref="F182:F196" si="39">$J$2</f>
        <v>GRSM</v>
      </c>
      <c r="G182" s="319">
        <f t="shared" ref="G182:G200" si="40">IF(F182=$G$2,E182,0)</f>
        <v>0</v>
      </c>
      <c r="H182" s="219">
        <v>0</v>
      </c>
      <c r="I182" s="219">
        <f t="shared" ref="I182:I200" si="41">G182-H182</f>
        <v>0</v>
      </c>
      <c r="J182" s="319">
        <f t="shared" ref="J182:J200" si="42">IF(F182=$J$2,E182,0)</f>
        <v>0</v>
      </c>
      <c r="K182" s="218" t="s">
        <v>668</v>
      </c>
      <c r="L182" s="323"/>
      <c r="M182" s="318">
        <f t="shared" ref="M182:M200" si="43">J182-L182</f>
        <v>0</v>
      </c>
      <c r="N182" s="319">
        <f t="shared" ref="N182:N200" si="44">IF(F182=$N$2,E182,0)</f>
        <v>0</v>
      </c>
      <c r="O182" s="223">
        <v>2</v>
      </c>
    </row>
    <row r="183" spans="1:15">
      <c r="A183" s="221" t="s">
        <v>962</v>
      </c>
      <c r="B183" s="235">
        <v>417</v>
      </c>
      <c r="C183" s="322">
        <v>4863130</v>
      </c>
      <c r="D183" s="231" t="s">
        <v>963</v>
      </c>
      <c r="E183" s="326">
        <v>605718.55000000005</v>
      </c>
      <c r="F183" s="319" t="str">
        <f t="shared" si="39"/>
        <v>GRSM</v>
      </c>
      <c r="G183" s="319">
        <f t="shared" si="40"/>
        <v>0</v>
      </c>
      <c r="H183" s="219">
        <v>0</v>
      </c>
      <c r="I183" s="219">
        <f t="shared" si="41"/>
        <v>0</v>
      </c>
      <c r="J183" s="319">
        <f t="shared" si="42"/>
        <v>605718.55000000005</v>
      </c>
      <c r="K183" s="218" t="s">
        <v>668</v>
      </c>
      <c r="L183" s="323">
        <v>138131.96721339901</v>
      </c>
      <c r="M183" s="318">
        <f t="shared" si="43"/>
        <v>467586.58278660104</v>
      </c>
      <c r="N183" s="319">
        <f t="shared" si="44"/>
        <v>0</v>
      </c>
      <c r="O183" s="223">
        <v>2</v>
      </c>
    </row>
    <row r="184" spans="1:15">
      <c r="A184" s="221" t="s">
        <v>964</v>
      </c>
      <c r="B184" s="235">
        <v>417</v>
      </c>
      <c r="C184" s="322">
        <v>4862110</v>
      </c>
      <c r="D184" s="231" t="s">
        <v>965</v>
      </c>
      <c r="E184" s="326">
        <v>6207732.0899999999</v>
      </c>
      <c r="F184" s="319" t="str">
        <f t="shared" si="39"/>
        <v>GRSM</v>
      </c>
      <c r="G184" s="319">
        <f t="shared" si="40"/>
        <v>0</v>
      </c>
      <c r="H184" s="219">
        <v>0</v>
      </c>
      <c r="I184" s="219">
        <f t="shared" si="41"/>
        <v>0</v>
      </c>
      <c r="J184" s="319">
        <f t="shared" si="42"/>
        <v>6207732.0899999999</v>
      </c>
      <c r="K184" s="218" t="s">
        <v>610</v>
      </c>
      <c r="L184" s="323">
        <v>1179301.20482908</v>
      </c>
      <c r="M184" s="318">
        <f t="shared" si="43"/>
        <v>5028430.8851709198</v>
      </c>
      <c r="N184" s="319">
        <f t="shared" si="44"/>
        <v>0</v>
      </c>
      <c r="O184" s="223">
        <v>2</v>
      </c>
    </row>
    <row r="185" spans="1:15">
      <c r="A185" s="221" t="s">
        <v>966</v>
      </c>
      <c r="B185" s="235">
        <v>417</v>
      </c>
      <c r="C185" s="322">
        <v>4862115</v>
      </c>
      <c r="D185" s="231" t="s">
        <v>967</v>
      </c>
      <c r="E185" s="326">
        <v>3328620</v>
      </c>
      <c r="F185" s="319" t="str">
        <f t="shared" si="39"/>
        <v>GRSM</v>
      </c>
      <c r="G185" s="319">
        <f t="shared" si="40"/>
        <v>0</v>
      </c>
      <c r="H185" s="219">
        <v>0</v>
      </c>
      <c r="I185" s="219">
        <f t="shared" si="41"/>
        <v>0</v>
      </c>
      <c r="J185" s="319">
        <f t="shared" si="42"/>
        <v>3328620</v>
      </c>
      <c r="K185" s="218" t="s">
        <v>610</v>
      </c>
      <c r="L185" s="323">
        <v>648085.661532089</v>
      </c>
      <c r="M185" s="318">
        <f t="shared" si="43"/>
        <v>2680534.3384679109</v>
      </c>
      <c r="N185" s="319">
        <f t="shared" si="44"/>
        <v>0</v>
      </c>
      <c r="O185" s="223">
        <v>2</v>
      </c>
    </row>
    <row r="186" spans="1:15">
      <c r="A186" s="221" t="s">
        <v>968</v>
      </c>
      <c r="B186" s="235">
        <v>417</v>
      </c>
      <c r="C186" s="322">
        <v>4862120</v>
      </c>
      <c r="D186" s="231" t="s">
        <v>969</v>
      </c>
      <c r="E186" s="326">
        <v>283556.24</v>
      </c>
      <c r="F186" s="319" t="str">
        <f t="shared" si="39"/>
        <v>GRSM</v>
      </c>
      <c r="G186" s="319">
        <f t="shared" si="40"/>
        <v>0</v>
      </c>
      <c r="H186" s="219">
        <v>0</v>
      </c>
      <c r="I186" s="219">
        <f t="shared" si="41"/>
        <v>0</v>
      </c>
      <c r="J186" s="319">
        <f t="shared" si="42"/>
        <v>283556.24</v>
      </c>
      <c r="K186" s="218" t="s">
        <v>610</v>
      </c>
      <c r="L186" s="323">
        <v>55207.917686504203</v>
      </c>
      <c r="M186" s="318">
        <f t="shared" si="43"/>
        <v>228348.3223134958</v>
      </c>
      <c r="N186" s="319">
        <f t="shared" si="44"/>
        <v>0</v>
      </c>
      <c r="O186" s="223">
        <v>2</v>
      </c>
    </row>
    <row r="187" spans="1:15">
      <c r="A187" s="221" t="s">
        <v>970</v>
      </c>
      <c r="B187" s="235">
        <v>417</v>
      </c>
      <c r="C187" s="322">
        <v>4862135</v>
      </c>
      <c r="D187" s="231" t="s">
        <v>971</v>
      </c>
      <c r="E187" s="326">
        <v>21488152.460000001</v>
      </c>
      <c r="F187" s="319" t="str">
        <f t="shared" si="39"/>
        <v>GRSM</v>
      </c>
      <c r="G187" s="319">
        <f t="shared" si="40"/>
        <v>0</v>
      </c>
      <c r="H187" s="219">
        <v>0</v>
      </c>
      <c r="I187" s="219">
        <f t="shared" si="41"/>
        <v>0</v>
      </c>
      <c r="J187" s="319">
        <f t="shared" si="42"/>
        <v>21488152.460000001</v>
      </c>
      <c r="K187" s="218" t="s">
        <v>610</v>
      </c>
      <c r="L187" s="323">
        <v>4216369.36878186</v>
      </c>
      <c r="M187" s="318">
        <f t="shared" si="43"/>
        <v>17271783.09121814</v>
      </c>
      <c r="N187" s="319">
        <f t="shared" si="44"/>
        <v>0</v>
      </c>
      <c r="O187" s="223">
        <v>2</v>
      </c>
    </row>
    <row r="188" spans="1:15">
      <c r="A188" s="221" t="s">
        <v>972</v>
      </c>
      <c r="B188" s="235">
        <v>417</v>
      </c>
      <c r="C188" s="322">
        <v>4864110</v>
      </c>
      <c r="D188" s="621" t="s">
        <v>1944</v>
      </c>
      <c r="E188" s="326"/>
      <c r="F188" s="319" t="str">
        <f t="shared" si="39"/>
        <v>GRSM</v>
      </c>
      <c r="G188" s="319">
        <f t="shared" si="40"/>
        <v>0</v>
      </c>
      <c r="H188" s="219">
        <v>0</v>
      </c>
      <c r="I188" s="219">
        <f t="shared" si="41"/>
        <v>0</v>
      </c>
      <c r="J188" s="319">
        <f t="shared" si="42"/>
        <v>0</v>
      </c>
      <c r="K188" s="218" t="s">
        <v>610</v>
      </c>
      <c r="L188" s="323"/>
      <c r="M188" s="318">
        <f t="shared" si="43"/>
        <v>0</v>
      </c>
      <c r="N188" s="319">
        <f t="shared" si="44"/>
        <v>0</v>
      </c>
      <c r="O188" s="223">
        <v>2</v>
      </c>
    </row>
    <row r="189" spans="1:15">
      <c r="A189" s="221" t="s">
        <v>973</v>
      </c>
      <c r="B189" s="235">
        <v>417</v>
      </c>
      <c r="C189" s="322">
        <v>4864115</v>
      </c>
      <c r="D189" s="231" t="s">
        <v>974</v>
      </c>
      <c r="E189" s="326">
        <v>-237195.39</v>
      </c>
      <c r="F189" s="319" t="str">
        <f t="shared" si="39"/>
        <v>GRSM</v>
      </c>
      <c r="G189" s="319">
        <f t="shared" si="40"/>
        <v>0</v>
      </c>
      <c r="H189" s="219">
        <v>0</v>
      </c>
      <c r="I189" s="219">
        <f t="shared" si="41"/>
        <v>0</v>
      </c>
      <c r="J189" s="319">
        <f t="shared" si="42"/>
        <v>-237195.39</v>
      </c>
      <c r="K189" s="218" t="s">
        <v>610</v>
      </c>
      <c r="L189" s="323">
        <v>114301.960766612</v>
      </c>
      <c r="M189" s="318">
        <f t="shared" si="43"/>
        <v>-351497.35076661198</v>
      </c>
      <c r="N189" s="319">
        <f t="shared" si="44"/>
        <v>0</v>
      </c>
      <c r="O189" s="223">
        <v>2</v>
      </c>
    </row>
    <row r="190" spans="1:15">
      <c r="A190" s="221" t="s">
        <v>975</v>
      </c>
      <c r="B190" s="235">
        <v>417</v>
      </c>
      <c r="C190" s="322">
        <v>4862125</v>
      </c>
      <c r="D190" s="231" t="s">
        <v>976</v>
      </c>
      <c r="E190" s="326">
        <v>13328277.4</v>
      </c>
      <c r="F190" s="319" t="str">
        <f t="shared" si="39"/>
        <v>GRSM</v>
      </c>
      <c r="G190" s="319">
        <f t="shared" si="40"/>
        <v>0</v>
      </c>
      <c r="H190" s="219">
        <v>0</v>
      </c>
      <c r="I190" s="219">
        <f t="shared" si="41"/>
        <v>0</v>
      </c>
      <c r="J190" s="319">
        <f t="shared" si="42"/>
        <v>13328277.4</v>
      </c>
      <c r="K190" s="218" t="s">
        <v>610</v>
      </c>
      <c r="L190" s="323">
        <v>2561825.4077460002</v>
      </c>
      <c r="M190" s="318">
        <f t="shared" si="43"/>
        <v>10766451.992254</v>
      </c>
      <c r="N190" s="319">
        <f t="shared" si="44"/>
        <v>0</v>
      </c>
      <c r="O190" s="223">
        <v>2</v>
      </c>
    </row>
    <row r="191" spans="1:15">
      <c r="A191" s="221" t="s">
        <v>977</v>
      </c>
      <c r="B191" s="235">
        <v>417</v>
      </c>
      <c r="C191" s="322">
        <v>4862130</v>
      </c>
      <c r="D191" s="231" t="s">
        <v>978</v>
      </c>
      <c r="E191" s="326">
        <v>4452839.3</v>
      </c>
      <c r="F191" s="319" t="str">
        <f t="shared" si="39"/>
        <v>GRSM</v>
      </c>
      <c r="G191" s="319">
        <f t="shared" si="40"/>
        <v>0</v>
      </c>
      <c r="H191" s="219">
        <v>0</v>
      </c>
      <c r="I191" s="219">
        <f t="shared" si="41"/>
        <v>0</v>
      </c>
      <c r="J191" s="319">
        <f t="shared" si="42"/>
        <v>4452839.3</v>
      </c>
      <c r="K191" s="218" t="s">
        <v>610</v>
      </c>
      <c r="L191" s="323">
        <v>1066218.4715759801</v>
      </c>
      <c r="M191" s="318">
        <f t="shared" si="43"/>
        <v>3386620.8284240197</v>
      </c>
      <c r="N191" s="319">
        <f t="shared" si="44"/>
        <v>0</v>
      </c>
      <c r="O191" s="223">
        <v>2</v>
      </c>
    </row>
    <row r="192" spans="1:15">
      <c r="A192" s="221" t="s">
        <v>979</v>
      </c>
      <c r="B192" s="235">
        <v>417</v>
      </c>
      <c r="C192" s="322">
        <v>4863120</v>
      </c>
      <c r="D192" s="231" t="s">
        <v>980</v>
      </c>
      <c r="E192" s="326">
        <v>342230.56</v>
      </c>
      <c r="F192" s="319" t="str">
        <f t="shared" si="39"/>
        <v>GRSM</v>
      </c>
      <c r="G192" s="319">
        <f t="shared" si="40"/>
        <v>0</v>
      </c>
      <c r="H192" s="219">
        <v>0</v>
      </c>
      <c r="I192" s="219">
        <f t="shared" si="41"/>
        <v>0</v>
      </c>
      <c r="J192" s="319">
        <f t="shared" si="42"/>
        <v>342230.56</v>
      </c>
      <c r="K192" s="218" t="s">
        <v>668</v>
      </c>
      <c r="L192" s="323">
        <v>71854.152810042593</v>
      </c>
      <c r="M192" s="318">
        <f t="shared" si="43"/>
        <v>270376.40718995739</v>
      </c>
      <c r="N192" s="319">
        <f t="shared" si="44"/>
        <v>0</v>
      </c>
      <c r="O192" s="223">
        <v>2</v>
      </c>
    </row>
    <row r="193" spans="1:15">
      <c r="A193" s="221" t="s">
        <v>981</v>
      </c>
      <c r="B193" s="235">
        <v>417</v>
      </c>
      <c r="C193" s="322">
        <v>4863110</v>
      </c>
      <c r="D193" s="231" t="s">
        <v>982</v>
      </c>
      <c r="E193" s="326">
        <v>3528303.67</v>
      </c>
      <c r="F193" s="319" t="str">
        <f t="shared" si="39"/>
        <v>GRSM</v>
      </c>
      <c r="G193" s="319">
        <f t="shared" si="40"/>
        <v>0</v>
      </c>
      <c r="H193" s="219">
        <v>0</v>
      </c>
      <c r="I193" s="219">
        <f t="shared" si="41"/>
        <v>0</v>
      </c>
      <c r="J193" s="319">
        <f t="shared" si="42"/>
        <v>3528303.67</v>
      </c>
      <c r="K193" s="218" t="s">
        <v>668</v>
      </c>
      <c r="L193" s="323">
        <v>685429.29947367404</v>
      </c>
      <c r="M193" s="318">
        <f t="shared" si="43"/>
        <v>2842874.3705263259</v>
      </c>
      <c r="N193" s="319">
        <f t="shared" si="44"/>
        <v>0</v>
      </c>
      <c r="O193" s="223">
        <v>2</v>
      </c>
    </row>
    <row r="194" spans="1:15">
      <c r="A194" s="221" t="s">
        <v>983</v>
      </c>
      <c r="B194" s="235">
        <v>417</v>
      </c>
      <c r="C194" s="322">
        <v>4863115</v>
      </c>
      <c r="D194" s="231" t="s">
        <v>984</v>
      </c>
      <c r="E194" s="326">
        <v>873100.26</v>
      </c>
      <c r="F194" s="319" t="str">
        <f t="shared" si="39"/>
        <v>GRSM</v>
      </c>
      <c r="G194" s="319">
        <f t="shared" si="40"/>
        <v>0</v>
      </c>
      <c r="H194" s="219">
        <v>0</v>
      </c>
      <c r="I194" s="219">
        <f t="shared" si="41"/>
        <v>0</v>
      </c>
      <c r="J194" s="319">
        <f t="shared" si="42"/>
        <v>873100.26</v>
      </c>
      <c r="K194" s="218" t="s">
        <v>668</v>
      </c>
      <c r="L194" s="323">
        <v>325605.38007717102</v>
      </c>
      <c r="M194" s="318">
        <f t="shared" si="43"/>
        <v>547494.87992282899</v>
      </c>
      <c r="N194" s="319">
        <f t="shared" si="44"/>
        <v>0</v>
      </c>
      <c r="O194" s="223">
        <v>2</v>
      </c>
    </row>
    <row r="195" spans="1:15">
      <c r="A195" s="221" t="s">
        <v>985</v>
      </c>
      <c r="B195" s="235">
        <v>417</v>
      </c>
      <c r="C195" s="322">
        <v>4863125</v>
      </c>
      <c r="D195" s="231" t="s">
        <v>986</v>
      </c>
      <c r="E195" s="326">
        <v>1970237.17</v>
      </c>
      <c r="F195" s="319" t="str">
        <f t="shared" si="39"/>
        <v>GRSM</v>
      </c>
      <c r="G195" s="319">
        <f t="shared" si="40"/>
        <v>0</v>
      </c>
      <c r="H195" s="219">
        <v>0</v>
      </c>
      <c r="I195" s="219">
        <f t="shared" si="41"/>
        <v>0</v>
      </c>
      <c r="J195" s="319">
        <f t="shared" si="42"/>
        <v>1970237.17</v>
      </c>
      <c r="K195" s="218" t="s">
        <v>668</v>
      </c>
      <c r="L195" s="323">
        <v>365769.63078297401</v>
      </c>
      <c r="M195" s="318">
        <f t="shared" si="43"/>
        <v>1604467.539217026</v>
      </c>
      <c r="N195" s="319">
        <f t="shared" si="44"/>
        <v>0</v>
      </c>
      <c r="O195" s="223">
        <v>2</v>
      </c>
    </row>
    <row r="196" spans="1:15">
      <c r="A196" s="221" t="s">
        <v>987</v>
      </c>
      <c r="B196" s="235">
        <v>417</v>
      </c>
      <c r="C196" s="322">
        <v>4864120</v>
      </c>
      <c r="D196" s="231" t="s">
        <v>988</v>
      </c>
      <c r="E196" s="326">
        <v>-42476.75</v>
      </c>
      <c r="F196" s="319" t="str">
        <f t="shared" si="39"/>
        <v>GRSM</v>
      </c>
      <c r="G196" s="319">
        <f t="shared" si="40"/>
        <v>0</v>
      </c>
      <c r="H196" s="219">
        <v>0</v>
      </c>
      <c r="I196" s="219">
        <f t="shared" si="41"/>
        <v>0</v>
      </c>
      <c r="J196" s="319">
        <f t="shared" si="42"/>
        <v>-42476.75</v>
      </c>
      <c r="K196" s="218" t="s">
        <v>610</v>
      </c>
      <c r="L196" s="323">
        <v>21209.800791499201</v>
      </c>
      <c r="M196" s="318">
        <f t="shared" si="43"/>
        <v>-63686.550791499205</v>
      </c>
      <c r="N196" s="319">
        <f t="shared" si="44"/>
        <v>0</v>
      </c>
      <c r="O196" s="223">
        <v>2</v>
      </c>
    </row>
    <row r="197" spans="1:15">
      <c r="A197" s="1073" t="s">
        <v>2886</v>
      </c>
      <c r="B197" s="235">
        <v>417</v>
      </c>
      <c r="C197" s="322">
        <v>4864116</v>
      </c>
      <c r="D197" s="234" t="s">
        <v>2887</v>
      </c>
      <c r="E197" s="1306">
        <v>1330785.19</v>
      </c>
      <c r="F197" s="1347" t="s">
        <v>625</v>
      </c>
      <c r="G197" s="319">
        <f t="shared" si="40"/>
        <v>0</v>
      </c>
      <c r="H197" s="219">
        <v>0</v>
      </c>
      <c r="I197" s="219">
        <f t="shared" si="41"/>
        <v>0</v>
      </c>
      <c r="J197" s="319">
        <f t="shared" si="42"/>
        <v>1330785.19</v>
      </c>
      <c r="K197" s="620" t="s">
        <v>610</v>
      </c>
      <c r="L197" s="323">
        <v>60758.400373770397</v>
      </c>
      <c r="M197" s="319">
        <f t="shared" si="43"/>
        <v>1270026.7896262296</v>
      </c>
      <c r="N197" s="319">
        <f t="shared" si="44"/>
        <v>0</v>
      </c>
      <c r="O197" s="218">
        <v>2</v>
      </c>
    </row>
    <row r="198" spans="1:15" s="1158" customFormat="1">
      <c r="A198" s="1073" t="s">
        <v>2888</v>
      </c>
      <c r="B198" s="235">
        <v>417</v>
      </c>
      <c r="C198" s="322">
        <v>4864121</v>
      </c>
      <c r="D198" s="234" t="s">
        <v>2889</v>
      </c>
      <c r="E198" s="1306">
        <v>107810.01</v>
      </c>
      <c r="F198" s="1347" t="s">
        <v>625</v>
      </c>
      <c r="G198" s="319">
        <f t="shared" si="40"/>
        <v>0</v>
      </c>
      <c r="H198" s="219">
        <v>0</v>
      </c>
      <c r="I198" s="219">
        <f t="shared" si="41"/>
        <v>0</v>
      </c>
      <c r="J198" s="319">
        <f t="shared" si="42"/>
        <v>107810.01</v>
      </c>
      <c r="K198" s="620" t="s">
        <v>610</v>
      </c>
      <c r="L198" s="323">
        <v>4664.8620446452996</v>
      </c>
      <c r="M198" s="319">
        <f t="shared" si="43"/>
        <v>103145.1479553547</v>
      </c>
      <c r="N198" s="319">
        <f t="shared" si="44"/>
        <v>0</v>
      </c>
      <c r="O198" s="218">
        <v>2</v>
      </c>
    </row>
    <row r="199" spans="1:15" s="1158" customFormat="1">
      <c r="A199" s="1305" t="s">
        <v>3042</v>
      </c>
      <c r="B199" s="1377">
        <v>417</v>
      </c>
      <c r="C199" s="1378">
        <v>4864117</v>
      </c>
      <c r="D199" s="1307" t="s">
        <v>3040</v>
      </c>
      <c r="E199" s="1379">
        <v>40857</v>
      </c>
      <c r="F199" s="1180" t="s">
        <v>625</v>
      </c>
      <c r="G199" s="1180">
        <f t="shared" si="40"/>
        <v>0</v>
      </c>
      <c r="H199" s="815">
        <v>0</v>
      </c>
      <c r="I199" s="815">
        <f t="shared" si="41"/>
        <v>0</v>
      </c>
      <c r="J199" s="1180">
        <f t="shared" si="42"/>
        <v>40857</v>
      </c>
      <c r="K199" s="1376" t="s">
        <v>610</v>
      </c>
      <c r="L199" s="1180">
        <v>0</v>
      </c>
      <c r="M199" s="1180">
        <f t="shared" si="43"/>
        <v>40857</v>
      </c>
      <c r="N199" s="1180">
        <f t="shared" si="44"/>
        <v>0</v>
      </c>
      <c r="O199" s="1376">
        <v>2</v>
      </c>
    </row>
    <row r="200" spans="1:15" s="1158" customFormat="1">
      <c r="A200" s="1305" t="s">
        <v>3043</v>
      </c>
      <c r="B200" s="1377">
        <v>417</v>
      </c>
      <c r="C200" s="1378">
        <v>4864122</v>
      </c>
      <c r="D200" s="1307" t="s">
        <v>3041</v>
      </c>
      <c r="E200" s="1379">
        <v>27607.3</v>
      </c>
      <c r="F200" s="1180" t="s">
        <v>625</v>
      </c>
      <c r="G200" s="1180">
        <f t="shared" si="40"/>
        <v>0</v>
      </c>
      <c r="H200" s="815">
        <v>0</v>
      </c>
      <c r="I200" s="815">
        <f t="shared" si="41"/>
        <v>0</v>
      </c>
      <c r="J200" s="1180">
        <f t="shared" si="42"/>
        <v>27607.3</v>
      </c>
      <c r="K200" s="1376" t="s">
        <v>610</v>
      </c>
      <c r="L200" s="1180">
        <v>0</v>
      </c>
      <c r="M200" s="1180">
        <f t="shared" si="43"/>
        <v>27607.3</v>
      </c>
      <c r="N200" s="1180">
        <f t="shared" si="44"/>
        <v>0</v>
      </c>
      <c r="O200" s="1376">
        <v>2</v>
      </c>
    </row>
    <row r="201" spans="1:15" s="1158" customFormat="1">
      <c r="A201" s="352"/>
      <c r="B201" s="350"/>
      <c r="C201" s="351"/>
      <c r="D201" s="349"/>
      <c r="E201" s="330"/>
      <c r="F201" s="330"/>
      <c r="G201" s="327"/>
      <c r="H201" s="325"/>
      <c r="I201" s="325"/>
      <c r="J201" s="323"/>
      <c r="K201" s="324"/>
      <c r="L201" s="323"/>
      <c r="M201" s="323"/>
      <c r="N201" s="323"/>
      <c r="O201" s="324"/>
    </row>
    <row r="202" spans="1:15">
      <c r="A202" s="352"/>
      <c r="B202" s="350"/>
      <c r="C202" s="351"/>
      <c r="D202" s="349"/>
      <c r="E202" s="330"/>
      <c r="F202" s="330"/>
      <c r="G202" s="327"/>
      <c r="H202" s="325"/>
      <c r="I202" s="325"/>
      <c r="J202" s="323"/>
      <c r="K202" s="324"/>
      <c r="L202" s="323"/>
      <c r="M202" s="323"/>
      <c r="N202" s="323"/>
      <c r="O202" s="324"/>
    </row>
    <row r="203" spans="1:15">
      <c r="A203" s="215">
        <v>25</v>
      </c>
      <c r="B203" s="1416" t="s">
        <v>989</v>
      </c>
      <c r="C203" s="1420"/>
      <c r="D203" s="1421"/>
      <c r="E203" s="332">
        <f>SUM(E182:E202)</f>
        <v>57636155.059999995</v>
      </c>
      <c r="F203" s="341"/>
      <c r="G203" s="332">
        <f>SUM(G182:G202)</f>
        <v>0</v>
      </c>
      <c r="H203" s="332">
        <f>SUM(H182:H202)</f>
        <v>0</v>
      </c>
      <c r="I203" s="332">
        <f>SUM(I182:I202)</f>
        <v>0</v>
      </c>
      <c r="J203" s="332">
        <f>SUM(J182:J202)</f>
        <v>57636155.059999995</v>
      </c>
      <c r="K203" s="341"/>
      <c r="L203" s="332">
        <f>SUM(L182:L202)</f>
        <v>11514733.486485299</v>
      </c>
      <c r="M203" s="332">
        <f>SUM(M182:M202)</f>
        <v>46121421.5735147</v>
      </c>
      <c r="N203" s="332">
        <f>SUM(N182:N202)</f>
        <v>0</v>
      </c>
      <c r="O203" s="209"/>
    </row>
    <row r="204" spans="1:15">
      <c r="A204" s="221">
        <v>26</v>
      </c>
      <c r="B204" s="1416" t="s">
        <v>990</v>
      </c>
      <c r="C204" s="1417"/>
      <c r="D204" s="1418"/>
      <c r="E204" s="329">
        <f>E205-E203</f>
        <v>7774303.9400000051</v>
      </c>
      <c r="F204" s="317"/>
      <c r="G204" s="316"/>
      <c r="H204" s="333"/>
      <c r="I204" s="333"/>
      <c r="J204" s="316"/>
      <c r="K204" s="333"/>
      <c r="L204" s="316"/>
      <c r="M204" s="316"/>
      <c r="N204" s="316"/>
      <c r="O204" s="207"/>
    </row>
    <row r="205" spans="1:15" ht="25.5" customHeight="1">
      <c r="A205" s="221">
        <v>27</v>
      </c>
      <c r="B205" s="1411" t="s">
        <v>1368</v>
      </c>
      <c r="C205" s="1412"/>
      <c r="D205" s="1413"/>
      <c r="E205" s="1343">
        <v>65410459</v>
      </c>
      <c r="F205" s="373" t="s">
        <v>359</v>
      </c>
    </row>
    <row r="206" spans="1:15">
      <c r="A206" s="229"/>
    </row>
    <row r="207" spans="1:15">
      <c r="B207" s="40" t="s">
        <v>991</v>
      </c>
    </row>
    <row r="208" spans="1:15">
      <c r="A208" s="218" t="s">
        <v>992</v>
      </c>
      <c r="B208" s="1425">
        <v>418.1</v>
      </c>
      <c r="C208" s="1426"/>
      <c r="D208" s="231" t="s">
        <v>993</v>
      </c>
      <c r="E208" s="326"/>
      <c r="F208" s="319" t="str">
        <f>$J$2</f>
        <v>GRSM</v>
      </c>
      <c r="G208" s="319">
        <f t="shared" ref="G208:G213" si="45">IF(F208=$G$2,E208,0)</f>
        <v>0</v>
      </c>
      <c r="H208" s="218">
        <v>0</v>
      </c>
      <c r="I208" s="219">
        <f t="shared" ref="I208:I213" si="46">G208-H208</f>
        <v>0</v>
      </c>
      <c r="J208" s="319">
        <f>IF(F208=$J$2,E208,0)</f>
        <v>0</v>
      </c>
      <c r="K208" s="358" t="s">
        <v>610</v>
      </c>
      <c r="L208" s="323"/>
      <c r="M208" s="220">
        <f t="shared" ref="M208:M213" si="47">J208-L208</f>
        <v>0</v>
      </c>
      <c r="N208" s="319">
        <f t="shared" ref="N208:N213" si="48">IF(F208=$N$2,E208,0)</f>
        <v>0</v>
      </c>
      <c r="O208" s="223" t="s">
        <v>994</v>
      </c>
    </row>
    <row r="209" spans="1:15">
      <c r="A209" s="218" t="s">
        <v>995</v>
      </c>
      <c r="B209" s="1425">
        <v>418.1</v>
      </c>
      <c r="C209" s="1426"/>
      <c r="D209" s="231" t="s">
        <v>996</v>
      </c>
      <c r="E209" s="326"/>
      <c r="F209" s="319" t="str">
        <f>$J$2</f>
        <v>GRSM</v>
      </c>
      <c r="G209" s="319">
        <f t="shared" si="45"/>
        <v>0</v>
      </c>
      <c r="H209" s="218">
        <v>0</v>
      </c>
      <c r="I209" s="219">
        <f t="shared" si="46"/>
        <v>0</v>
      </c>
      <c r="J209" s="319">
        <f>IF(F209=$J$2,E209,0)</f>
        <v>0</v>
      </c>
      <c r="K209" s="358" t="s">
        <v>668</v>
      </c>
      <c r="L209" s="323"/>
      <c r="M209" s="220">
        <f t="shared" si="47"/>
        <v>0</v>
      </c>
      <c r="N209" s="319">
        <f t="shared" si="48"/>
        <v>0</v>
      </c>
      <c r="O209" s="223" t="s">
        <v>994</v>
      </c>
    </row>
    <row r="210" spans="1:15">
      <c r="A210" s="218" t="s">
        <v>997</v>
      </c>
      <c r="B210" s="1425">
        <v>418.1</v>
      </c>
      <c r="C210" s="1426"/>
      <c r="D210" s="621" t="s">
        <v>1886</v>
      </c>
      <c r="E210" s="326"/>
      <c r="F210" s="622" t="s">
        <v>625</v>
      </c>
      <c r="G210" s="319">
        <f t="shared" si="45"/>
        <v>0</v>
      </c>
      <c r="H210" s="218">
        <v>0</v>
      </c>
      <c r="I210" s="219">
        <f t="shared" si="46"/>
        <v>0</v>
      </c>
      <c r="J210" s="319">
        <f>IF(F210=$J$2,E210,0)</f>
        <v>0</v>
      </c>
      <c r="K210" s="623" t="s">
        <v>668</v>
      </c>
      <c r="L210" s="323"/>
      <c r="M210" s="220">
        <f t="shared" si="47"/>
        <v>0</v>
      </c>
      <c r="N210" s="319">
        <f t="shared" si="48"/>
        <v>0</v>
      </c>
      <c r="O210" s="619" t="s">
        <v>1887</v>
      </c>
    </row>
    <row r="211" spans="1:15">
      <c r="A211" s="218" t="s">
        <v>999</v>
      </c>
      <c r="B211" s="1425">
        <v>418.1</v>
      </c>
      <c r="C211" s="1426"/>
      <c r="D211" s="231" t="s">
        <v>998</v>
      </c>
      <c r="E211" s="326">
        <v>0</v>
      </c>
      <c r="F211" s="319" t="str">
        <f>$G$2</f>
        <v>Traditional OOR</v>
      </c>
      <c r="G211" s="319">
        <f t="shared" si="45"/>
        <v>0</v>
      </c>
      <c r="H211" s="219">
        <v>0</v>
      </c>
      <c r="I211" s="219">
        <f t="shared" si="46"/>
        <v>0</v>
      </c>
      <c r="J211" s="319">
        <f>IF(F211=$J$2,E211,0)</f>
        <v>0</v>
      </c>
      <c r="K211" s="358"/>
      <c r="L211" s="323"/>
      <c r="M211" s="219">
        <f t="shared" si="47"/>
        <v>0</v>
      </c>
      <c r="N211" s="319">
        <f t="shared" si="48"/>
        <v>0</v>
      </c>
      <c r="O211" s="218">
        <v>13</v>
      </c>
    </row>
    <row r="212" spans="1:15">
      <c r="A212" s="620" t="s">
        <v>1307</v>
      </c>
      <c r="B212" s="1425">
        <v>418.1</v>
      </c>
      <c r="C212" s="1426"/>
      <c r="D212" s="231" t="s">
        <v>1000</v>
      </c>
      <c r="E212" s="326">
        <v>-45</v>
      </c>
      <c r="F212" s="319" t="str">
        <f>$G$2</f>
        <v>Traditional OOR</v>
      </c>
      <c r="G212" s="319">
        <f t="shared" si="45"/>
        <v>-45</v>
      </c>
      <c r="H212" s="219">
        <v>0</v>
      </c>
      <c r="I212" s="219">
        <f t="shared" si="46"/>
        <v>-45</v>
      </c>
      <c r="J212" s="319">
        <f>IF(F212=$J$2,E212,0)</f>
        <v>0</v>
      </c>
      <c r="K212" s="358"/>
      <c r="L212" s="323"/>
      <c r="M212" s="219">
        <f t="shared" si="47"/>
        <v>0</v>
      </c>
      <c r="N212" s="319">
        <f t="shared" si="48"/>
        <v>0</v>
      </c>
      <c r="O212" s="218">
        <v>14</v>
      </c>
    </row>
    <row r="213" spans="1:15">
      <c r="A213" s="620" t="s">
        <v>1308</v>
      </c>
      <c r="B213" s="1425">
        <v>418.1</v>
      </c>
      <c r="C213" s="1426"/>
      <c r="D213" s="621" t="s">
        <v>2140</v>
      </c>
      <c r="E213" s="326">
        <v>-1824112.55</v>
      </c>
      <c r="F213" s="319" t="str">
        <f>$G$2</f>
        <v>Traditional OOR</v>
      </c>
      <c r="G213" s="319">
        <f t="shared" si="45"/>
        <v>-1824112.55</v>
      </c>
      <c r="H213" s="219">
        <f>E213*$D$254</f>
        <v>-107969.2218345</v>
      </c>
      <c r="I213" s="219">
        <f t="shared" si="46"/>
        <v>-1716143.3281655</v>
      </c>
      <c r="J213" s="319">
        <v>0</v>
      </c>
      <c r="K213" s="358"/>
      <c r="L213" s="323"/>
      <c r="M213" s="219">
        <f t="shared" si="47"/>
        <v>0</v>
      </c>
      <c r="N213" s="319">
        <f t="shared" si="48"/>
        <v>0</v>
      </c>
      <c r="O213" s="620" t="s">
        <v>2677</v>
      </c>
    </row>
    <row r="214" spans="1:15">
      <c r="A214" s="324"/>
      <c r="B214" s="365"/>
      <c r="C214" s="366"/>
      <c r="D214" s="367"/>
      <c r="E214" s="326"/>
      <c r="F214" s="323"/>
      <c r="G214" s="327"/>
      <c r="H214" s="324"/>
      <c r="I214" s="325"/>
      <c r="J214" s="323"/>
      <c r="K214" s="368"/>
      <c r="L214" s="323"/>
      <c r="M214" s="369"/>
      <c r="N214" s="323"/>
      <c r="O214" s="324"/>
    </row>
    <row r="215" spans="1:15">
      <c r="A215" s="324"/>
      <c r="B215" s="365"/>
      <c r="C215" s="366"/>
      <c r="D215" s="367"/>
      <c r="E215" s="326"/>
      <c r="F215" s="323"/>
      <c r="G215" s="327"/>
      <c r="H215" s="324"/>
      <c r="I215" s="325"/>
      <c r="J215" s="323"/>
      <c r="K215" s="368"/>
      <c r="L215" s="323"/>
      <c r="M215" s="369"/>
      <c r="N215" s="323"/>
      <c r="O215" s="324"/>
    </row>
    <row r="216" spans="1:15">
      <c r="A216" s="218">
        <v>29</v>
      </c>
      <c r="B216" s="1416" t="s">
        <v>1001</v>
      </c>
      <c r="C216" s="1420"/>
      <c r="D216" s="1421"/>
      <c r="E216" s="432">
        <f>SUM(E208:E215)</f>
        <v>-1824157.55</v>
      </c>
      <c r="F216" s="377"/>
      <c r="G216" s="432">
        <f>SUM(G208:G215)</f>
        <v>-1824157.55</v>
      </c>
      <c r="H216" s="432">
        <f>SUM(H208:H215)</f>
        <v>-107969.2218345</v>
      </c>
      <c r="I216" s="432">
        <f>SUM(I208:I215)</f>
        <v>-1716188.3281655</v>
      </c>
      <c r="J216" s="432">
        <f>SUM(J208:J215)</f>
        <v>0</v>
      </c>
      <c r="K216" s="342"/>
      <c r="L216" s="432">
        <f>SUM(L208:L215)</f>
        <v>0</v>
      </c>
      <c r="M216" s="432">
        <f>SUM(M208:M215)</f>
        <v>0</v>
      </c>
      <c r="N216" s="432">
        <f>SUM(N208:N215)</f>
        <v>0</v>
      </c>
      <c r="O216" s="209"/>
    </row>
    <row r="217" spans="1:15">
      <c r="A217" s="223">
        <v>30</v>
      </c>
      <c r="B217" s="1416" t="s">
        <v>1984</v>
      </c>
      <c r="C217" s="1420"/>
      <c r="D217" s="1421"/>
      <c r="E217" s="431">
        <f>E218-E216</f>
        <v>1824112.55</v>
      </c>
      <c r="F217" s="376"/>
      <c r="G217" s="376"/>
      <c r="H217" s="376"/>
      <c r="I217" s="376"/>
      <c r="J217" s="375"/>
      <c r="K217" s="376"/>
      <c r="L217" s="375"/>
      <c r="M217" s="375"/>
      <c r="N217" s="375"/>
      <c r="O217" s="207"/>
    </row>
    <row r="218" spans="1:15" ht="25.5" customHeight="1">
      <c r="A218" s="223">
        <v>31</v>
      </c>
      <c r="B218" s="1427" t="s">
        <v>1367</v>
      </c>
      <c r="C218" s="1415"/>
      <c r="D218" s="1415"/>
      <c r="E218" s="431">
        <v>-45</v>
      </c>
      <c r="F218" s="376"/>
      <c r="G218" s="376"/>
      <c r="H218" s="376"/>
      <c r="I218" s="376"/>
      <c r="J218" s="375"/>
      <c r="K218" s="376"/>
      <c r="L218" s="375"/>
      <c r="M218" s="375"/>
      <c r="N218" s="375"/>
      <c r="O218" s="207"/>
    </row>
    <row r="219" spans="1:15">
      <c r="A219" s="229"/>
    </row>
    <row r="220" spans="1:15">
      <c r="A220" s="223">
        <v>32</v>
      </c>
      <c r="B220" s="345"/>
      <c r="C220" s="344"/>
      <c r="D220" s="240" t="s">
        <v>1002</v>
      </c>
      <c r="E220" s="1380">
        <f>E9+E31+E39+E73+E141+E168+E173+E178+E203+E216</f>
        <v>798220761.62000012</v>
      </c>
      <c r="F220" s="433"/>
      <c r="G220" s="1380">
        <f>G9+G31+G39+G73+G141+G168+G173+G178+G203+G216</f>
        <v>241420223.15501601</v>
      </c>
      <c r="H220" s="1380">
        <f>H9+H31+H39+H73+H141+H168+H173+H178+H203+H216</f>
        <v>49523448.737286501</v>
      </c>
      <c r="I220" s="1380">
        <f>I9+I31+I39+I73+I141+I168+I173+I178+I203+I216</f>
        <v>191896774.41772947</v>
      </c>
      <c r="J220" s="1380">
        <f>J9+J31+J39+J73+J141+J168+J173+J178+J203+J216</f>
        <v>83406528.639999986</v>
      </c>
      <c r="K220" s="433"/>
      <c r="L220" s="1380">
        <f>L9+L31+L39+L73+L141+L168+L173+L178+L203+L216</f>
        <v>16671389.045323361</v>
      </c>
      <c r="M220" s="1380">
        <f>M9+M31+M39+M73+M141+M168+M173+M178+M203+M216</f>
        <v>66735139.594676644</v>
      </c>
      <c r="N220" s="1380">
        <f>N9+N31+N39+N73+N141+N168+N173+N178+N203+N216</f>
        <v>473394009.82498407</v>
      </c>
      <c r="O220" s="209"/>
    </row>
    <row r="221" spans="1:15">
      <c r="A221" s="241"/>
      <c r="B221" s="242"/>
      <c r="C221" s="241"/>
      <c r="E221" s="229"/>
      <c r="F221" s="229"/>
      <c r="G221" s="320"/>
      <c r="J221" s="337"/>
      <c r="K221" s="336"/>
      <c r="N221" s="320"/>
    </row>
    <row r="222" spans="1:15">
      <c r="A222" s="241"/>
      <c r="B222" s="242"/>
      <c r="C222" s="241"/>
      <c r="E222" s="229"/>
      <c r="F222" s="229" t="s">
        <v>171</v>
      </c>
      <c r="J222" s="337"/>
      <c r="K222" s="336"/>
      <c r="N222" s="320"/>
    </row>
    <row r="223" spans="1:15">
      <c r="A223" s="223">
        <v>33</v>
      </c>
      <c r="B223" s="364"/>
      <c r="C223" s="364"/>
      <c r="D223" s="360" t="s">
        <v>1003</v>
      </c>
      <c r="E223" s="357">
        <f>L220</f>
        <v>16671389.045323361</v>
      </c>
      <c r="F223" s="359" t="s">
        <v>1004</v>
      </c>
      <c r="G223" s="320"/>
      <c r="N223" s="320"/>
    </row>
    <row r="224" spans="1:15">
      <c r="A224" s="218">
        <v>34</v>
      </c>
      <c r="B224" s="364"/>
      <c r="C224" s="364"/>
      <c r="D224" s="360" t="s">
        <v>1006</v>
      </c>
      <c r="E224" s="357">
        <f>E223*(5.425/16.671)</f>
        <v>5425126.6013364065</v>
      </c>
      <c r="F224" s="1074" t="s">
        <v>1301</v>
      </c>
      <c r="G224" s="336"/>
      <c r="N224" s="320"/>
    </row>
    <row r="225" spans="1:254">
      <c r="A225" s="218">
        <v>35</v>
      </c>
      <c r="B225" s="364"/>
      <c r="C225" s="364"/>
      <c r="D225" s="362"/>
      <c r="E225" s="314"/>
      <c r="F225" s="1075"/>
      <c r="G225" s="336"/>
      <c r="N225" s="320"/>
    </row>
    <row r="226" spans="1:254">
      <c r="A226" s="218">
        <v>36</v>
      </c>
      <c r="B226" s="364"/>
      <c r="C226" s="364"/>
      <c r="D226" s="360" t="s">
        <v>1007</v>
      </c>
      <c r="E226" s="357">
        <f>SUMIF(K4:K209,"=A",M4:M209)</f>
        <v>40424674.813871965</v>
      </c>
      <c r="F226" s="1076" t="s">
        <v>1008</v>
      </c>
      <c r="G226" s="336"/>
      <c r="N226" s="320"/>
    </row>
    <row r="227" spans="1:254">
      <c r="A227" s="218">
        <v>37</v>
      </c>
      <c r="B227" s="354"/>
      <c r="C227" s="354"/>
      <c r="D227" s="360" t="s">
        <v>1009</v>
      </c>
      <c r="E227" s="357">
        <f>0.1*E226</f>
        <v>4042467.4813871966</v>
      </c>
      <c r="F227" s="69" t="str">
        <f>"= Line "&amp;A226&amp;"D * 10%"</f>
        <v>= Line 36D * 10%</v>
      </c>
      <c r="G227" s="41"/>
      <c r="H227" s="339"/>
      <c r="I227" s="340"/>
    </row>
    <row r="228" spans="1:254">
      <c r="A228" s="218">
        <v>38</v>
      </c>
      <c r="B228" s="354"/>
      <c r="C228" s="354"/>
      <c r="D228" s="360" t="s">
        <v>1010</v>
      </c>
      <c r="E228" s="357">
        <f>SUMIF(K4:K212,"=P",M4:M212)</f>
        <v>26310464.780804679</v>
      </c>
      <c r="F228" s="1077" t="s">
        <v>1011</v>
      </c>
      <c r="G228" s="41"/>
      <c r="H228" s="229"/>
      <c r="I228" s="340"/>
    </row>
    <row r="229" spans="1:254">
      <c r="A229" s="218">
        <v>39</v>
      </c>
      <c r="B229" s="354"/>
      <c r="C229" s="354"/>
      <c r="D229" s="360" t="s">
        <v>1012</v>
      </c>
      <c r="E229" s="357">
        <f>0.3*E228</f>
        <v>7893139.4342414029</v>
      </c>
      <c r="F229" s="69" t="str">
        <f>"= Line "&amp;A228&amp;"D * 30%"</f>
        <v>= Line 38D * 30%</v>
      </c>
      <c r="G229" s="41"/>
      <c r="H229" s="339"/>
      <c r="I229" s="340"/>
    </row>
    <row r="230" spans="1:254">
      <c r="A230" s="218">
        <v>40</v>
      </c>
      <c r="B230" s="354"/>
      <c r="C230" s="354"/>
      <c r="D230" s="360" t="s">
        <v>1013</v>
      </c>
      <c r="E230" s="357">
        <f>E227+E229</f>
        <v>11935606.915628599</v>
      </c>
      <c r="F230" s="69" t="str">
        <f>"= Line "&amp;A227&amp;"D + Line "&amp;A229&amp;"D"</f>
        <v>= Line 37D + Line 39D</v>
      </c>
      <c r="G230" s="335"/>
    </row>
    <row r="231" spans="1:254">
      <c r="A231" s="218">
        <v>41</v>
      </c>
      <c r="B231" s="354"/>
      <c r="C231" s="354"/>
      <c r="D231" s="360" t="s">
        <v>1014</v>
      </c>
      <c r="E231" s="361">
        <f>5.425/16.671</f>
        <v>0.32541539199808051</v>
      </c>
      <c r="F231" s="1076" t="s">
        <v>1005</v>
      </c>
      <c r="G231" s="335"/>
    </row>
    <row r="232" spans="1:254">
      <c r="A232" s="218">
        <v>42</v>
      </c>
      <c r="B232" s="354"/>
      <c r="C232" s="354"/>
      <c r="D232" s="360" t="s">
        <v>1015</v>
      </c>
      <c r="E232" s="357">
        <f>E230*E231</f>
        <v>3884030.203184281</v>
      </c>
      <c r="F232" s="69" t="str">
        <f>"= Line "&amp;A230&amp;"D * Line "&amp;A231&amp;"D"</f>
        <v>= Line 40D * Line 41D</v>
      </c>
      <c r="G232" s="335"/>
    </row>
    <row r="233" spans="1:254" ht="12.75" customHeight="1">
      <c r="A233" s="218">
        <v>43</v>
      </c>
      <c r="B233" s="354"/>
      <c r="C233" s="354"/>
      <c r="D233" s="363" t="s">
        <v>1985</v>
      </c>
      <c r="E233" s="432">
        <f>E232+E224</f>
        <v>9309156.8045206871</v>
      </c>
      <c r="F233" s="69" t="str">
        <f>"= Line "&amp;A224&amp;"D + Line "&amp;A232&amp;"D"</f>
        <v>= Line 34D + Line 42D</v>
      </c>
      <c r="G233" s="335"/>
    </row>
    <row r="234" spans="1:254">
      <c r="A234" s="41"/>
      <c r="D234" s="335"/>
      <c r="E234" s="1078"/>
      <c r="F234" s="1076"/>
      <c r="G234" s="335"/>
    </row>
    <row r="235" spans="1:254">
      <c r="A235" s="41"/>
      <c r="D235" s="238"/>
      <c r="E235" s="244" t="s">
        <v>194</v>
      </c>
      <c r="F235" s="244" t="s">
        <v>171</v>
      </c>
      <c r="G235" s="236"/>
      <c r="I235" s="239"/>
      <c r="J235" s="41"/>
      <c r="K235" s="239"/>
      <c r="L235" s="238"/>
      <c r="M235" s="244"/>
      <c r="N235" s="244"/>
      <c r="O235" s="236"/>
      <c r="P235" s="237"/>
      <c r="Q235" s="239"/>
      <c r="R235" s="238"/>
      <c r="S235" s="244"/>
      <c r="T235" s="244"/>
      <c r="U235" s="236"/>
      <c r="V235" s="237"/>
      <c r="W235" s="239"/>
      <c r="X235" s="41"/>
      <c r="Y235" s="239"/>
      <c r="Z235" s="238"/>
      <c r="AA235" s="244"/>
      <c r="AB235" s="244"/>
      <c r="AC235" s="236"/>
      <c r="AD235" s="237"/>
      <c r="AE235" s="239"/>
      <c r="AF235" s="41"/>
      <c r="AG235" s="239"/>
      <c r="AH235" s="238"/>
      <c r="AI235" s="244"/>
      <c r="AJ235" s="244"/>
      <c r="AK235" s="236"/>
      <c r="AL235" s="237"/>
      <c r="AM235" s="239"/>
      <c r="AN235" s="41"/>
      <c r="AO235" s="239"/>
      <c r="AP235" s="238"/>
      <c r="AQ235" s="244"/>
      <c r="AR235" s="244"/>
      <c r="AS235" s="236"/>
      <c r="AT235" s="237"/>
      <c r="AU235" s="239"/>
      <c r="AV235" s="41"/>
      <c r="AW235" s="239"/>
      <c r="AX235" s="238"/>
      <c r="AY235" s="244"/>
      <c r="AZ235" s="244"/>
      <c r="BA235" s="236"/>
      <c r="BB235" s="237"/>
      <c r="BC235" s="239"/>
      <c r="BD235" s="41"/>
      <c r="BE235" s="239"/>
      <c r="BF235" s="238"/>
      <c r="BG235" s="244"/>
      <c r="BH235" s="244"/>
      <c r="BI235" s="236"/>
      <c r="BJ235" s="237"/>
      <c r="BK235" s="239"/>
      <c r="BL235" s="41"/>
      <c r="BM235" s="239"/>
      <c r="BN235" s="238"/>
      <c r="BO235" s="244"/>
      <c r="BP235" s="244"/>
      <c r="BQ235" s="236"/>
      <c r="BR235" s="237"/>
      <c r="BS235" s="239"/>
      <c r="BT235" s="41"/>
      <c r="BU235" s="239"/>
      <c r="BV235" s="238"/>
      <c r="BW235" s="244"/>
      <c r="BX235" s="244"/>
      <c r="BY235" s="236"/>
      <c r="BZ235" s="237"/>
      <c r="CA235" s="239"/>
      <c r="CB235" s="41"/>
      <c r="CC235" s="239"/>
      <c r="CD235" s="238"/>
      <c r="CE235" s="244"/>
      <c r="CF235" s="244"/>
      <c r="CG235" s="236"/>
      <c r="CH235" s="237"/>
      <c r="CI235" s="239"/>
      <c r="CJ235" s="41"/>
      <c r="CK235" s="239"/>
      <c r="CL235" s="238"/>
      <c r="CM235" s="244"/>
      <c r="CN235" s="244"/>
      <c r="CO235" s="236"/>
      <c r="CP235" s="237"/>
      <c r="CQ235" s="239"/>
      <c r="CR235" s="41"/>
      <c r="CS235" s="239"/>
      <c r="CT235" s="238"/>
      <c r="CU235" s="244"/>
      <c r="CV235" s="244"/>
      <c r="CW235" s="236"/>
      <c r="CX235" s="237"/>
      <c r="CY235" s="239"/>
      <c r="CZ235" s="41"/>
      <c r="DA235" s="239"/>
      <c r="DB235" s="238"/>
      <c r="DC235" s="244"/>
      <c r="DD235" s="244"/>
      <c r="DE235" s="236"/>
      <c r="DF235" s="237"/>
      <c r="DG235" s="239"/>
      <c r="DH235" s="41"/>
      <c r="DI235" s="239"/>
      <c r="DJ235" s="238"/>
      <c r="DK235" s="244"/>
      <c r="DL235" s="244"/>
      <c r="DM235" s="236"/>
      <c r="DN235" s="237"/>
      <c r="DO235" s="239"/>
      <c r="DP235" s="41"/>
      <c r="DQ235" s="239"/>
      <c r="DR235" s="238"/>
      <c r="DS235" s="244"/>
      <c r="DT235" s="244"/>
      <c r="DU235" s="236"/>
      <c r="DV235" s="237"/>
      <c r="DW235" s="239"/>
      <c r="DX235" s="41"/>
      <c r="DY235" s="239"/>
      <c r="DZ235" s="238"/>
      <c r="EA235" s="244"/>
      <c r="EB235" s="244"/>
      <c r="EC235" s="236"/>
      <c r="ED235" s="237"/>
      <c r="EE235" s="239"/>
      <c r="EF235" s="41"/>
      <c r="EG235" s="239"/>
      <c r="EH235" s="238"/>
      <c r="EI235" s="244"/>
      <c r="EJ235" s="244"/>
      <c r="EK235" s="236"/>
      <c r="EL235" s="237"/>
      <c r="EM235" s="239"/>
      <c r="EN235" s="41"/>
      <c r="EO235" s="239"/>
      <c r="EP235" s="238"/>
      <c r="EQ235" s="244"/>
      <c r="ER235" s="244"/>
      <c r="ES235" s="236"/>
      <c r="ET235" s="237"/>
      <c r="EU235" s="239"/>
      <c r="EV235" s="41"/>
      <c r="EW235" s="239"/>
      <c r="EX235" s="238"/>
      <c r="EY235" s="244"/>
      <c r="EZ235" s="244"/>
      <c r="FA235" s="236"/>
      <c r="FB235" s="237"/>
      <c r="FC235" s="239"/>
      <c r="FD235" s="41"/>
      <c r="FE235" s="239"/>
      <c r="FF235" s="238"/>
      <c r="FG235" s="244"/>
      <c r="FH235" s="244"/>
      <c r="FI235" s="236"/>
      <c r="FJ235" s="237"/>
      <c r="FK235" s="239"/>
      <c r="FL235" s="41"/>
      <c r="FM235" s="239"/>
      <c r="FN235" s="238"/>
      <c r="FO235" s="244"/>
      <c r="FP235" s="244"/>
      <c r="FQ235" s="236"/>
      <c r="FR235" s="237"/>
      <c r="FS235" s="239"/>
      <c r="FT235" s="41"/>
      <c r="FU235" s="239"/>
      <c r="FV235" s="238"/>
      <c r="FW235" s="244"/>
      <c r="FX235" s="244"/>
      <c r="FY235" s="236"/>
      <c r="FZ235" s="237"/>
      <c r="GA235" s="239"/>
      <c r="GB235" s="41"/>
      <c r="GC235" s="239"/>
      <c r="GD235" s="238"/>
      <c r="GE235" s="244"/>
      <c r="GF235" s="244"/>
      <c r="GG235" s="236"/>
      <c r="GH235" s="237"/>
      <c r="GI235" s="239"/>
      <c r="GJ235" s="41"/>
      <c r="GK235" s="239"/>
      <c r="GL235" s="238"/>
      <c r="GM235" s="244"/>
      <c r="GN235" s="244"/>
      <c r="GO235" s="236"/>
      <c r="GP235" s="237"/>
      <c r="GQ235" s="239"/>
      <c r="GR235" s="41"/>
      <c r="GS235" s="239"/>
      <c r="GT235" s="238"/>
      <c r="GU235" s="244"/>
      <c r="GV235" s="244"/>
      <c r="GW235" s="236"/>
      <c r="GX235" s="237"/>
      <c r="GY235" s="239"/>
      <c r="GZ235" s="41"/>
      <c r="HA235" s="239"/>
      <c r="HB235" s="238"/>
      <c r="HC235" s="244"/>
      <c r="HD235" s="244"/>
      <c r="HE235" s="236"/>
      <c r="HF235" s="237"/>
      <c r="HG235" s="239"/>
      <c r="HH235" s="41"/>
      <c r="HI235" s="239"/>
      <c r="HJ235" s="238"/>
      <c r="HK235" s="244"/>
      <c r="HL235" s="244"/>
      <c r="HM235" s="236"/>
      <c r="HN235" s="237"/>
      <c r="HO235" s="239"/>
      <c r="HP235" s="41"/>
      <c r="HQ235" s="239"/>
      <c r="HR235" s="238"/>
      <c r="HS235" s="244"/>
      <c r="HT235" s="244"/>
      <c r="HU235" s="236"/>
      <c r="HV235" s="237"/>
      <c r="HW235" s="239"/>
      <c r="HX235" s="41"/>
      <c r="HY235" s="239"/>
      <c r="HZ235" s="238"/>
      <c r="IA235" s="244"/>
      <c r="IB235" s="244"/>
      <c r="IC235" s="236"/>
      <c r="ID235" s="237"/>
      <c r="IE235" s="239"/>
      <c r="IF235" s="41"/>
      <c r="IG235" s="239"/>
      <c r="IH235" s="238"/>
      <c r="II235" s="244"/>
      <c r="IJ235" s="244"/>
      <c r="IK235" s="236"/>
      <c r="IL235" s="237"/>
      <c r="IM235" s="239"/>
      <c r="IN235" s="41"/>
      <c r="IO235" s="239"/>
      <c r="IP235" s="238"/>
      <c r="IQ235" s="244"/>
      <c r="IR235" s="244"/>
      <c r="IS235" s="236"/>
      <c r="IT235" s="237"/>
    </row>
    <row r="236" spans="1:254">
      <c r="A236" s="218">
        <v>44</v>
      </c>
      <c r="B236" s="40" t="s">
        <v>1038</v>
      </c>
      <c r="D236" s="238"/>
      <c r="E236" s="1381">
        <f>H220+E233</f>
        <v>58832605.54180719</v>
      </c>
      <c r="F236" s="810" t="s">
        <v>2510</v>
      </c>
      <c r="G236" s="236"/>
      <c r="J236" s="40"/>
      <c r="K236" s="239"/>
      <c r="L236" s="238"/>
      <c r="M236" s="243"/>
      <c r="N236" s="245"/>
      <c r="O236" s="236"/>
      <c r="P236" s="237"/>
      <c r="Q236" s="239"/>
      <c r="R236" s="238"/>
      <c r="S236" s="243"/>
      <c r="T236" s="245"/>
      <c r="U236" s="236"/>
      <c r="V236" s="237"/>
      <c r="W236" s="229"/>
      <c r="X236" s="40"/>
      <c r="Y236" s="239"/>
      <c r="Z236" s="238"/>
      <c r="AA236" s="243"/>
      <c r="AB236" s="245"/>
      <c r="AC236" s="236"/>
      <c r="AD236" s="237"/>
      <c r="AE236" s="229"/>
      <c r="AF236" s="40"/>
      <c r="AG236" s="239"/>
      <c r="AH236" s="238"/>
      <c r="AI236" s="243"/>
      <c r="AJ236" s="245"/>
      <c r="AK236" s="236"/>
      <c r="AL236" s="237"/>
      <c r="AM236" s="223"/>
      <c r="AN236" s="40"/>
      <c r="AO236" s="239"/>
      <c r="AP236" s="238"/>
      <c r="AQ236" s="243"/>
      <c r="AR236" s="245"/>
      <c r="AS236" s="236"/>
      <c r="AT236" s="237"/>
      <c r="AU236" s="223"/>
      <c r="AV236" s="40"/>
      <c r="AW236" s="239"/>
      <c r="AX236" s="238"/>
      <c r="AY236" s="243"/>
      <c r="AZ236" s="245"/>
      <c r="BA236" s="236"/>
      <c r="BB236" s="237"/>
      <c r="BC236" s="223"/>
      <c r="BD236" s="40"/>
      <c r="BE236" s="239"/>
      <c r="BF236" s="238"/>
      <c r="BG236" s="243"/>
      <c r="BH236" s="245"/>
      <c r="BI236" s="236"/>
      <c r="BJ236" s="237"/>
      <c r="BK236" s="223"/>
      <c r="BL236" s="40"/>
      <c r="BM236" s="239"/>
      <c r="BN236" s="238"/>
      <c r="BO236" s="243"/>
      <c r="BP236" s="245"/>
      <c r="BQ236" s="236"/>
      <c r="BR236" s="237"/>
      <c r="BS236" s="223"/>
      <c r="BT236" s="40"/>
      <c r="BU236" s="239"/>
      <c r="BV236" s="238"/>
      <c r="BW236" s="243"/>
      <c r="BX236" s="245"/>
      <c r="BY236" s="236"/>
      <c r="BZ236" s="237"/>
      <c r="CA236" s="223"/>
      <c r="CB236" s="40"/>
      <c r="CC236" s="239"/>
      <c r="CD236" s="238"/>
      <c r="CE236" s="243"/>
      <c r="CF236" s="245"/>
      <c r="CG236" s="236"/>
      <c r="CH236" s="237"/>
      <c r="CI236" s="223"/>
      <c r="CJ236" s="40"/>
      <c r="CK236" s="239"/>
      <c r="CL236" s="238"/>
      <c r="CM236" s="243"/>
      <c r="CN236" s="245"/>
      <c r="CO236" s="236"/>
      <c r="CP236" s="237"/>
      <c r="CQ236" s="223"/>
      <c r="CR236" s="40"/>
      <c r="CS236" s="239"/>
      <c r="CT236" s="238"/>
      <c r="CU236" s="243"/>
      <c r="CV236" s="245"/>
      <c r="CW236" s="236"/>
      <c r="CX236" s="237"/>
      <c r="CY236" s="223"/>
      <c r="CZ236" s="40"/>
      <c r="DA236" s="239"/>
      <c r="DB236" s="238"/>
      <c r="DC236" s="243"/>
      <c r="DD236" s="245"/>
      <c r="DE236" s="236"/>
      <c r="DF236" s="237"/>
      <c r="DG236" s="223"/>
      <c r="DH236" s="40"/>
      <c r="DI236" s="239"/>
      <c r="DJ236" s="238"/>
      <c r="DK236" s="243"/>
      <c r="DL236" s="245"/>
      <c r="DM236" s="236"/>
      <c r="DN236" s="237"/>
      <c r="DO236" s="223"/>
      <c r="DP236" s="40"/>
      <c r="DQ236" s="239"/>
      <c r="DR236" s="238"/>
      <c r="DS236" s="243"/>
      <c r="DT236" s="245"/>
      <c r="DU236" s="236"/>
      <c r="DV236" s="237"/>
      <c r="DW236" s="223"/>
      <c r="DX236" s="40"/>
      <c r="DY236" s="239"/>
      <c r="DZ236" s="238"/>
      <c r="EA236" s="243"/>
      <c r="EB236" s="245"/>
      <c r="EC236" s="236"/>
      <c r="ED236" s="237"/>
      <c r="EE236" s="223"/>
      <c r="EF236" s="40"/>
      <c r="EG236" s="239"/>
      <c r="EH236" s="238"/>
      <c r="EI236" s="243"/>
      <c r="EJ236" s="245"/>
      <c r="EK236" s="236"/>
      <c r="EL236" s="237"/>
      <c r="EM236" s="223"/>
      <c r="EN236" s="40"/>
      <c r="EO236" s="239"/>
      <c r="EP236" s="238"/>
      <c r="EQ236" s="243"/>
      <c r="ER236" s="245"/>
      <c r="ES236" s="236"/>
      <c r="ET236" s="237"/>
      <c r="EU236" s="223"/>
      <c r="EV236" s="40"/>
      <c r="EW236" s="239"/>
      <c r="EX236" s="238"/>
      <c r="EY236" s="243"/>
      <c r="EZ236" s="245"/>
      <c r="FA236" s="236"/>
      <c r="FB236" s="237"/>
      <c r="FC236" s="223"/>
      <c r="FD236" s="40"/>
      <c r="FE236" s="239"/>
      <c r="FF236" s="238"/>
      <c r="FG236" s="243"/>
      <c r="FH236" s="245"/>
      <c r="FI236" s="236"/>
      <c r="FJ236" s="237"/>
      <c r="FK236" s="223"/>
      <c r="FL236" s="40"/>
      <c r="FM236" s="239"/>
      <c r="FN236" s="238"/>
      <c r="FO236" s="243"/>
      <c r="FP236" s="245"/>
      <c r="FQ236" s="236"/>
      <c r="FR236" s="237"/>
      <c r="FS236" s="223"/>
      <c r="FT236" s="40"/>
      <c r="FU236" s="239"/>
      <c r="FV236" s="238"/>
      <c r="FW236" s="243"/>
      <c r="FX236" s="245"/>
      <c r="FY236" s="236"/>
      <c r="FZ236" s="237"/>
      <c r="GA236" s="223"/>
      <c r="GB236" s="40"/>
      <c r="GC236" s="239"/>
      <c r="GD236" s="238"/>
      <c r="GE236" s="243"/>
      <c r="GF236" s="245"/>
      <c r="GG236" s="236"/>
      <c r="GH236" s="237"/>
      <c r="GI236" s="223"/>
      <c r="GJ236" s="40"/>
      <c r="GK236" s="239"/>
      <c r="GL236" s="238"/>
      <c r="GM236" s="243"/>
      <c r="GN236" s="245"/>
      <c r="GO236" s="236"/>
      <c r="GP236" s="237"/>
      <c r="GQ236" s="223"/>
      <c r="GR236" s="40"/>
      <c r="GS236" s="239"/>
      <c r="GT236" s="238"/>
      <c r="GU236" s="243"/>
      <c r="GV236" s="245"/>
      <c r="GW236" s="236"/>
      <c r="GX236" s="237"/>
      <c r="GY236" s="223"/>
      <c r="GZ236" s="40"/>
      <c r="HA236" s="239"/>
      <c r="HB236" s="238"/>
      <c r="HC236" s="243"/>
      <c r="HD236" s="245"/>
      <c r="HE236" s="236"/>
      <c r="HF236" s="237"/>
      <c r="HG236" s="223"/>
      <c r="HH236" s="40"/>
      <c r="HI236" s="239"/>
      <c r="HJ236" s="238"/>
      <c r="HK236" s="243"/>
      <c r="HL236" s="245"/>
      <c r="HM236" s="236"/>
      <c r="HN236" s="237"/>
      <c r="HO236" s="223"/>
      <c r="HP236" s="40"/>
      <c r="HQ236" s="239"/>
      <c r="HR236" s="238"/>
      <c r="HS236" s="243"/>
      <c r="HT236" s="245"/>
      <c r="HU236" s="236"/>
      <c r="HV236" s="237"/>
      <c r="HW236" s="223"/>
      <c r="HX236" s="40"/>
      <c r="HY236" s="239"/>
      <c r="HZ236" s="238"/>
      <c r="IA236" s="243"/>
      <c r="IB236" s="245"/>
      <c r="IC236" s="236"/>
      <c r="ID236" s="237"/>
      <c r="IE236" s="223"/>
      <c r="IF236" s="40"/>
      <c r="IG236" s="239"/>
      <c r="IH236" s="238"/>
      <c r="II236" s="243"/>
      <c r="IJ236" s="245"/>
      <c r="IK236" s="236"/>
      <c r="IL236" s="237"/>
      <c r="IM236" s="223"/>
      <c r="IN236" s="40"/>
      <c r="IO236" s="239"/>
      <c r="IP236" s="238"/>
      <c r="IQ236" s="243"/>
      <c r="IR236" s="245"/>
      <c r="IS236" s="236"/>
      <c r="IT236" s="237"/>
    </row>
    <row r="237" spans="1:254">
      <c r="D237" s="335"/>
      <c r="E237" s="321"/>
      <c r="F237" s="359"/>
    </row>
    <row r="239" spans="1:254">
      <c r="A239" s="239" t="s">
        <v>256</v>
      </c>
    </row>
    <row r="240" spans="1:254" ht="12.75" customHeight="1">
      <c r="A240" s="93" t="s">
        <v>1016</v>
      </c>
      <c r="B240" s="1432" t="s">
        <v>1655</v>
      </c>
      <c r="C240" s="1433"/>
      <c r="D240" s="1433"/>
    </row>
    <row r="241" spans="1:8" ht="77.25" customHeight="1">
      <c r="A241" s="93" t="s">
        <v>1017</v>
      </c>
      <c r="B241" s="1405" t="s">
        <v>2167</v>
      </c>
      <c r="C241" s="1406"/>
      <c r="D241" s="1406"/>
      <c r="E241" s="1407"/>
      <c r="F241" s="1407"/>
    </row>
    <row r="242" spans="1:8" ht="12.75" customHeight="1">
      <c r="A242" s="93" t="s">
        <v>1018</v>
      </c>
      <c r="B242" s="1422" t="s">
        <v>1019</v>
      </c>
      <c r="C242" s="1423"/>
      <c r="D242" s="1423"/>
      <c r="E242" s="1424"/>
      <c r="F242" s="1424"/>
    </row>
    <row r="243" spans="1:8" ht="12.75" customHeight="1">
      <c r="A243" s="78" t="s">
        <v>1020</v>
      </c>
      <c r="B243" s="1405" t="s">
        <v>1700</v>
      </c>
      <c r="C243" s="1423"/>
      <c r="D243" s="1423"/>
      <c r="E243" s="1424"/>
      <c r="F243" s="1424"/>
    </row>
    <row r="244" spans="1:8" ht="12.75" customHeight="1">
      <c r="A244" s="93" t="s">
        <v>1021</v>
      </c>
      <c r="B244" s="1422" t="s">
        <v>1022</v>
      </c>
      <c r="C244" s="1423"/>
      <c r="D244" s="1423"/>
      <c r="E244" s="1424"/>
      <c r="F244" s="1424"/>
    </row>
    <row r="245" spans="1:8" ht="12.75" customHeight="1">
      <c r="A245" s="78" t="s">
        <v>1023</v>
      </c>
      <c r="B245" s="1422" t="s">
        <v>1024</v>
      </c>
      <c r="C245" s="1423"/>
      <c r="D245" s="1423"/>
      <c r="E245" s="1424"/>
      <c r="F245" s="1424"/>
    </row>
    <row r="246" spans="1:8" ht="12.75" customHeight="1">
      <c r="A246" s="78" t="s">
        <v>1025</v>
      </c>
      <c r="B246" s="1405" t="s">
        <v>1948</v>
      </c>
      <c r="C246" s="1406"/>
      <c r="D246" s="1406"/>
      <c r="E246" s="1428"/>
      <c r="F246" s="1428"/>
    </row>
    <row r="247" spans="1:8" ht="12.75" customHeight="1">
      <c r="A247" s="78"/>
      <c r="B247" s="1428"/>
      <c r="C247" s="1428"/>
      <c r="D247" s="1428"/>
      <c r="E247" s="1428"/>
      <c r="F247" s="1428"/>
    </row>
    <row r="248" spans="1:8" ht="12.75" customHeight="1">
      <c r="A248" s="78"/>
      <c r="B248" s="1422" t="s">
        <v>1026</v>
      </c>
      <c r="C248" s="1423"/>
      <c r="D248" s="374">
        <v>5.919E-2</v>
      </c>
      <c r="E248" s="1079" t="s">
        <v>1981</v>
      </c>
      <c r="F248" s="1179" t="s">
        <v>2869</v>
      </c>
      <c r="G248" s="654"/>
    </row>
    <row r="249" spans="1:8" ht="26.25" customHeight="1">
      <c r="A249" s="78" t="s">
        <v>1027</v>
      </c>
      <c r="B249" s="1422" t="s">
        <v>1028</v>
      </c>
      <c r="C249" s="1423"/>
      <c r="D249" s="1423"/>
      <c r="E249" s="1424"/>
      <c r="F249" s="1424"/>
    </row>
    <row r="250" spans="1:8" ht="27.75" customHeight="1">
      <c r="A250" s="78" t="s">
        <v>1029</v>
      </c>
      <c r="B250" s="1422" t="s">
        <v>1030</v>
      </c>
      <c r="C250" s="1423"/>
      <c r="D250" s="1423"/>
      <c r="E250" s="1424"/>
      <c r="F250" s="1424"/>
    </row>
    <row r="251" spans="1:8" ht="25.5" customHeight="1">
      <c r="A251" s="93" t="s">
        <v>1031</v>
      </c>
      <c r="B251" s="1422" t="s">
        <v>1032</v>
      </c>
      <c r="C251" s="1423"/>
      <c r="D251" s="1423"/>
      <c r="E251" s="1424"/>
      <c r="F251" s="1424"/>
    </row>
    <row r="252" spans="1:8" ht="39.950000000000003" customHeight="1">
      <c r="A252" s="78" t="s">
        <v>1033</v>
      </c>
      <c r="B252" s="1405" t="s">
        <v>1982</v>
      </c>
      <c r="C252" s="1406"/>
      <c r="D252" s="1406"/>
      <c r="E252" s="1407"/>
      <c r="F252" s="1407"/>
      <c r="G252" s="335"/>
    </row>
    <row r="253" spans="1:8" ht="26.1" customHeight="1">
      <c r="A253" s="78" t="s">
        <v>1034</v>
      </c>
      <c r="B253" s="1405" t="s">
        <v>1949</v>
      </c>
      <c r="C253" s="1406"/>
      <c r="D253" s="1406"/>
      <c r="E253" s="1428"/>
      <c r="F253" s="1428"/>
      <c r="G253" s="1428"/>
    </row>
    <row r="254" spans="1:8" ht="12.75" customHeight="1">
      <c r="A254" s="78"/>
      <c r="B254" s="1422" t="s">
        <v>1026</v>
      </c>
      <c r="C254" s="1423"/>
      <c r="D254" s="1182">
        <v>5.919E-2</v>
      </c>
      <c r="E254" s="1079" t="s">
        <v>1981</v>
      </c>
      <c r="F254" s="1179" t="s">
        <v>2869</v>
      </c>
      <c r="G254" s="654"/>
    </row>
    <row r="255" spans="1:8" ht="12.75" customHeight="1">
      <c r="A255" s="78" t="s">
        <v>1035</v>
      </c>
      <c r="B255" s="1405" t="s">
        <v>2505</v>
      </c>
      <c r="C255" s="1406"/>
      <c r="D255" s="1406"/>
      <c r="E255" s="1428"/>
      <c r="F255" s="1428"/>
      <c r="G255" s="1428"/>
      <c r="H255" s="1428"/>
    </row>
    <row r="256" spans="1:8" ht="12.75" customHeight="1">
      <c r="A256" s="78" t="s">
        <v>1036</v>
      </c>
      <c r="B256" s="1405" t="s">
        <v>2506</v>
      </c>
      <c r="C256" s="1406"/>
      <c r="D256" s="1406"/>
      <c r="E256" s="1428"/>
      <c r="F256" s="1428"/>
      <c r="G256" s="1428"/>
    </row>
    <row r="257" spans="1:7" ht="25.5" customHeight="1">
      <c r="A257" s="624" t="s">
        <v>1888</v>
      </c>
      <c r="B257" s="1405" t="s">
        <v>2005</v>
      </c>
      <c r="C257" s="1406"/>
      <c r="D257" s="1406"/>
      <c r="E257" s="1407"/>
      <c r="F257" s="1407"/>
      <c r="G257" s="335"/>
    </row>
    <row r="258" spans="1:7">
      <c r="A258" s="624" t="s">
        <v>1983</v>
      </c>
      <c r="B258" s="601" t="s">
        <v>2045</v>
      </c>
      <c r="C258" s="41"/>
      <c r="E258" s="41"/>
      <c r="F258" s="41"/>
      <c r="G258" s="335"/>
    </row>
    <row r="259" spans="1:7">
      <c r="A259" s="624" t="s">
        <v>2011</v>
      </c>
      <c r="B259" s="601" t="s">
        <v>2141</v>
      </c>
      <c r="C259" s="41"/>
      <c r="E259" s="335"/>
      <c r="F259" s="335"/>
      <c r="G259" s="335"/>
    </row>
    <row r="260" spans="1:7">
      <c r="A260" s="41"/>
      <c r="B260" s="601" t="s">
        <v>2142</v>
      </c>
      <c r="C260" s="41"/>
      <c r="E260" s="335"/>
      <c r="F260" s="335"/>
      <c r="G260" s="335"/>
    </row>
    <row r="261" spans="1:7">
      <c r="A261" s="41"/>
      <c r="B261" s="601" t="s">
        <v>2143</v>
      </c>
      <c r="C261" s="41"/>
      <c r="E261" s="335"/>
      <c r="F261" s="335"/>
      <c r="G261" s="335"/>
    </row>
    <row r="262" spans="1:7">
      <c r="A262" s="41"/>
      <c r="B262" s="601" t="s">
        <v>2144</v>
      </c>
      <c r="C262" s="41"/>
      <c r="E262" s="335"/>
      <c r="F262" s="335"/>
      <c r="G262" s="335"/>
    </row>
  </sheetData>
  <autoFilter ref="A1:O258"/>
  <mergeCells count="47">
    <mergeCell ref="B255:H255"/>
    <mergeCell ref="B256:G256"/>
    <mergeCell ref="B141:D141"/>
    <mergeCell ref="B251:F251"/>
    <mergeCell ref="B252:F252"/>
    <mergeCell ref="B254:C254"/>
    <mergeCell ref="B253:G253"/>
    <mergeCell ref="B174:D174"/>
    <mergeCell ref="B203:D203"/>
    <mergeCell ref="B179:D179"/>
    <mergeCell ref="B212:C212"/>
    <mergeCell ref="B240:D240"/>
    <mergeCell ref="B173:D173"/>
    <mergeCell ref="B168:D168"/>
    <mergeCell ref="B248:C248"/>
    <mergeCell ref="B246:F247"/>
    <mergeCell ref="B250:F250"/>
    <mergeCell ref="B241:F241"/>
    <mergeCell ref="B208:C208"/>
    <mergeCell ref="B209:C209"/>
    <mergeCell ref="B211:C211"/>
    <mergeCell ref="B216:D216"/>
    <mergeCell ref="B218:D218"/>
    <mergeCell ref="B217:D217"/>
    <mergeCell ref="B210:C210"/>
    <mergeCell ref="B242:F242"/>
    <mergeCell ref="B243:F243"/>
    <mergeCell ref="B245:F245"/>
    <mergeCell ref="B244:F244"/>
    <mergeCell ref="B249:F249"/>
    <mergeCell ref="B213:C213"/>
    <mergeCell ref="B257:F257"/>
    <mergeCell ref="J2:M2"/>
    <mergeCell ref="G2:I2"/>
    <mergeCell ref="B205:D205"/>
    <mergeCell ref="B169:D169"/>
    <mergeCell ref="B74:D74"/>
    <mergeCell ref="B40:D40"/>
    <mergeCell ref="B32:D32"/>
    <mergeCell ref="B204:D204"/>
    <mergeCell ref="B178:D178"/>
    <mergeCell ref="B9:D9"/>
    <mergeCell ref="B10:D10"/>
    <mergeCell ref="B39:D39"/>
    <mergeCell ref="B31:D31"/>
    <mergeCell ref="B73:D73"/>
    <mergeCell ref="B142:D142"/>
  </mergeCells>
  <conditionalFormatting sqref="A244:A245 C175:C177 C143:C164 D79 C2:C8 C170:C172 C259:C65568 A249:A250 C179:C188 A252:A255 C237:C239 C33:C38 C75:C137 C220:C234 A257:A258 C11:C30 C41:C69 C166:C167 C71:C72 C139:C140">
    <cfRule type="cellIs" dxfId="8" priority="9" stopIfTrue="1" operator="between">
      <formula>4990000</formula>
      <formula>4999999</formula>
    </cfRule>
  </conditionalFormatting>
  <conditionalFormatting sqref="A256">
    <cfRule type="cellIs" dxfId="7" priority="8" stopIfTrue="1" operator="between">
      <formula>4990000</formula>
      <formula>4999999</formula>
    </cfRule>
  </conditionalFormatting>
  <conditionalFormatting sqref="A246:A248">
    <cfRule type="cellIs" dxfId="6" priority="7" stopIfTrue="1" operator="between">
      <formula>4990000</formula>
      <formula>4999999</formula>
    </cfRule>
  </conditionalFormatting>
  <conditionalFormatting sqref="K235:K236 Q235:Q236 Y235:Y236 AG235:AG236 AO235:AO236 AW235:AW236 BE235:BE236 BM235:BM236 BU235:BU236 CC235:CC236 CK235:CK236 CS235:CS236 DA235:DA236 DI235:DI236 DQ235:DQ236 DY235:DY236 EG235:EG236 EO235:EO236 EW235:EW236 FE235:FE236 FM235:FM236 FU235:FU236 GC235:GC236 GK235:GK236 GS235:GS236 HA235:HA236 HI235:HI236 HQ235:HQ236 HY235:HY236 IG235:IG236 IO235:IO236">
    <cfRule type="cellIs" dxfId="5" priority="6" stopIfTrue="1" operator="between">
      <formula>4990000</formula>
      <formula>4999999</formula>
    </cfRule>
  </conditionalFormatting>
  <conditionalFormatting sqref="C235:C236">
    <cfRule type="cellIs" dxfId="4" priority="5" stopIfTrue="1" operator="between">
      <formula>4990000</formula>
      <formula>4999999</formula>
    </cfRule>
  </conditionalFormatting>
  <conditionalFormatting sqref="A259">
    <cfRule type="cellIs" dxfId="3" priority="4" stopIfTrue="1" operator="between">
      <formula>4990000</formula>
      <formula>4999999</formula>
    </cfRule>
  </conditionalFormatting>
  <conditionalFormatting sqref="C165">
    <cfRule type="cellIs" dxfId="2" priority="3" stopIfTrue="1" operator="between">
      <formula>4990000</formula>
      <formula>4999999</formula>
    </cfRule>
  </conditionalFormatting>
  <conditionalFormatting sqref="C70">
    <cfRule type="cellIs" dxfId="1" priority="2" stopIfTrue="1" operator="between">
      <formula>4990000</formula>
      <formula>4999999</formula>
    </cfRule>
  </conditionalFormatting>
  <conditionalFormatting sqref="C138">
    <cfRule type="cellIs" dxfId="0" priority="1"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&amp;RTO2019 Draft Annual Update
Attachment 5
TO13 True Up TRR</oddHeader>
    <oddFooter>&amp;R21-RevenueCredits</oddFooter>
  </headerFooter>
  <rowBreaks count="3" manualBreakCount="3">
    <brk id="74" max="16383" man="1"/>
    <brk id="142" max="16383" man="1"/>
    <brk id="20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WhiteSpace="0" zoomScaleNormal="100" zoomScalePageLayoutView="80" workbookViewId="0"/>
  </sheetViews>
  <sheetFormatPr defaultRowHeight="12.75"/>
  <cols>
    <col min="1" max="1" width="4.7109375" style="516" customWidth="1"/>
    <col min="2" max="2" width="14" style="515" customWidth="1"/>
    <col min="3" max="3" width="26.85546875" style="515" customWidth="1"/>
    <col min="4" max="4" width="28.5703125" style="515" customWidth="1"/>
    <col min="5" max="5" width="16.28515625" style="515" bestFit="1" customWidth="1"/>
    <col min="6" max="6" width="20.7109375" style="1352" customWidth="1"/>
    <col min="7" max="7" width="9.140625" style="515" customWidth="1"/>
    <col min="8" max="16384" width="9.140625" style="515"/>
  </cols>
  <sheetData>
    <row r="1" spans="1:7">
      <c r="A1" s="90" t="s">
        <v>1178</v>
      </c>
      <c r="C1" s="90"/>
      <c r="D1" s="90"/>
      <c r="E1" s="90"/>
    </row>
    <row r="2" spans="1:7">
      <c r="A2" s="90"/>
      <c r="C2" s="90"/>
      <c r="D2" s="90"/>
      <c r="E2" s="1028" t="s">
        <v>1958</v>
      </c>
      <c r="F2" s="1159">
        <v>2017</v>
      </c>
    </row>
    <row r="3" spans="1:7">
      <c r="B3" s="90" t="s">
        <v>1215</v>
      </c>
      <c r="C3" s="90"/>
      <c r="D3" s="90"/>
      <c r="E3" s="90"/>
    </row>
    <row r="4" spans="1:7" ht="15">
      <c r="A4" s="53" t="s">
        <v>360</v>
      </c>
      <c r="C4" s="90"/>
      <c r="E4" s="3" t="s">
        <v>1051</v>
      </c>
      <c r="F4" s="1353" t="s">
        <v>187</v>
      </c>
    </row>
    <row r="5" spans="1:7" ht="15">
      <c r="A5" s="1354">
        <v>1</v>
      </c>
      <c r="B5" s="602" t="s">
        <v>1179</v>
      </c>
      <c r="C5" s="602"/>
      <c r="E5" s="822">
        <v>119779556.01000001</v>
      </c>
      <c r="F5" s="1355" t="s">
        <v>236</v>
      </c>
    </row>
    <row r="6" spans="1:7" ht="15">
      <c r="A6" s="1354">
        <v>2</v>
      </c>
      <c r="B6" s="515" t="s">
        <v>1180</v>
      </c>
      <c r="E6" s="435">
        <v>91604741.989999995</v>
      </c>
      <c r="F6" s="1355" t="s">
        <v>33</v>
      </c>
    </row>
    <row r="7" spans="1:7" ht="15">
      <c r="A7" s="1354">
        <v>3</v>
      </c>
      <c r="B7" s="602" t="s">
        <v>1181</v>
      </c>
      <c r="C7" s="602"/>
      <c r="D7" s="602"/>
      <c r="E7" s="1356">
        <f>E5+E6</f>
        <v>211384298</v>
      </c>
      <c r="F7" s="519" t="str">
        <f>"Line "&amp;A5&amp;" + Line "&amp;A6&amp;""</f>
        <v>Line 1 + Line 2</v>
      </c>
    </row>
    <row r="8" spans="1:7" ht="15">
      <c r="A8" s="1357">
        <v>4</v>
      </c>
      <c r="B8" s="1434" t="s">
        <v>1182</v>
      </c>
      <c r="C8" s="1435"/>
      <c r="D8" s="1435"/>
      <c r="E8" s="435">
        <v>211384298</v>
      </c>
      <c r="F8" s="1355" t="s">
        <v>1354</v>
      </c>
      <c r="G8" s="1368"/>
    </row>
    <row r="9" spans="1:7" ht="15">
      <c r="A9" s="1357"/>
      <c r="B9" s="1360"/>
      <c r="C9" s="1361"/>
      <c r="D9" s="1361"/>
      <c r="E9" s="1362"/>
      <c r="F9" s="1363"/>
      <c r="G9" s="1359"/>
    </row>
    <row r="10" spans="1:7" ht="15">
      <c r="A10" s="1357"/>
      <c r="B10" s="90" t="s">
        <v>1216</v>
      </c>
      <c r="C10" s="1361"/>
      <c r="D10" s="1361"/>
      <c r="E10" s="1362"/>
      <c r="F10" s="1358"/>
      <c r="G10" s="1359"/>
    </row>
    <row r="11" spans="1:7" ht="15">
      <c r="A11" s="1364"/>
      <c r="B11" s="602"/>
      <c r="C11" s="602"/>
      <c r="D11" s="602"/>
      <c r="E11" s="1356"/>
      <c r="F11" s="1358"/>
      <c r="G11" s="1359"/>
    </row>
    <row r="12" spans="1:7" ht="15">
      <c r="A12" s="1364">
        <v>5</v>
      </c>
      <c r="B12" s="602" t="s">
        <v>1179</v>
      </c>
      <c r="C12" s="602"/>
      <c r="D12" s="602"/>
      <c r="E12" s="1143">
        <v>93345104.709999993</v>
      </c>
      <c r="F12" s="1355" t="s">
        <v>311</v>
      </c>
      <c r="G12" s="1359"/>
    </row>
    <row r="13" spans="1:7" ht="15">
      <c r="A13" s="1364">
        <v>6</v>
      </c>
      <c r="B13" s="602" t="s">
        <v>1180</v>
      </c>
      <c r="C13" s="602"/>
      <c r="D13" s="602"/>
      <c r="E13" s="1144">
        <v>79619300.290000007</v>
      </c>
      <c r="F13" s="1355" t="s">
        <v>33</v>
      </c>
      <c r="G13" s="1359"/>
    </row>
    <row r="14" spans="1:7" ht="15">
      <c r="A14" s="1364">
        <v>7</v>
      </c>
      <c r="B14" s="602" t="s">
        <v>1181</v>
      </c>
      <c r="C14" s="602"/>
      <c r="D14" s="602"/>
      <c r="E14" s="1362">
        <f>E12+E13</f>
        <v>172964405</v>
      </c>
      <c r="F14" s="519" t="str">
        <f>"Line "&amp;A12&amp;" + Line "&amp;A13&amp;""</f>
        <v>Line 5 + Line 6</v>
      </c>
      <c r="G14" s="1359"/>
    </row>
    <row r="15" spans="1:7" ht="15">
      <c r="A15" s="1357">
        <v>8</v>
      </c>
      <c r="B15" s="1434" t="s">
        <v>1183</v>
      </c>
      <c r="C15" s="1435"/>
      <c r="D15" s="1435"/>
      <c r="E15" s="435">
        <v>172964405</v>
      </c>
      <c r="F15" s="1355" t="s">
        <v>1184</v>
      </c>
      <c r="G15" s="1368"/>
    </row>
    <row r="16" spans="1:7" ht="15">
      <c r="A16" s="1354"/>
      <c r="B16" s="602"/>
      <c r="C16" s="602"/>
      <c r="D16" s="602"/>
      <c r="E16" s="1356"/>
      <c r="F16" s="1355"/>
    </row>
    <row r="17" spans="1:7" ht="15">
      <c r="A17" s="1354">
        <v>9</v>
      </c>
      <c r="B17" s="602" t="s">
        <v>1185</v>
      </c>
      <c r="C17" s="602"/>
      <c r="D17" s="602"/>
      <c r="E17" s="1356">
        <f>(E5+E12)/2</f>
        <v>106562330.36</v>
      </c>
      <c r="F17" s="519" t="str">
        <f>"(Line "&amp;A5&amp;" + Line "&amp;A12&amp;") / 2"</f>
        <v>(Line 1 + Line 5) / 2</v>
      </c>
      <c r="G17" s="765"/>
    </row>
    <row r="18" spans="1:7" ht="15">
      <c r="A18" s="1354"/>
      <c r="C18" s="613"/>
      <c r="D18" s="402"/>
      <c r="E18" s="1356"/>
      <c r="F18" s="1355"/>
    </row>
    <row r="19" spans="1:7" ht="15">
      <c r="A19" s="1354">
        <v>10</v>
      </c>
      <c r="B19" s="515" t="s">
        <v>1186</v>
      </c>
      <c r="C19" s="613"/>
      <c r="D19" s="613"/>
      <c r="E19" s="1367">
        <v>6116850.9299999997</v>
      </c>
      <c r="F19" s="1355" t="s">
        <v>1042</v>
      </c>
    </row>
    <row r="20" spans="1:7" ht="15">
      <c r="A20" s="1354">
        <v>11</v>
      </c>
      <c r="B20" s="515" t="s">
        <v>1187</v>
      </c>
      <c r="C20" s="613"/>
      <c r="D20" s="613"/>
      <c r="E20" s="435">
        <v>664223662.07000005</v>
      </c>
      <c r="F20" s="1355" t="s">
        <v>33</v>
      </c>
    </row>
    <row r="21" spans="1:7" ht="15">
      <c r="A21" s="1354">
        <v>12</v>
      </c>
      <c r="B21" s="515" t="s">
        <v>1188</v>
      </c>
      <c r="C21" s="613"/>
      <c r="D21" s="613"/>
      <c r="E21" s="578">
        <f>E19+E20</f>
        <v>670340513</v>
      </c>
      <c r="F21" s="519" t="str">
        <f>"Line "&amp;A19&amp;" + Line "&amp;A20&amp;""</f>
        <v>Line 10 + Line 11</v>
      </c>
      <c r="G21" s="522"/>
    </row>
    <row r="22" spans="1:7" ht="15">
      <c r="A22" s="1354">
        <v>13</v>
      </c>
      <c r="B22" s="1434" t="s">
        <v>1189</v>
      </c>
      <c r="C22" s="1435"/>
      <c r="D22" s="1435"/>
      <c r="E22" s="1367">
        <v>670340513</v>
      </c>
      <c r="F22" s="1355" t="s">
        <v>1190</v>
      </c>
    </row>
    <row r="23" spans="1:7">
      <c r="C23" s="613"/>
      <c r="D23" s="613"/>
    </row>
    <row r="24" spans="1:7">
      <c r="C24" s="613"/>
      <c r="D24" s="613"/>
    </row>
    <row r="25" spans="1:7">
      <c r="A25" s="53" t="s">
        <v>256</v>
      </c>
    </row>
    <row r="26" spans="1:7">
      <c r="A26" s="516">
        <v>1</v>
      </c>
      <c r="B26" s="515" t="s">
        <v>1214</v>
      </c>
    </row>
    <row r="27" spans="1:7">
      <c r="A27" s="516">
        <v>2</v>
      </c>
      <c r="B27" s="515" t="s">
        <v>1217</v>
      </c>
    </row>
    <row r="28" spans="1:7">
      <c r="A28" s="516">
        <v>3</v>
      </c>
      <c r="B28" s="515" t="s">
        <v>1885</v>
      </c>
    </row>
    <row r="29" spans="1:7">
      <c r="A29" s="516">
        <v>4</v>
      </c>
      <c r="B29" s="515" t="s">
        <v>2433</v>
      </c>
      <c r="E29" s="1365"/>
    </row>
    <row r="30" spans="1:7">
      <c r="B30" s="515" t="s">
        <v>2432</v>
      </c>
      <c r="E30" s="1365"/>
    </row>
    <row r="31" spans="1:7">
      <c r="E31" s="1365"/>
    </row>
    <row r="32" spans="1:7">
      <c r="A32" s="515"/>
      <c r="E32" s="1365"/>
    </row>
    <row r="33" spans="1:5">
      <c r="A33" s="515"/>
      <c r="E33" s="1365"/>
    </row>
    <row r="34" spans="1:5">
      <c r="A34" s="515"/>
      <c r="E34" s="1365"/>
    </row>
    <row r="35" spans="1:5">
      <c r="A35" s="515"/>
      <c r="E35" s="1365"/>
    </row>
    <row r="39" spans="1:5">
      <c r="A39" s="515"/>
      <c r="C39" s="1366"/>
      <c r="D39" s="1366"/>
      <c r="E39" s="1366"/>
    </row>
    <row r="40" spans="1:5">
      <c r="A40" s="515"/>
      <c r="C40" s="1366"/>
      <c r="D40" s="1366"/>
      <c r="E40" s="1366"/>
    </row>
    <row r="41" spans="1:5">
      <c r="A41" s="515"/>
      <c r="C41" s="1366"/>
      <c r="D41" s="1366"/>
      <c r="E41" s="1366"/>
    </row>
    <row r="42" spans="1:5">
      <c r="A42" s="515"/>
      <c r="C42" s="1366"/>
      <c r="D42" s="1366"/>
      <c r="E42" s="1366"/>
    </row>
    <row r="43" spans="1:5">
      <c r="A43" s="515"/>
      <c r="C43" s="1366"/>
      <c r="D43" s="1366"/>
      <c r="E43" s="1366"/>
    </row>
    <row r="44" spans="1:5">
      <c r="A44" s="515"/>
      <c r="C44" s="1366"/>
      <c r="D44" s="1366"/>
      <c r="E44" s="1366"/>
    </row>
    <row r="45" spans="1:5">
      <c r="A45" s="515"/>
      <c r="C45" s="1366"/>
      <c r="D45" s="1366"/>
      <c r="E45" s="1366"/>
    </row>
    <row r="46" spans="1:5">
      <c r="A46" s="515"/>
      <c r="C46" s="1366"/>
      <c r="D46" s="1366"/>
      <c r="E46" s="1366"/>
    </row>
    <row r="47" spans="1:5">
      <c r="A47" s="515"/>
      <c r="C47" s="1366"/>
      <c r="D47" s="1366"/>
      <c r="E47" s="1366"/>
    </row>
    <row r="48" spans="1:5">
      <c r="A48" s="515"/>
      <c r="C48" s="1366"/>
      <c r="D48" s="1366"/>
      <c r="E48" s="1366"/>
    </row>
    <row r="49" spans="1:5">
      <c r="A49" s="515"/>
      <c r="C49" s="1366"/>
      <c r="D49" s="1366"/>
      <c r="E49" s="1366"/>
    </row>
    <row r="50" spans="1:5">
      <c r="A50" s="515"/>
      <c r="C50" s="1366"/>
      <c r="D50" s="1366"/>
      <c r="E50" s="1366"/>
    </row>
    <row r="51" spans="1:5">
      <c r="A51" s="515"/>
      <c r="C51" s="1366"/>
      <c r="D51" s="1366"/>
      <c r="E51" s="1366"/>
    </row>
    <row r="54" spans="1:5">
      <c r="A54" s="515"/>
      <c r="E54" s="1366"/>
    </row>
  </sheetData>
  <mergeCells count="3">
    <mergeCell ref="B8:D8"/>
    <mergeCell ref="B15:D15"/>
    <mergeCell ref="B22:D22"/>
  </mergeCells>
  <pageMargins left="0.7" right="0.7" top="0.75" bottom="0.75" header="0.3" footer="0.3"/>
  <pageSetup scale="75" orientation="portrait" cellComments="asDisplayed" r:id="rId1"/>
  <headerFooter>
    <oddHeader xml:space="preserve">&amp;CSchedule 22
Network Upgrade Credits and Interest Expense
&amp;RTO2019 Draft Annual Update
Attachment 5
TO13 True Up TRR
</oddHeader>
    <oddFooter>&amp;R22-NUCs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74" t="s">
        <v>1937</v>
      </c>
      <c r="B1" s="775"/>
      <c r="C1" s="775"/>
      <c r="D1" s="775"/>
      <c r="E1" s="775"/>
      <c r="F1" s="775"/>
      <c r="G1" s="775"/>
      <c r="H1" s="14"/>
      <c r="I1" s="14"/>
      <c r="J1" s="14"/>
      <c r="K1" s="14"/>
    </row>
    <row r="2" spans="1:11">
      <c r="A2" s="14"/>
      <c r="B2" s="14"/>
      <c r="C2" s="14"/>
      <c r="D2" s="14"/>
      <c r="E2" s="14"/>
      <c r="F2" s="14"/>
      <c r="G2" s="14"/>
      <c r="H2" s="14"/>
      <c r="I2" s="14"/>
      <c r="J2" s="14"/>
      <c r="K2" s="14"/>
    </row>
    <row r="3" spans="1:11">
      <c r="A3" s="776" t="s">
        <v>360</v>
      </c>
      <c r="B3" s="775"/>
      <c r="C3" s="775"/>
      <c r="D3" s="775"/>
      <c r="E3" s="775"/>
      <c r="F3" s="775"/>
      <c r="G3" s="775"/>
      <c r="H3" s="14"/>
      <c r="I3" s="14"/>
      <c r="J3" s="14"/>
      <c r="K3" s="14"/>
    </row>
    <row r="4" spans="1:11">
      <c r="A4" s="777">
        <v>1</v>
      </c>
      <c r="B4" s="651" t="s">
        <v>1926</v>
      </c>
      <c r="C4" s="775"/>
      <c r="D4" s="775"/>
      <c r="E4" s="775"/>
      <c r="F4" s="775"/>
      <c r="G4" s="775"/>
      <c r="H4" s="14"/>
      <c r="I4" s="14"/>
      <c r="J4" s="14"/>
      <c r="K4" s="14"/>
    </row>
    <row r="5" spans="1:11">
      <c r="A5" s="777">
        <v>2</v>
      </c>
      <c r="B5" s="651" t="s">
        <v>1927</v>
      </c>
      <c r="C5" s="775"/>
      <c r="D5" s="775"/>
      <c r="E5" s="775"/>
      <c r="F5" s="775"/>
      <c r="G5" s="775"/>
      <c r="H5" s="14"/>
      <c r="I5" s="14"/>
      <c r="J5" s="14"/>
      <c r="K5" s="14"/>
    </row>
    <row r="6" spans="1:11">
      <c r="A6" s="777">
        <v>3</v>
      </c>
      <c r="B6" s="651" t="s">
        <v>1928</v>
      </c>
      <c r="C6" s="775"/>
      <c r="D6" s="775"/>
      <c r="E6" s="775"/>
      <c r="F6" s="775"/>
      <c r="G6" s="775"/>
      <c r="H6" s="14"/>
      <c r="I6" s="14"/>
      <c r="J6" s="14"/>
      <c r="K6" s="14"/>
    </row>
    <row r="7" spans="1:11">
      <c r="A7" s="777">
        <v>4</v>
      </c>
      <c r="B7" s="775"/>
      <c r="C7" s="775"/>
      <c r="D7" s="775"/>
      <c r="E7" s="775"/>
      <c r="F7" s="775"/>
      <c r="G7" s="775"/>
      <c r="H7" s="14"/>
      <c r="I7" s="14"/>
      <c r="J7" s="14"/>
      <c r="K7" s="14"/>
    </row>
    <row r="8" spans="1:11">
      <c r="A8" s="777">
        <v>5</v>
      </c>
      <c r="B8" s="651" t="s">
        <v>453</v>
      </c>
      <c r="C8" s="775"/>
      <c r="D8" s="775"/>
      <c r="E8" s="775"/>
      <c r="F8" s="775"/>
      <c r="G8" s="775"/>
      <c r="H8" s="14"/>
      <c r="I8" s="14"/>
      <c r="J8" s="14"/>
      <c r="K8" s="14"/>
    </row>
    <row r="9" spans="1:11">
      <c r="A9" s="777">
        <v>6</v>
      </c>
      <c r="B9" s="651" t="s">
        <v>452</v>
      </c>
      <c r="C9" s="775"/>
      <c r="D9" s="775"/>
      <c r="E9" s="775"/>
      <c r="F9" s="775"/>
      <c r="G9" s="775"/>
      <c r="H9" s="14"/>
      <c r="I9" s="14"/>
      <c r="J9" s="14"/>
      <c r="K9" s="14"/>
    </row>
    <row r="10" spans="1:11">
      <c r="A10" s="777">
        <v>7</v>
      </c>
      <c r="B10" s="775"/>
      <c r="C10" s="775"/>
      <c r="D10" s="775"/>
      <c r="E10" s="775"/>
      <c r="F10" s="775"/>
      <c r="G10" s="775"/>
      <c r="H10" s="14"/>
      <c r="I10" s="14"/>
      <c r="J10" s="14"/>
      <c r="K10" s="14"/>
    </row>
    <row r="11" spans="1:11">
      <c r="A11" s="777">
        <v>8</v>
      </c>
      <c r="B11" s="651" t="s">
        <v>1929</v>
      </c>
      <c r="C11" s="775"/>
      <c r="D11" s="775"/>
      <c r="E11" s="775"/>
      <c r="F11" s="775"/>
      <c r="G11" s="775"/>
      <c r="H11" s="14"/>
      <c r="I11" s="14"/>
      <c r="J11" s="14"/>
      <c r="K11" s="14"/>
    </row>
    <row r="12" spans="1:11">
      <c r="A12" s="777">
        <v>9</v>
      </c>
      <c r="B12" s="651" t="s">
        <v>1930</v>
      </c>
      <c r="C12" s="775"/>
      <c r="D12" s="775"/>
      <c r="E12" s="775"/>
      <c r="F12" s="775"/>
      <c r="G12" s="775"/>
      <c r="H12" s="14"/>
      <c r="I12" s="14"/>
      <c r="J12" s="14"/>
      <c r="K12" s="14"/>
    </row>
    <row r="13" spans="1:11">
      <c r="A13" s="777">
        <v>10</v>
      </c>
      <c r="B13" s="651" t="s">
        <v>1931</v>
      </c>
      <c r="C13" s="775"/>
      <c r="D13" s="775"/>
      <c r="E13" s="775"/>
      <c r="F13" s="775"/>
      <c r="G13" s="775"/>
      <c r="H13" s="14"/>
      <c r="I13" s="14"/>
      <c r="J13" s="14"/>
      <c r="K13" s="14"/>
    </row>
    <row r="14" spans="1:11">
      <c r="A14" s="777">
        <v>11</v>
      </c>
      <c r="B14" s="775"/>
      <c r="C14" s="775"/>
      <c r="D14" s="775"/>
      <c r="E14" s="775"/>
      <c r="F14" s="775"/>
      <c r="G14" s="775"/>
      <c r="H14" s="14"/>
      <c r="I14" s="14"/>
      <c r="J14" s="14"/>
      <c r="K14" s="14"/>
    </row>
    <row r="15" spans="1:11">
      <c r="A15" s="777">
        <v>12</v>
      </c>
      <c r="B15" s="651"/>
      <c r="C15" s="775"/>
      <c r="D15" s="775"/>
      <c r="E15" s="777" t="s">
        <v>73</v>
      </c>
      <c r="F15" s="775"/>
      <c r="G15" s="775"/>
      <c r="H15" s="14"/>
      <c r="I15" s="14"/>
      <c r="J15" s="14"/>
      <c r="K15" s="14"/>
    </row>
    <row r="16" spans="1:11">
      <c r="A16" s="777">
        <v>13</v>
      </c>
      <c r="B16" s="775"/>
      <c r="C16" s="775"/>
      <c r="D16" s="775"/>
      <c r="E16" s="1080" t="s">
        <v>194</v>
      </c>
      <c r="F16" s="775"/>
      <c r="G16" s="1081" t="s">
        <v>2236</v>
      </c>
      <c r="H16" s="14"/>
      <c r="I16" s="14"/>
      <c r="J16" s="14"/>
      <c r="K16" s="14"/>
    </row>
    <row r="17" spans="1:11">
      <c r="A17" s="777">
        <v>14</v>
      </c>
      <c r="B17" s="651" t="s">
        <v>454</v>
      </c>
      <c r="C17" s="775"/>
      <c r="D17" s="775"/>
      <c r="E17" s="646">
        <f>D29</f>
        <v>0</v>
      </c>
      <c r="F17" s="775"/>
      <c r="G17" s="651" t="s">
        <v>554</v>
      </c>
      <c r="H17" s="14"/>
      <c r="I17" s="14"/>
      <c r="J17" s="14"/>
      <c r="K17" s="14"/>
    </row>
    <row r="18" spans="1:11">
      <c r="A18" s="777">
        <v>15</v>
      </c>
      <c r="B18" s="651" t="s">
        <v>1835</v>
      </c>
      <c r="C18" s="775"/>
      <c r="D18" s="775"/>
      <c r="E18" s="646">
        <f>(C29+D29)/2</f>
        <v>0</v>
      </c>
      <c r="F18" s="775"/>
      <c r="G18" s="651" t="s">
        <v>2237</v>
      </c>
      <c r="H18" s="14"/>
      <c r="I18" s="14"/>
      <c r="J18" s="14"/>
      <c r="K18" s="14"/>
    </row>
    <row r="19" spans="1:11">
      <c r="A19" s="777">
        <v>16</v>
      </c>
      <c r="B19" s="651" t="s">
        <v>1932</v>
      </c>
      <c r="C19" s="775"/>
      <c r="D19" s="775"/>
      <c r="E19" s="646">
        <f>E29</f>
        <v>0</v>
      </c>
      <c r="F19" s="775"/>
      <c r="G19" s="651" t="s">
        <v>2238</v>
      </c>
      <c r="H19" s="14"/>
      <c r="I19" s="14"/>
      <c r="J19" s="14"/>
      <c r="K19" s="14"/>
    </row>
    <row r="20" spans="1:11">
      <c r="A20" s="777"/>
      <c r="B20" s="651"/>
      <c r="C20" s="775"/>
      <c r="D20" s="775"/>
      <c r="E20" s="646"/>
      <c r="F20" s="775"/>
      <c r="G20" s="775"/>
      <c r="H20" s="14"/>
      <c r="I20" s="14"/>
      <c r="J20" s="14"/>
      <c r="K20" s="14"/>
    </row>
    <row r="21" spans="1:11">
      <c r="A21" s="777"/>
      <c r="B21" s="775"/>
      <c r="C21" s="783" t="s">
        <v>391</v>
      </c>
      <c r="D21" s="783" t="s">
        <v>375</v>
      </c>
      <c r="E21" s="783" t="s">
        <v>376</v>
      </c>
      <c r="F21" s="775"/>
      <c r="G21" s="775"/>
      <c r="H21" s="14"/>
      <c r="I21" s="14"/>
      <c r="J21" s="14"/>
      <c r="K21" s="14"/>
    </row>
    <row r="22" spans="1:11">
      <c r="A22" s="777"/>
      <c r="B22" s="775"/>
      <c r="C22" s="777" t="s">
        <v>73</v>
      </c>
      <c r="D22" s="777" t="s">
        <v>73</v>
      </c>
      <c r="E22" s="777" t="s">
        <v>73</v>
      </c>
      <c r="F22" s="775"/>
      <c r="G22" s="775"/>
      <c r="H22" s="14"/>
      <c r="I22" s="14"/>
      <c r="J22" s="14"/>
      <c r="K22" s="14"/>
    </row>
    <row r="23" spans="1:11" ht="15">
      <c r="A23" s="777"/>
      <c r="B23" s="777" t="s">
        <v>455</v>
      </c>
      <c r="C23" s="777" t="s">
        <v>420</v>
      </c>
      <c r="D23" s="777" t="s">
        <v>330</v>
      </c>
      <c r="E23" s="1082" t="s">
        <v>1933</v>
      </c>
      <c r="F23" s="775"/>
      <c r="G23" s="1083" t="s">
        <v>2239</v>
      </c>
      <c r="H23" s="1021"/>
      <c r="I23" s="14"/>
      <c r="J23" s="14"/>
      <c r="K23" s="14"/>
    </row>
    <row r="24" spans="1:11">
      <c r="A24" s="777"/>
      <c r="B24" s="777" t="s">
        <v>456</v>
      </c>
      <c r="C24" s="777" t="s">
        <v>461</v>
      </c>
      <c r="D24" s="777" t="s">
        <v>461</v>
      </c>
      <c r="E24" s="777" t="s">
        <v>462</v>
      </c>
      <c r="F24" s="775"/>
      <c r="G24" s="1083" t="s">
        <v>2240</v>
      </c>
      <c r="H24" s="1021"/>
      <c r="I24" s="14"/>
      <c r="J24" s="14"/>
      <c r="K24" s="14"/>
    </row>
    <row r="25" spans="1:11">
      <c r="A25" s="777"/>
      <c r="B25" s="1080" t="s">
        <v>457</v>
      </c>
      <c r="C25" s="1080" t="s">
        <v>457</v>
      </c>
      <c r="D25" s="1080" t="s">
        <v>457</v>
      </c>
      <c r="E25" s="1080" t="s">
        <v>1934</v>
      </c>
      <c r="F25" s="775"/>
      <c r="G25" s="1084" t="s">
        <v>2241</v>
      </c>
      <c r="H25" s="1021"/>
      <c r="I25" s="14"/>
      <c r="J25" s="14"/>
      <c r="K25" s="14"/>
    </row>
    <row r="26" spans="1:11">
      <c r="A26" s="642">
        <v>17</v>
      </c>
      <c r="B26" s="647" t="s">
        <v>458</v>
      </c>
      <c r="C26" s="648"/>
      <c r="D26" s="648"/>
      <c r="E26" s="648"/>
      <c r="F26" s="640"/>
      <c r="G26" s="668"/>
      <c r="H26" s="104"/>
    </row>
    <row r="27" spans="1:11">
      <c r="A27" s="642">
        <v>18</v>
      </c>
      <c r="B27" s="647" t="s">
        <v>459</v>
      </c>
      <c r="C27" s="648"/>
      <c r="D27" s="648"/>
      <c r="E27" s="648"/>
      <c r="F27" s="640"/>
      <c r="G27" s="668"/>
      <c r="H27" s="104"/>
    </row>
    <row r="28" spans="1:11">
      <c r="A28" s="642">
        <v>19</v>
      </c>
      <c r="B28" s="647" t="s">
        <v>460</v>
      </c>
      <c r="C28" s="649"/>
      <c r="D28" s="649"/>
      <c r="E28" s="649"/>
      <c r="F28" s="640"/>
      <c r="G28" s="668"/>
      <c r="H28" s="104"/>
    </row>
    <row r="29" spans="1:11">
      <c r="A29" s="642">
        <v>20</v>
      </c>
      <c r="B29" s="643" t="s">
        <v>216</v>
      </c>
      <c r="C29" s="650">
        <f>SUM(C26:C28)</f>
        <v>0</v>
      </c>
      <c r="D29" s="650">
        <f>SUM(D26:D28)</f>
        <v>0</v>
      </c>
      <c r="E29" s="650">
        <f>SUM(E26:E28)</f>
        <v>0</v>
      </c>
      <c r="F29" s="640"/>
      <c r="G29" s="643" t="s">
        <v>356</v>
      </c>
    </row>
    <row r="30" spans="1:11">
      <c r="A30" s="642"/>
      <c r="B30" s="640"/>
      <c r="C30" s="640"/>
      <c r="D30" s="640"/>
      <c r="E30" s="640"/>
      <c r="F30" s="640"/>
      <c r="G30" s="640"/>
    </row>
    <row r="31" spans="1:11">
      <c r="A31" s="642"/>
      <c r="B31" s="639" t="s">
        <v>417</v>
      </c>
      <c r="C31" s="640"/>
      <c r="D31" s="640"/>
      <c r="E31" s="640"/>
      <c r="F31" s="640"/>
      <c r="G31" s="640"/>
    </row>
    <row r="32" spans="1:11">
      <c r="A32" s="642"/>
      <c r="B32" s="651" t="s">
        <v>1935</v>
      </c>
      <c r="C32" s="775"/>
      <c r="D32" s="775"/>
      <c r="E32" s="775"/>
      <c r="F32" s="775"/>
      <c r="G32" s="775"/>
      <c r="H32" s="14"/>
    </row>
    <row r="33" spans="1:8">
      <c r="A33" s="642"/>
      <c r="B33" s="651" t="s">
        <v>463</v>
      </c>
      <c r="C33" s="14"/>
      <c r="D33" s="14"/>
      <c r="E33" s="14"/>
      <c r="F33" s="14"/>
      <c r="G33" s="14"/>
      <c r="H33" s="14"/>
    </row>
    <row r="34" spans="1:8">
      <c r="A34" s="642"/>
      <c r="B34" s="1085" t="s">
        <v>555</v>
      </c>
      <c r="C34" s="14"/>
      <c r="D34" s="14"/>
      <c r="E34" s="14"/>
      <c r="F34" s="14"/>
      <c r="G34" s="14"/>
      <c r="H34" s="14"/>
    </row>
    <row r="35" spans="1:8">
      <c r="A35" s="642"/>
      <c r="B35" s="1085" t="s">
        <v>556</v>
      </c>
      <c r="C35" s="14"/>
      <c r="D35" s="14"/>
      <c r="E35" s="1021"/>
      <c r="F35" s="14"/>
      <c r="G35" s="14"/>
      <c r="H35" s="14"/>
    </row>
    <row r="36" spans="1:8">
      <c r="A36" s="642"/>
      <c r="B36" s="651" t="s">
        <v>464</v>
      </c>
      <c r="C36" s="14"/>
      <c r="D36" s="14"/>
      <c r="E36" s="14"/>
      <c r="F36" s="14"/>
      <c r="G36" s="14"/>
      <c r="H36" s="14"/>
    </row>
    <row r="37" spans="1:8">
      <c r="A37" s="642"/>
    </row>
    <row r="38" spans="1:8">
      <c r="A38" s="642"/>
      <c r="B38" s="640"/>
    </row>
    <row r="39" spans="1:8">
      <c r="A39" s="642"/>
      <c r="B39" s="640"/>
    </row>
  </sheetData>
  <pageMargins left="0.7" right="0.7" top="0.75" bottom="0.75" header="0.3" footer="0.3"/>
  <pageSetup orientation="landscape" cellComments="asDisplayed" r:id="rId1"/>
  <headerFooter>
    <oddHeader>&amp;CSchedule 23
Regulatory Assets and Liabilities
&amp;RTO2019 Draft Annual Update
Attachment 5
TO13 True Up TRR</oddHeader>
    <oddFooter>&amp;R23-RegAssets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1369</v>
      </c>
      <c r="I1" s="392"/>
    </row>
    <row r="3" spans="1:9">
      <c r="B3" s="1" t="s">
        <v>1688</v>
      </c>
    </row>
    <row r="4" spans="1:9">
      <c r="B4" s="1"/>
    </row>
    <row r="5" spans="1:9">
      <c r="B5" s="1"/>
      <c r="C5" s="1" t="s">
        <v>1564</v>
      </c>
      <c r="D5" s="91" t="s">
        <v>391</v>
      </c>
      <c r="E5" s="91" t="s">
        <v>375</v>
      </c>
      <c r="F5" s="91" t="s">
        <v>376</v>
      </c>
    </row>
    <row r="6" spans="1:9" ht="15">
      <c r="D6" s="259" t="s">
        <v>73</v>
      </c>
      <c r="E6" s="259" t="s">
        <v>73</v>
      </c>
      <c r="F6" s="259" t="s">
        <v>217</v>
      </c>
    </row>
    <row r="7" spans="1:9" ht="15">
      <c r="C7" s="1"/>
      <c r="D7" s="259" t="s">
        <v>330</v>
      </c>
      <c r="E7" s="259" t="s">
        <v>255</v>
      </c>
      <c r="F7" s="259" t="s">
        <v>218</v>
      </c>
    </row>
    <row r="8" spans="1:9">
      <c r="A8" s="3" t="s">
        <v>360</v>
      </c>
      <c r="C8" s="3" t="s">
        <v>250</v>
      </c>
      <c r="D8" s="3" t="s">
        <v>194</v>
      </c>
      <c r="E8" s="3" t="s">
        <v>194</v>
      </c>
      <c r="F8" s="3" t="s">
        <v>194</v>
      </c>
      <c r="G8" s="3" t="s">
        <v>198</v>
      </c>
    </row>
    <row r="9" spans="1:9">
      <c r="A9" s="2">
        <v>1</v>
      </c>
      <c r="C9" s="101" t="s">
        <v>1382</v>
      </c>
      <c r="D9" s="7">
        <f>'10-CWIP'!E25</f>
        <v>150976.49</v>
      </c>
      <c r="E9" s="7">
        <f>'10-CWIP'!E26</f>
        <v>5894761.7546153832</v>
      </c>
      <c r="F9" s="7">
        <f>'10-CWIP'!K113</f>
        <v>-150976.49</v>
      </c>
      <c r="G9" s="47" t="str">
        <f>"10-CWIP, Lines "&amp;'10-CWIP'!A25&amp;", "&amp;'10-CWIP'!A26&amp;", "&amp;'10-CWIP'!A113&amp;""</f>
        <v>10-CWIP, Lines 13, 14, 80</v>
      </c>
    </row>
    <row r="10" spans="1:9">
      <c r="A10" s="2">
        <f>A9+1</f>
        <v>2</v>
      </c>
      <c r="C10" s="101" t="s">
        <v>1383</v>
      </c>
      <c r="D10" s="7">
        <f>'10-CWIP'!F25</f>
        <v>0</v>
      </c>
      <c r="E10" s="7">
        <f>'10-CWIP'!F26</f>
        <v>0</v>
      </c>
      <c r="F10" s="7">
        <f>'10-CWIP'!K146</f>
        <v>0</v>
      </c>
      <c r="G10" s="47" t="str">
        <f>"10-CWIP, Lines "&amp;'10-CWIP'!A25&amp;", "&amp;'10-CWIP'!A26&amp;", "&amp;'10-CWIP'!A146&amp;""</f>
        <v>10-CWIP, Lines 13, 14, 106</v>
      </c>
    </row>
    <row r="11" spans="1:9">
      <c r="A11" s="2">
        <f t="shared" ref="A11:A20" si="0">A10+1</f>
        <v>3</v>
      </c>
      <c r="C11" s="101" t="s">
        <v>1389</v>
      </c>
      <c r="D11" s="7">
        <f>'10-CWIP'!G25</f>
        <v>4884727.96</v>
      </c>
      <c r="E11" s="7">
        <f>'10-CWIP'!G26</f>
        <v>4594011.3792307694</v>
      </c>
      <c r="F11" s="7">
        <f>'10-CWIP'!K177</f>
        <v>628048.07692307688</v>
      </c>
      <c r="G11" s="47" t="str">
        <f>"10-CWIP, Lines "&amp;'10-CWIP'!A25&amp;", "&amp;'10-CWIP'!A26&amp;", "&amp;'10-CWIP'!A177&amp;""</f>
        <v>10-CWIP, Lines 13, 14, 132</v>
      </c>
    </row>
    <row r="12" spans="1:9">
      <c r="A12" s="2">
        <f t="shared" si="0"/>
        <v>4</v>
      </c>
      <c r="C12" s="101" t="s">
        <v>1390</v>
      </c>
      <c r="D12" s="7">
        <f>'10-CWIP'!H25</f>
        <v>98805811.510000005</v>
      </c>
      <c r="E12" s="7">
        <f>'10-CWIP'!H26</f>
        <v>80157512.240769237</v>
      </c>
      <c r="F12" s="7">
        <f>'10-CWIP'!K210</f>
        <v>158421232.23461542</v>
      </c>
      <c r="G12" s="47" t="str">
        <f>"10-CWIP, Lines "&amp;'10-CWIP'!A25&amp;", "&amp;'10-CWIP'!A26&amp;", "&amp;'10-CWIP'!A210&amp;""</f>
        <v>10-CWIP, Lines 13, 14, 158</v>
      </c>
    </row>
    <row r="13" spans="1:9">
      <c r="A13" s="2">
        <f t="shared" si="0"/>
        <v>5</v>
      </c>
      <c r="C13" s="101" t="s">
        <v>1386</v>
      </c>
      <c r="D13" s="7">
        <f>'10-CWIP'!I25</f>
        <v>0</v>
      </c>
      <c r="E13" s="7">
        <f>'10-CWIP'!I26</f>
        <v>0</v>
      </c>
      <c r="F13" s="7">
        <f>'10-CWIP'!K241</f>
        <v>0</v>
      </c>
      <c r="G13" s="47" t="str">
        <f>"10-CWIP, Lines "&amp;'10-CWIP'!A25&amp;", "&amp;'10-CWIP'!A26&amp;", "&amp;'10-CWIP'!A241&amp;""</f>
        <v>10-CWIP, Lines 13, 14, 184</v>
      </c>
    </row>
    <row r="14" spans="1:9">
      <c r="A14" s="2">
        <f t="shared" si="0"/>
        <v>6</v>
      </c>
      <c r="C14" s="101" t="s">
        <v>1387</v>
      </c>
      <c r="D14" s="7">
        <f>'10-CWIP'!D45</f>
        <v>0</v>
      </c>
      <c r="E14" s="7">
        <f>'10-CWIP'!D46</f>
        <v>9253542.2723076921</v>
      </c>
      <c r="F14" s="7">
        <f>'10-CWIP'!K274</f>
        <v>0</v>
      </c>
      <c r="G14" s="47" t="str">
        <f>"10-CWIP, Lines "&amp;'10-CWIP'!A45&amp;", "&amp;'10-CWIP'!A46&amp;", "&amp;'10-CWIP'!A274&amp;""</f>
        <v>10-CWIP, Lines 27, 28, 210</v>
      </c>
    </row>
    <row r="15" spans="1:9">
      <c r="A15" s="2">
        <f t="shared" si="0"/>
        <v>7</v>
      </c>
      <c r="C15" s="101" t="s">
        <v>1388</v>
      </c>
      <c r="D15" s="7">
        <f>'10-CWIP'!E45</f>
        <v>0</v>
      </c>
      <c r="E15" s="7">
        <f>'10-CWIP'!E46</f>
        <v>0</v>
      </c>
      <c r="F15" s="7">
        <f>'10-CWIP'!K305</f>
        <v>0</v>
      </c>
      <c r="G15" s="47" t="str">
        <f>"10-CWIP, Lines "&amp;'10-CWIP'!A45&amp;", "&amp;'10-CWIP'!A46&amp;", "&amp;'10-CWIP'!A305&amp;""</f>
        <v>10-CWIP, Lines 27, 28, 236</v>
      </c>
    </row>
    <row r="16" spans="1:9">
      <c r="A16" s="2">
        <f t="shared" si="0"/>
        <v>8</v>
      </c>
      <c r="C16" s="1348" t="s">
        <v>2968</v>
      </c>
      <c r="D16" s="7">
        <f>'10-CWIP'!F45</f>
        <v>46788115.939999998</v>
      </c>
      <c r="E16" s="7">
        <f>'10-CWIP'!F46</f>
        <v>6541655.1407692302</v>
      </c>
      <c r="F16" s="7">
        <f>'10-CWIP'!K338</f>
        <v>110990870.81971005</v>
      </c>
      <c r="G16" s="47" t="str">
        <f>"10-CWIP, Lines "&amp;'10-CWIP'!A45&amp;", "&amp;'10-CWIP'!A46&amp;", "&amp;'10-CWIP'!A338&amp;""</f>
        <v>10-CWIP, Lines 27, 28, 262</v>
      </c>
    </row>
    <row r="17" spans="1:7">
      <c r="A17" s="2">
        <f t="shared" si="0"/>
        <v>9</v>
      </c>
      <c r="C17" s="1348" t="s">
        <v>2969</v>
      </c>
      <c r="D17" s="7">
        <f>'10-CWIP'!G45</f>
        <v>0</v>
      </c>
      <c r="E17" s="7">
        <f>'10-CWIP'!G46</f>
        <v>0</v>
      </c>
      <c r="F17" s="7">
        <f>'10-CWIP'!K369</f>
        <v>3359285.511423077</v>
      </c>
      <c r="G17" s="47" t="str">
        <f>"10-CWIP, Lines "&amp;'10-CWIP'!A45&amp;", "&amp;'10-CWIP'!A46&amp;", "&amp;'10-CWIP'!A369&amp;""</f>
        <v>10-CWIP, Lines 27, 28, 288</v>
      </c>
    </row>
    <row r="18" spans="1:7">
      <c r="A18" s="2">
        <f t="shared" si="0"/>
        <v>10</v>
      </c>
      <c r="C18" s="1348" t="s">
        <v>2970</v>
      </c>
      <c r="D18" s="417">
        <f>'10-CWIP'!H45</f>
        <v>0</v>
      </c>
      <c r="E18" s="417">
        <f>'10-CWIP'!H46</f>
        <v>0</v>
      </c>
      <c r="F18" s="417">
        <f>'10-CWIP'!K402</f>
        <v>28209776.497692302</v>
      </c>
      <c r="G18" s="47" t="str">
        <f>"10-CWIP, Lines "&amp;'10-CWIP'!A45&amp;", "&amp;'10-CWIP'!A46&amp;", "&amp;'10-CWIP'!A402&amp;""</f>
        <v>10-CWIP, Lines 27, 28, 314</v>
      </c>
    </row>
    <row r="19" spans="1:7">
      <c r="A19" s="2">
        <f t="shared" si="0"/>
        <v>11</v>
      </c>
      <c r="C19" s="436"/>
      <c r="D19" s="417">
        <f>'10-CWIP'!I45</f>
        <v>0</v>
      </c>
      <c r="E19" s="437" t="str">
        <f>'10-CWIP'!I46</f>
        <v>---</v>
      </c>
      <c r="F19" s="60">
        <f>'10-CWIP'!K402</f>
        <v>28209776.497692302</v>
      </c>
      <c r="G19" s="47" t="str">
        <f>"10-CWIP, Lines "&amp;'10-CWIP'!A45&amp;", "&amp;'10-CWIP'!A46&amp;", 304"</f>
        <v>10-CWIP, Lines 27, 28, 304</v>
      </c>
    </row>
    <row r="20" spans="1:7">
      <c r="A20" s="2">
        <f t="shared" si="0"/>
        <v>12</v>
      </c>
      <c r="C20" s="101" t="s">
        <v>216</v>
      </c>
      <c r="D20" s="7">
        <f>SUM(D9:D19)</f>
        <v>150629631.90000001</v>
      </c>
      <c r="E20" s="7">
        <f>SUM(E9:E19)</f>
        <v>106441482.78769231</v>
      </c>
      <c r="F20" s="7">
        <f>SUM(F9:F19)</f>
        <v>329668013.14805615</v>
      </c>
      <c r="G20" s="13" t="str">
        <f>"Sum of Lines "&amp;A9&amp;" to "&amp;A19&amp;""</f>
        <v>Sum of Lines 1 to 11</v>
      </c>
    </row>
    <row r="21" spans="1:7">
      <c r="A21" s="2"/>
      <c r="C21" s="1"/>
    </row>
    <row r="22" spans="1:7" ht="15">
      <c r="A22" s="2"/>
      <c r="C22" s="1" t="s">
        <v>1381</v>
      </c>
      <c r="D22" s="259" t="s">
        <v>330</v>
      </c>
      <c r="E22" s="259" t="s">
        <v>255</v>
      </c>
      <c r="F22" s="13"/>
    </row>
    <row r="23" spans="1:7">
      <c r="D23" s="3" t="s">
        <v>194</v>
      </c>
      <c r="E23" s="3" t="s">
        <v>194</v>
      </c>
      <c r="F23" s="3" t="s">
        <v>198</v>
      </c>
    </row>
    <row r="24" spans="1:7">
      <c r="A24" s="2">
        <f>A20+1</f>
        <v>13</v>
      </c>
      <c r="C24" s="101" t="s">
        <v>1565</v>
      </c>
      <c r="D24" s="7">
        <f>D20</f>
        <v>150629631.90000001</v>
      </c>
      <c r="E24" s="7">
        <f>E20</f>
        <v>106441482.78769231</v>
      </c>
      <c r="F24" s="16" t="str">
        <f>"Line "&amp;A20&amp;""</f>
        <v>Line 12</v>
      </c>
    </row>
    <row r="25" spans="1:7">
      <c r="A25" s="2">
        <f>A24+1</f>
        <v>14</v>
      </c>
      <c r="C25" s="101" t="s">
        <v>1370</v>
      </c>
      <c r="D25" s="8">
        <f>'1-BaseTRR'!K91</f>
        <v>7.2499706024635166E-2</v>
      </c>
      <c r="E25" s="8">
        <f>'1-BaseTRR'!K91</f>
        <v>7.2499706024635166E-2</v>
      </c>
      <c r="F25" s="123" t="str">
        <f>"1-BaseTRR, Line "&amp;'1-BaseTRR'!A91&amp;""</f>
        <v>1-BaseTRR, Line 53</v>
      </c>
    </row>
    <row r="26" spans="1:7">
      <c r="A26" s="2">
        <f>A25+1</f>
        <v>15</v>
      </c>
      <c r="C26" s="37" t="s">
        <v>1566</v>
      </c>
      <c r="D26" s="7">
        <f>D24*D25</f>
        <v>10920604.031349007</v>
      </c>
      <c r="E26" s="7">
        <f>E24*E25</f>
        <v>7716976.2109339563</v>
      </c>
      <c r="F26" s="123" t="str">
        <f>"Line "&amp;A24&amp;" * Line "&amp;A25&amp;""</f>
        <v>Line 13 * Line 14</v>
      </c>
    </row>
    <row r="27" spans="1:7">
      <c r="F27" s="14"/>
    </row>
    <row r="28" spans="1:7">
      <c r="C28" s="1" t="s">
        <v>96</v>
      </c>
      <c r="F28" s="14"/>
    </row>
    <row r="29" spans="1:7" ht="15">
      <c r="D29" s="259" t="s">
        <v>330</v>
      </c>
      <c r="E29" s="259" t="s">
        <v>255</v>
      </c>
      <c r="F29" s="14"/>
    </row>
    <row r="30" spans="1:7">
      <c r="D30" s="3" t="s">
        <v>194</v>
      </c>
      <c r="E30" s="3" t="s">
        <v>194</v>
      </c>
      <c r="F30" s="134" t="s">
        <v>198</v>
      </c>
    </row>
    <row r="31" spans="1:7" ht="15">
      <c r="A31" s="259">
        <f>A26+1</f>
        <v>16</v>
      </c>
      <c r="C31" s="101" t="s">
        <v>1565</v>
      </c>
      <c r="D31" s="7">
        <f>D20</f>
        <v>150629631.90000001</v>
      </c>
      <c r="E31" s="7">
        <f>E20</f>
        <v>106441482.78769231</v>
      </c>
      <c r="F31" s="123" t="str">
        <f>"Line "&amp;A20&amp;""</f>
        <v>Line 12</v>
      </c>
    </row>
    <row r="32" spans="1:7">
      <c r="A32" s="2">
        <f t="shared" ref="A32:A38" si="1">A31+1</f>
        <v>17</v>
      </c>
      <c r="C32" s="385" t="s">
        <v>1567</v>
      </c>
      <c r="D32" s="8">
        <f>'1-BaseTRR'!K93</f>
        <v>5.2592059258897372E-2</v>
      </c>
      <c r="E32" s="8">
        <f>'1-BaseTRR'!K93</f>
        <v>5.2592059258897372E-2</v>
      </c>
      <c r="F32" s="123" t="str">
        <f>"1-BaseTRR, Line "&amp;'1-BaseTRR'!A93&amp;""</f>
        <v>1-BaseTRR, Line 54</v>
      </c>
    </row>
    <row r="33" spans="1:7">
      <c r="A33" s="2">
        <f t="shared" si="1"/>
        <v>18</v>
      </c>
      <c r="C33" s="385" t="s">
        <v>1135</v>
      </c>
      <c r="D33" s="8">
        <f>'1-BaseTRR'!K102</f>
        <v>0.40745999999999999</v>
      </c>
      <c r="E33" s="8">
        <f>'1-BaseTRR'!K102</f>
        <v>0.40745999999999999</v>
      </c>
      <c r="F33" s="123" t="str">
        <f>"1-BaseTRR, Line "&amp;'1-BaseTRR'!A102&amp;""</f>
        <v>1-BaseTRR, Line 58</v>
      </c>
    </row>
    <row r="34" spans="1:7">
      <c r="A34" s="2">
        <f t="shared" si="1"/>
        <v>19</v>
      </c>
      <c r="C34" s="385" t="s">
        <v>288</v>
      </c>
      <c r="D34" s="65">
        <f>((D24*D32)*(D33/(1-D33)))</f>
        <v>5447508.2743172236</v>
      </c>
      <c r="E34" s="65">
        <f>((E24*E32)*(E33/(1-E33)))</f>
        <v>3849447.4885359402</v>
      </c>
      <c r="F34" s="514" t="str">
        <f>"Formula on Line "&amp;A36&amp;""</f>
        <v>Formula on Line 21</v>
      </c>
      <c r="G34" s="14"/>
    </row>
    <row r="35" spans="1:7">
      <c r="A35" s="2">
        <f t="shared" si="1"/>
        <v>20</v>
      </c>
      <c r="C35" s="14"/>
      <c r="D35" s="14"/>
      <c r="E35" s="14"/>
      <c r="F35" s="14"/>
      <c r="G35" s="14"/>
    </row>
    <row r="36" spans="1:7">
      <c r="A36" s="2">
        <f t="shared" si="1"/>
        <v>21</v>
      </c>
      <c r="C36" s="47" t="str">
        <f>"Income Taxes = [(RB * ER) * (CTR/(1 – CTR)], or [(L"&amp;A24&amp;" * L"&amp;A32&amp;") * (L"&amp;A33&amp;" / (1 - L"&amp;A33&amp;")]"</f>
        <v>Income Taxes = [(RB * ER) * (CTR/(1 – CTR)], or [(L13 * L17) * (L18 / (1 - L18)]</v>
      </c>
      <c r="D36" s="14"/>
      <c r="E36" s="65"/>
      <c r="F36" s="15"/>
      <c r="G36" s="14"/>
    </row>
    <row r="37" spans="1:7">
      <c r="A37" s="2">
        <f t="shared" si="1"/>
        <v>22</v>
      </c>
      <c r="C37" s="514" t="s">
        <v>2030</v>
      </c>
      <c r="D37" s="14"/>
      <c r="E37" s="65"/>
      <c r="F37" s="15"/>
      <c r="G37" s="14"/>
    </row>
    <row r="38" spans="1:7">
      <c r="A38" s="2">
        <f t="shared" si="1"/>
        <v>23</v>
      </c>
      <c r="D38" s="13"/>
      <c r="E38" s="7"/>
      <c r="F38" s="12"/>
      <c r="G38" s="13"/>
    </row>
    <row r="39" spans="1:7">
      <c r="C39" s="1" t="s">
        <v>1378</v>
      </c>
    </row>
    <row r="40" spans="1:7">
      <c r="D40" s="3" t="s">
        <v>190</v>
      </c>
      <c r="E40" s="3" t="s">
        <v>198</v>
      </c>
    </row>
    <row r="41" spans="1:7">
      <c r="A41" s="2">
        <f>A38+1</f>
        <v>24</v>
      </c>
      <c r="C41" s="385" t="s">
        <v>542</v>
      </c>
      <c r="D41" s="65">
        <f>'15-IncentiveAdder'!G17</f>
        <v>8204.1523319658863</v>
      </c>
      <c r="E41" s="123" t="str">
        <f>"15-IncentiveAdder, Line "&amp;'15-IncentiveAdder'!A17&amp;""</f>
        <v>15-IncentiveAdder, Line 3</v>
      </c>
      <c r="F41" s="14"/>
      <c r="G41" s="14"/>
    </row>
    <row r="42" spans="1:7">
      <c r="C42" s="14"/>
      <c r="D42" s="14"/>
      <c r="E42" s="14"/>
      <c r="F42" s="14"/>
      <c r="G42" s="14"/>
    </row>
    <row r="43" spans="1:7">
      <c r="C43" s="1086" t="s">
        <v>369</v>
      </c>
      <c r="D43" s="14"/>
      <c r="E43" s="14"/>
      <c r="F43" s="14"/>
      <c r="G43" s="14"/>
    </row>
    <row r="44" spans="1:7" ht="15">
      <c r="C44" s="14"/>
      <c r="D44" s="1087" t="s">
        <v>330</v>
      </c>
      <c r="E44" s="1087" t="s">
        <v>255</v>
      </c>
      <c r="F44" s="14"/>
      <c r="G44" s="14"/>
    </row>
    <row r="45" spans="1:7">
      <c r="C45" s="14"/>
      <c r="D45" s="134" t="s">
        <v>194</v>
      </c>
      <c r="E45" s="134" t="s">
        <v>194</v>
      </c>
      <c r="F45" s="14"/>
      <c r="G45" s="14"/>
    </row>
    <row r="46" spans="1:7">
      <c r="A46" s="2">
        <f>A41+1</f>
        <v>25</v>
      </c>
      <c r="C46" s="385" t="s">
        <v>1568</v>
      </c>
      <c r="D46" s="65">
        <f>D9</f>
        <v>150976.49</v>
      </c>
      <c r="E46" s="65">
        <f>E9</f>
        <v>5894761.7546153832</v>
      </c>
      <c r="F46" s="123" t="str">
        <f>"Line "&amp;A9&amp;""</f>
        <v>Line 1</v>
      </c>
      <c r="G46" s="14"/>
    </row>
    <row r="47" spans="1:7">
      <c r="A47" s="2">
        <f>A46+1</f>
        <v>26</v>
      </c>
      <c r="C47" s="385" t="s">
        <v>1372</v>
      </c>
      <c r="D47" s="85">
        <f>'15-IncentiveAdder'!E26</f>
        <v>1.2500000000000001E-2</v>
      </c>
      <c r="E47" s="85">
        <f>'15-IncentiveAdder'!E26</f>
        <v>1.2500000000000001E-2</v>
      </c>
      <c r="F47" s="123" t="str">
        <f>"15-IncentiveAdder, Line "&amp;'15-IncentiveAdder'!A26&amp;""</f>
        <v>15-IncentiveAdder, Line 5</v>
      </c>
      <c r="G47" s="14"/>
    </row>
    <row r="48" spans="1:7">
      <c r="A48" s="2">
        <f>A47+1</f>
        <v>27</v>
      </c>
      <c r="C48" s="385" t="s">
        <v>1569</v>
      </c>
      <c r="D48" s="65">
        <f>(D46/1000000)*($D$41*(D47/0.01))</f>
        <v>1548.2926531319054</v>
      </c>
      <c r="E48" s="65">
        <f>(E46/1000000)*($D$41*(E47/0.01))</f>
        <v>60451.904244388897</v>
      </c>
      <c r="F48" s="514" t="str">
        <f>"Formula on Line "&amp;A57&amp;""</f>
        <v>Formula on Line 32</v>
      </c>
      <c r="G48" s="14"/>
    </row>
    <row r="49" spans="1:7">
      <c r="C49" s="398"/>
      <c r="D49" s="14"/>
      <c r="E49" s="14"/>
      <c r="F49" s="14"/>
      <c r="G49" s="14"/>
    </row>
    <row r="50" spans="1:7">
      <c r="C50" s="1086" t="s">
        <v>1379</v>
      </c>
      <c r="D50" s="14"/>
      <c r="E50" s="134"/>
      <c r="F50" s="134"/>
      <c r="G50" s="14"/>
    </row>
    <row r="51" spans="1:7" ht="15">
      <c r="C51" s="14"/>
      <c r="D51" s="1087" t="s">
        <v>330</v>
      </c>
      <c r="E51" s="1087" t="s">
        <v>255</v>
      </c>
      <c r="F51" s="14"/>
      <c r="G51" s="14"/>
    </row>
    <row r="52" spans="1:7">
      <c r="C52" s="14"/>
      <c r="D52" s="134" t="s">
        <v>194</v>
      </c>
      <c r="E52" s="134" t="s">
        <v>194</v>
      </c>
      <c r="F52" s="14"/>
      <c r="G52" s="14"/>
    </row>
    <row r="53" spans="1:7">
      <c r="A53" s="2">
        <f>A48+1</f>
        <v>28</v>
      </c>
      <c r="C53" s="1008" t="s">
        <v>1590</v>
      </c>
      <c r="D53" s="65">
        <f>D10</f>
        <v>0</v>
      </c>
      <c r="E53" s="65">
        <f>E10</f>
        <v>0</v>
      </c>
      <c r="F53" s="123" t="str">
        <f>"Line "&amp;A10&amp;""</f>
        <v>Line 2</v>
      </c>
      <c r="G53" s="14"/>
    </row>
    <row r="54" spans="1:7">
      <c r="A54" s="2">
        <f>A53+1</f>
        <v>29</v>
      </c>
      <c r="C54" s="385" t="s">
        <v>1372</v>
      </c>
      <c r="D54" s="85">
        <f>'15-IncentiveAdder'!E27</f>
        <v>0.01</v>
      </c>
      <c r="E54" s="85">
        <f>'15-IncentiveAdder'!E27</f>
        <v>0.01</v>
      </c>
      <c r="F54" s="123" t="str">
        <f>"15-IncentiveAdder, Line "&amp;'15-IncentiveAdder'!A27&amp;""</f>
        <v>15-IncentiveAdder, Line 6</v>
      </c>
      <c r="G54" s="14"/>
    </row>
    <row r="55" spans="1:7">
      <c r="A55" s="2">
        <f>A54+1</f>
        <v>30</v>
      </c>
      <c r="C55" s="385" t="s">
        <v>1569</v>
      </c>
      <c r="D55" s="65">
        <f>(D53/1000000)*($D$41*(D54/0.01))</f>
        <v>0</v>
      </c>
      <c r="E55" s="65">
        <f>(E53/1000000)*($D$41*(E54/0.01))</f>
        <v>0</v>
      </c>
      <c r="F55" s="514" t="str">
        <f>"Formula on Line "&amp;A57&amp;""</f>
        <v>Formula on Line 32</v>
      </c>
      <c r="G55" s="14"/>
    </row>
    <row r="56" spans="1:7">
      <c r="A56" s="2">
        <f>A55+1</f>
        <v>31</v>
      </c>
      <c r="C56" s="14"/>
      <c r="D56" s="119"/>
      <c r="E56" s="65"/>
      <c r="F56" s="47"/>
      <c r="G56" s="14"/>
    </row>
    <row r="57" spans="1:7">
      <c r="A57" s="2">
        <f>A56+1</f>
        <v>32</v>
      </c>
      <c r="C57" s="1007" t="s">
        <v>2199</v>
      </c>
      <c r="D57" s="65"/>
      <c r="E57" s="47"/>
      <c r="F57" s="14"/>
      <c r="G57" s="14"/>
    </row>
    <row r="59" spans="1:7">
      <c r="C59" s="1" t="s">
        <v>1689</v>
      </c>
    </row>
    <row r="60" spans="1:7">
      <c r="C60" s="1"/>
    </row>
    <row r="61" spans="1:7" ht="15">
      <c r="C61" s="1"/>
      <c r="E61" s="259" t="s">
        <v>307</v>
      </c>
    </row>
    <row r="62" spans="1:7" ht="15">
      <c r="C62" s="1"/>
      <c r="D62" s="259" t="s">
        <v>1571</v>
      </c>
      <c r="E62" s="259" t="s">
        <v>1047</v>
      </c>
    </row>
    <row r="63" spans="1:7">
      <c r="D63" s="3" t="s">
        <v>194</v>
      </c>
      <c r="E63" s="3" t="s">
        <v>194</v>
      </c>
      <c r="F63" s="3" t="s">
        <v>198</v>
      </c>
    </row>
    <row r="64" spans="1:7">
      <c r="A64" s="2">
        <f>A57+1</f>
        <v>33</v>
      </c>
      <c r="C64" s="101" t="s">
        <v>1371</v>
      </c>
      <c r="D64" s="7">
        <f>D26</f>
        <v>10920604.031349007</v>
      </c>
      <c r="E64" s="7">
        <f>E26</f>
        <v>7716976.2109339563</v>
      </c>
      <c r="F64" s="16" t="str">
        <f>"Line "&amp;A26&amp;""</f>
        <v>Line 15</v>
      </c>
    </row>
    <row r="65" spans="1:9">
      <c r="A65" s="2">
        <f>A64+1</f>
        <v>34</v>
      </c>
      <c r="C65" s="101" t="s">
        <v>288</v>
      </c>
      <c r="D65" s="7">
        <f>D34</f>
        <v>5447508.2743172236</v>
      </c>
      <c r="E65" s="7">
        <f>E34</f>
        <v>3849447.4885359402</v>
      </c>
      <c r="F65" s="16" t="str">
        <f>"Line "&amp;A34&amp;""</f>
        <v>Line 19</v>
      </c>
    </row>
    <row r="66" spans="1:9">
      <c r="A66" s="2">
        <f>A65+1</f>
        <v>35</v>
      </c>
      <c r="C66" s="101" t="s">
        <v>1373</v>
      </c>
      <c r="D66" s="7">
        <f>D48</f>
        <v>1548.2926531319054</v>
      </c>
      <c r="E66" s="7">
        <f>E48</f>
        <v>60451.904244388897</v>
      </c>
      <c r="F66" s="16" t="str">
        <f>"Line "&amp;A48&amp;""</f>
        <v>Line 27</v>
      </c>
    </row>
    <row r="67" spans="1:9" ht="15">
      <c r="A67" s="2">
        <f>A66+1</f>
        <v>36</v>
      </c>
      <c r="C67" s="101" t="s">
        <v>1374</v>
      </c>
      <c r="D67" s="110">
        <f>D55</f>
        <v>0</v>
      </c>
      <c r="E67" s="508">
        <f>E55</f>
        <v>0</v>
      </c>
      <c r="F67" s="16" t="str">
        <f>"Line "&amp;A55&amp;""</f>
        <v>Line 30</v>
      </c>
    </row>
    <row r="68" spans="1:9">
      <c r="A68" s="506">
        <f t="shared" ref="A68:A69" si="2">A67+1</f>
        <v>37</v>
      </c>
      <c r="C68" s="101" t="s">
        <v>1622</v>
      </c>
      <c r="D68" s="98">
        <f>SUM(D64:D67)*('28-FFU'!D22+'28-FFU'!E22)</f>
        <v>190105.77942646225</v>
      </c>
      <c r="E68" s="98">
        <f>SUM(E64:E67)*('28-FFU'!D22)</f>
        <v>107033.52874511261</v>
      </c>
      <c r="F68" s="13" t="s">
        <v>392</v>
      </c>
    </row>
    <row r="69" spans="1:9">
      <c r="A69" s="506">
        <f t="shared" si="2"/>
        <v>38</v>
      </c>
      <c r="C69" s="101" t="s">
        <v>4</v>
      </c>
      <c r="D69" s="7">
        <f>SUM(D64:D68)</f>
        <v>16559766.377745826</v>
      </c>
      <c r="E69" s="7">
        <f>SUM(E64:E68)</f>
        <v>11733909.132459398</v>
      </c>
      <c r="F69" s="13" t="str">
        <f>"Sum Lines "&amp;A64&amp;" to "&amp;A68&amp;""</f>
        <v>Sum Lines 33 to 37</v>
      </c>
    </row>
    <row r="70" spans="1:9">
      <c r="A70" s="2"/>
      <c r="D70" s="101"/>
      <c r="E70" s="7"/>
      <c r="F70" s="13"/>
    </row>
    <row r="71" spans="1:9" ht="12.75" customHeight="1">
      <c r="A71" s="2"/>
      <c r="C71" s="392" t="s">
        <v>1690</v>
      </c>
      <c r="D71" s="101"/>
      <c r="E71" s="7"/>
      <c r="F71" s="13"/>
    </row>
    <row r="72" spans="1:9">
      <c r="A72" s="2"/>
      <c r="D72" s="101"/>
      <c r="E72" s="7"/>
      <c r="F72" s="13"/>
    </row>
    <row r="73" spans="1:9" ht="12.75" customHeight="1">
      <c r="A73" s="2"/>
      <c r="C73" s="392" t="s">
        <v>1572</v>
      </c>
      <c r="D73" s="101"/>
      <c r="E73" s="7"/>
      <c r="F73" s="13"/>
    </row>
    <row r="74" spans="1:9" ht="15">
      <c r="A74" s="2"/>
      <c r="C74" s="392"/>
      <c r="D74" s="91" t="s">
        <v>391</v>
      </c>
      <c r="E74" s="91" t="s">
        <v>375</v>
      </c>
      <c r="F74" s="91" t="s">
        <v>376</v>
      </c>
      <c r="G74" s="91" t="s">
        <v>377</v>
      </c>
      <c r="H74" s="91" t="s">
        <v>378</v>
      </c>
    </row>
    <row r="75" spans="1:9" ht="15">
      <c r="A75" s="2"/>
      <c r="C75" s="392"/>
      <c r="D75" s="2" t="s">
        <v>1573</v>
      </c>
      <c r="E75" s="498" t="s">
        <v>1574</v>
      </c>
      <c r="F75" s="2"/>
      <c r="H75" s="103" t="s">
        <v>1631</v>
      </c>
    </row>
    <row r="76" spans="1:9" ht="15">
      <c r="A76" s="2"/>
      <c r="C76" s="3" t="s">
        <v>250</v>
      </c>
      <c r="D76" s="3" t="s">
        <v>1575</v>
      </c>
      <c r="E76" s="427" t="s">
        <v>1576</v>
      </c>
      <c r="F76" s="3" t="s">
        <v>9</v>
      </c>
      <c r="G76" s="3" t="s">
        <v>1580</v>
      </c>
      <c r="H76" s="3" t="s">
        <v>215</v>
      </c>
      <c r="I76" s="3" t="s">
        <v>198</v>
      </c>
    </row>
    <row r="77" spans="1:9">
      <c r="A77" s="2">
        <f>A69+1</f>
        <v>39</v>
      </c>
      <c r="C77" s="101" t="s">
        <v>1382</v>
      </c>
      <c r="D77" s="499">
        <f t="shared" ref="D77:D85" si="3">$D$26*(D9/$D$20)</f>
        <v>10945.75114163127</v>
      </c>
      <c r="E77" s="499">
        <f t="shared" ref="E77:E85" si="4">$D$34*(D9/$D$20)</f>
        <v>5460.0523690343789</v>
      </c>
      <c r="F77" s="499">
        <f>D48</f>
        <v>1548.2926531319054</v>
      </c>
      <c r="G77" s="7">
        <f>(D77+E77+F77)*('28-FFU'!$D$22+'28-FFU'!$E$22)</f>
        <v>208.50630497903015</v>
      </c>
      <c r="H77" s="152">
        <f>SUM(D77:G77)</f>
        <v>18162.602468776586</v>
      </c>
      <c r="I77" s="13" t="s">
        <v>393</v>
      </c>
    </row>
    <row r="78" spans="1:9">
      <c r="A78" s="2">
        <f t="shared" ref="A78:A88" si="5">A77+1</f>
        <v>40</v>
      </c>
      <c r="C78" s="101" t="s">
        <v>1383</v>
      </c>
      <c r="D78" s="499">
        <f t="shared" si="3"/>
        <v>0</v>
      </c>
      <c r="E78" s="499">
        <f t="shared" si="4"/>
        <v>0</v>
      </c>
      <c r="F78" s="499">
        <f>D55</f>
        <v>0</v>
      </c>
      <c r="G78" s="7">
        <f>(D78+E78+F78)*('28-FFU'!$D$22+'28-FFU'!$E$22)</f>
        <v>0</v>
      </c>
      <c r="H78" s="152">
        <f t="shared" ref="H78:H85" si="6">SUM(D78:G78)</f>
        <v>0</v>
      </c>
      <c r="I78" s="13" t="s">
        <v>393</v>
      </c>
    </row>
    <row r="79" spans="1:9">
      <c r="A79" s="2">
        <f t="shared" si="5"/>
        <v>41</v>
      </c>
      <c r="C79" s="101" t="s">
        <v>1384</v>
      </c>
      <c r="D79" s="499">
        <f t="shared" si="3"/>
        <v>354141.34111031581</v>
      </c>
      <c r="E79" s="499">
        <f t="shared" si="4"/>
        <v>176655.78574575731</v>
      </c>
      <c r="F79" s="499">
        <v>0</v>
      </c>
      <c r="G79" s="7">
        <f>(D79+E79+F79)*('28-FFU'!$D$22+'28-FFU'!$E$22)</f>
        <v>6164.3062733176348</v>
      </c>
      <c r="H79" s="152">
        <f t="shared" si="6"/>
        <v>536961.43312939082</v>
      </c>
      <c r="I79" s="13" t="s">
        <v>393</v>
      </c>
    </row>
    <row r="80" spans="1:9">
      <c r="A80" s="2">
        <f t="shared" si="5"/>
        <v>42</v>
      </c>
      <c r="C80" s="101" t="s">
        <v>1385</v>
      </c>
      <c r="D80" s="499">
        <f t="shared" si="3"/>
        <v>7163392.2880005129</v>
      </c>
      <c r="E80" s="499">
        <f t="shared" si="4"/>
        <v>3573304.0634971699</v>
      </c>
      <c r="F80" s="499">
        <v>0</v>
      </c>
      <c r="G80" s="7">
        <f>(D80+E80+F80)*('28-FFU'!$D$22+'28-FFU'!$E$22)</f>
        <v>124688.47573884805</v>
      </c>
      <c r="H80" s="152">
        <f t="shared" si="6"/>
        <v>10861384.827236531</v>
      </c>
      <c r="I80" s="13" t="s">
        <v>393</v>
      </c>
    </row>
    <row r="81" spans="1:9">
      <c r="A81" s="2">
        <f t="shared" si="5"/>
        <v>43</v>
      </c>
      <c r="C81" s="101" t="s">
        <v>1386</v>
      </c>
      <c r="D81" s="499">
        <f t="shared" si="3"/>
        <v>0</v>
      </c>
      <c r="E81" s="499">
        <f t="shared" si="4"/>
        <v>0</v>
      </c>
      <c r="F81" s="499">
        <v>0</v>
      </c>
      <c r="G81" s="7">
        <f>(D81+E81+F81)*('28-FFU'!$D$22+'28-FFU'!$E$22)</f>
        <v>0</v>
      </c>
      <c r="H81" s="152">
        <f t="shared" si="6"/>
        <v>0</v>
      </c>
      <c r="I81" s="13" t="s">
        <v>393</v>
      </c>
    </row>
    <row r="82" spans="1:9">
      <c r="A82" s="2">
        <f t="shared" si="5"/>
        <v>44</v>
      </c>
      <c r="C82" s="101" t="s">
        <v>1387</v>
      </c>
      <c r="D82" s="499">
        <f t="shared" si="3"/>
        <v>0</v>
      </c>
      <c r="E82" s="499">
        <f t="shared" si="4"/>
        <v>0</v>
      </c>
      <c r="F82" s="499">
        <v>0</v>
      </c>
      <c r="G82" s="7">
        <f>(D82+E82+F82)*('28-FFU'!$D$22+'28-FFU'!$E$22)</f>
        <v>0</v>
      </c>
      <c r="H82" s="152">
        <f t="shared" si="6"/>
        <v>0</v>
      </c>
      <c r="I82" s="13" t="s">
        <v>393</v>
      </c>
    </row>
    <row r="83" spans="1:9">
      <c r="A83" s="2">
        <f t="shared" si="5"/>
        <v>45</v>
      </c>
      <c r="C83" s="101" t="s">
        <v>1388</v>
      </c>
      <c r="D83" s="499">
        <f t="shared" si="3"/>
        <v>0</v>
      </c>
      <c r="E83" s="499">
        <f t="shared" si="4"/>
        <v>0</v>
      </c>
      <c r="F83" s="499">
        <v>0</v>
      </c>
      <c r="G83" s="7">
        <f>(D83+E83+F83)*('28-FFU'!$D$22+'28-FFU'!$E$22)</f>
        <v>0</v>
      </c>
      <c r="H83" s="152">
        <f t="shared" si="6"/>
        <v>0</v>
      </c>
      <c r="I83" s="13" t="s">
        <v>393</v>
      </c>
    </row>
    <row r="84" spans="1:9">
      <c r="A84" s="2">
        <f t="shared" si="5"/>
        <v>46</v>
      </c>
      <c r="C84" s="101" t="s">
        <v>1389</v>
      </c>
      <c r="D84" s="499">
        <f t="shared" si="3"/>
        <v>3392124.6510965466</v>
      </c>
      <c r="E84" s="499">
        <f t="shared" si="4"/>
        <v>1692088.3727052617</v>
      </c>
      <c r="F84" s="499">
        <v>0</v>
      </c>
      <c r="G84" s="7">
        <f>(D84+E84+F84)*('28-FFU'!$D$22+'28-FFU'!$E$22)</f>
        <v>59044.49110931754</v>
      </c>
      <c r="H84" s="152">
        <f t="shared" si="6"/>
        <v>5143257.5149111254</v>
      </c>
      <c r="I84" s="13" t="s">
        <v>393</v>
      </c>
    </row>
    <row r="85" spans="1:9">
      <c r="A85" s="2">
        <f t="shared" si="5"/>
        <v>47</v>
      </c>
      <c r="C85" s="101" t="s">
        <v>1390</v>
      </c>
      <c r="D85" s="499">
        <f t="shared" si="3"/>
        <v>0</v>
      </c>
      <c r="E85" s="499">
        <f t="shared" si="4"/>
        <v>0</v>
      </c>
      <c r="F85" s="499">
        <v>0</v>
      </c>
      <c r="G85" s="7">
        <f>(D85+E85+F85)*('28-FFU'!$D$22+'28-FFU'!$E$22)</f>
        <v>0</v>
      </c>
      <c r="H85" s="152">
        <f t="shared" si="6"/>
        <v>0</v>
      </c>
      <c r="I85" s="13" t="s">
        <v>393</v>
      </c>
    </row>
    <row r="86" spans="1:9">
      <c r="A86" s="2">
        <f t="shared" si="5"/>
        <v>48</v>
      </c>
      <c r="C86" s="436"/>
      <c r="D86" s="206" t="s">
        <v>86</v>
      </c>
      <c r="E86" s="206" t="s">
        <v>86</v>
      </c>
      <c r="F86" s="206" t="s">
        <v>86</v>
      </c>
      <c r="G86" s="206" t="s">
        <v>86</v>
      </c>
      <c r="H86" s="206" t="s">
        <v>86</v>
      </c>
      <c r="I86" s="13" t="s">
        <v>393</v>
      </c>
    </row>
    <row r="87" spans="1:9">
      <c r="A87" s="2">
        <f t="shared" si="5"/>
        <v>49</v>
      </c>
      <c r="C87" s="436"/>
      <c r="D87" s="206" t="s">
        <v>86</v>
      </c>
      <c r="E87" s="206" t="s">
        <v>86</v>
      </c>
      <c r="F87" s="206" t="s">
        <v>86</v>
      </c>
      <c r="G87" s="206" t="s">
        <v>86</v>
      </c>
      <c r="H87" s="206" t="s">
        <v>86</v>
      </c>
      <c r="I87" s="13" t="s">
        <v>393</v>
      </c>
    </row>
    <row r="88" spans="1:9">
      <c r="A88" s="2">
        <f t="shared" si="5"/>
        <v>50</v>
      </c>
      <c r="C88" s="101" t="s">
        <v>216</v>
      </c>
      <c r="D88" s="61">
        <f>SUM(D77:D87)</f>
        <v>10920604.031349007</v>
      </c>
      <c r="E88" s="61">
        <f>SUM(E77:E87)</f>
        <v>5447508.2743172236</v>
      </c>
      <c r="F88" s="61">
        <f>SUM(F77:F87)</f>
        <v>1548.2926531319054</v>
      </c>
      <c r="G88" s="61">
        <f>SUM(G77:G87)</f>
        <v>190105.77942646225</v>
      </c>
      <c r="H88" s="61">
        <f>SUM(H77:H87)</f>
        <v>16559766.377745826</v>
      </c>
      <c r="I88" s="13" t="str">
        <f>"Sum L "&amp;A77&amp;" to L "&amp;A87&amp;""</f>
        <v>Sum L 39 to L 49</v>
      </c>
    </row>
    <row r="89" spans="1:9">
      <c r="A89" s="2"/>
      <c r="C89" s="101"/>
      <c r="D89" s="101"/>
      <c r="E89" s="7"/>
      <c r="F89" s="13"/>
    </row>
    <row r="90" spans="1:9" ht="15">
      <c r="A90" s="2"/>
      <c r="C90" s="392" t="s">
        <v>1691</v>
      </c>
      <c r="D90" s="101"/>
      <c r="E90" s="7"/>
      <c r="F90" s="13"/>
    </row>
    <row r="91" spans="1:9" ht="15">
      <c r="A91" s="2"/>
      <c r="C91" s="392"/>
      <c r="D91" s="91" t="s">
        <v>391</v>
      </c>
      <c r="E91" s="91" t="s">
        <v>375</v>
      </c>
      <c r="F91" s="91" t="s">
        <v>376</v>
      </c>
      <c r="G91" s="91" t="s">
        <v>377</v>
      </c>
      <c r="H91" s="91" t="s">
        <v>378</v>
      </c>
    </row>
    <row r="92" spans="1:9" ht="15">
      <c r="A92" s="2"/>
      <c r="C92" s="392"/>
      <c r="D92" s="2" t="s">
        <v>1573</v>
      </c>
      <c r="E92" s="498" t="s">
        <v>1574</v>
      </c>
      <c r="F92" s="2"/>
      <c r="H92" s="103" t="s">
        <v>1631</v>
      </c>
    </row>
    <row r="93" spans="1:9" ht="15">
      <c r="A93" s="2"/>
      <c r="C93" s="3" t="s">
        <v>250</v>
      </c>
      <c r="D93" s="3" t="s">
        <v>1575</v>
      </c>
      <c r="E93" s="427" t="s">
        <v>1576</v>
      </c>
      <c r="F93" s="3" t="s">
        <v>9</v>
      </c>
      <c r="G93" s="3" t="s">
        <v>1630</v>
      </c>
      <c r="H93" s="3" t="s">
        <v>215</v>
      </c>
      <c r="I93" s="3" t="s">
        <v>198</v>
      </c>
    </row>
    <row r="94" spans="1:9">
      <c r="A94" s="2">
        <f>A88+1</f>
        <v>51</v>
      </c>
      <c r="C94" s="101" t="s">
        <v>1382</v>
      </c>
      <c r="D94" s="61">
        <f t="shared" ref="D94:D102" si="7">$E$26*(E9/$E$20)</f>
        <v>427368.49429487786</v>
      </c>
      <c r="E94" s="61">
        <f t="shared" ref="E94:E102" si="8">$E$34*(E9/$E$20)</f>
        <v>213183.57502668779</v>
      </c>
      <c r="F94" s="500">
        <f>E48</f>
        <v>60451.904244388897</v>
      </c>
      <c r="G94" s="7">
        <f>(D94+E94+F94)*('28-FFU'!$D$22)</f>
        <v>6453.2322794561087</v>
      </c>
      <c r="H94" s="417">
        <f>SUM(D94:G94)</f>
        <v>707457.2058454107</v>
      </c>
      <c r="I94" s="13" t="s">
        <v>1280</v>
      </c>
    </row>
    <row r="95" spans="1:9">
      <c r="A95" s="2">
        <f t="shared" ref="A95:A105" si="9">A94+1</f>
        <v>52</v>
      </c>
      <c r="C95" s="101" t="s">
        <v>1383</v>
      </c>
      <c r="D95" s="61">
        <f t="shared" si="7"/>
        <v>0</v>
      </c>
      <c r="E95" s="61">
        <f t="shared" si="8"/>
        <v>0</v>
      </c>
      <c r="F95" s="500">
        <f>E55</f>
        <v>0</v>
      </c>
      <c r="G95" s="7">
        <f>(D95+E95+F95)*('28-FFU'!$D$22)</f>
        <v>0</v>
      </c>
      <c r="H95" s="417">
        <f t="shared" ref="H95:H102" si="10">SUM(D95:G95)</f>
        <v>0</v>
      </c>
      <c r="I95" s="13" t="s">
        <v>1280</v>
      </c>
    </row>
    <row r="96" spans="1:9">
      <c r="A96" s="2">
        <f t="shared" si="9"/>
        <v>53</v>
      </c>
      <c r="C96" s="101" t="s">
        <v>1384</v>
      </c>
      <c r="D96" s="61">
        <f t="shared" si="7"/>
        <v>333064.47446805955</v>
      </c>
      <c r="E96" s="61">
        <f t="shared" si="8"/>
        <v>166142.0444636106</v>
      </c>
      <c r="F96" s="500">
        <v>0</v>
      </c>
      <c r="G96" s="7">
        <f>(D96+E96+F96)*('28-FFU'!$D$22)</f>
        <v>4595.5454513292761</v>
      </c>
      <c r="H96" s="417">
        <f t="shared" si="10"/>
        <v>503802.06438299938</v>
      </c>
      <c r="I96" s="13" t="s">
        <v>1280</v>
      </c>
    </row>
    <row r="97" spans="1:9">
      <c r="A97" s="2">
        <f t="shared" si="9"/>
        <v>54</v>
      </c>
      <c r="C97" s="101" t="s">
        <v>1385</v>
      </c>
      <c r="D97" s="61">
        <f t="shared" si="7"/>
        <v>5811396.0731218643</v>
      </c>
      <c r="E97" s="61">
        <f t="shared" si="8"/>
        <v>2898889.8510365048</v>
      </c>
      <c r="F97" s="500">
        <v>0</v>
      </c>
      <c r="G97" s="7">
        <f>(D97+E97+F97)*('28-FFU'!$D$22)</f>
        <v>80184.279132024691</v>
      </c>
      <c r="H97" s="417">
        <f t="shared" si="10"/>
        <v>8790470.2032903936</v>
      </c>
      <c r="I97" s="13" t="s">
        <v>1280</v>
      </c>
    </row>
    <row r="98" spans="1:9">
      <c r="A98" s="2">
        <f t="shared" si="9"/>
        <v>55</v>
      </c>
      <c r="C98" s="101" t="s">
        <v>1386</v>
      </c>
      <c r="D98" s="61">
        <f t="shared" si="7"/>
        <v>0</v>
      </c>
      <c r="E98" s="61">
        <f t="shared" si="8"/>
        <v>0</v>
      </c>
      <c r="F98" s="500">
        <v>0</v>
      </c>
      <c r="G98" s="7">
        <f>(D98+E98+F98)*('28-FFU'!$D$22)</f>
        <v>0</v>
      </c>
      <c r="H98" s="417">
        <f t="shared" si="10"/>
        <v>0</v>
      </c>
      <c r="I98" s="13" t="s">
        <v>1280</v>
      </c>
    </row>
    <row r="99" spans="1:9">
      <c r="A99" s="2">
        <f t="shared" si="9"/>
        <v>56</v>
      </c>
      <c r="C99" s="101" t="s">
        <v>1387</v>
      </c>
      <c r="D99" s="61">
        <f t="shared" si="7"/>
        <v>670879.09442884219</v>
      </c>
      <c r="E99" s="61">
        <f t="shared" si="8"/>
        <v>334653.59676777088</v>
      </c>
      <c r="F99" s="500">
        <v>0</v>
      </c>
      <c r="G99" s="7">
        <f>(D99+E99+F99)*('28-FFU'!$D$22)</f>
        <v>9256.6322953486615</v>
      </c>
      <c r="H99" s="417">
        <f t="shared" si="10"/>
        <v>1014789.3234919617</v>
      </c>
      <c r="I99" s="13" t="s">
        <v>1280</v>
      </c>
    </row>
    <row r="100" spans="1:9">
      <c r="A100" s="2">
        <f t="shared" si="9"/>
        <v>57</v>
      </c>
      <c r="C100" s="101" t="s">
        <v>1388</v>
      </c>
      <c r="D100" s="61">
        <f t="shared" si="7"/>
        <v>0</v>
      </c>
      <c r="E100" s="61">
        <f t="shared" si="8"/>
        <v>0</v>
      </c>
      <c r="F100" s="500">
        <v>0</v>
      </c>
      <c r="G100" s="7">
        <f>(D100+E100+F100)*('28-FFU'!$D$22)</f>
        <v>0</v>
      </c>
      <c r="H100" s="417">
        <f t="shared" si="10"/>
        <v>0</v>
      </c>
      <c r="I100" s="13" t="s">
        <v>1280</v>
      </c>
    </row>
    <row r="101" spans="1:9">
      <c r="A101" s="2">
        <f t="shared" si="9"/>
        <v>58</v>
      </c>
      <c r="C101" s="101" t="s">
        <v>1389</v>
      </c>
      <c r="D101" s="61">
        <f t="shared" si="7"/>
        <v>474268.07462031255</v>
      </c>
      <c r="E101" s="61">
        <f t="shared" si="8"/>
        <v>236578.42124136654</v>
      </c>
      <c r="F101" s="500">
        <v>0</v>
      </c>
      <c r="G101" s="7">
        <f>(D101+E101+F101)*('28-FFU'!$D$22)</f>
        <v>6543.8395869538599</v>
      </c>
      <c r="H101" s="417">
        <f t="shared" si="10"/>
        <v>717390.33544863295</v>
      </c>
      <c r="I101" s="13" t="s">
        <v>1280</v>
      </c>
    </row>
    <row r="102" spans="1:9">
      <c r="A102" s="2">
        <f t="shared" si="9"/>
        <v>59</v>
      </c>
      <c r="C102" s="101" t="s">
        <v>1390</v>
      </c>
      <c r="D102" s="61">
        <f t="shared" si="7"/>
        <v>0</v>
      </c>
      <c r="E102" s="61">
        <f t="shared" si="8"/>
        <v>0</v>
      </c>
      <c r="F102" s="500">
        <v>0</v>
      </c>
      <c r="G102" s="7">
        <f>(D102+E102+F102)*('28-FFU'!$D$22)</f>
        <v>0</v>
      </c>
      <c r="H102" s="417">
        <f t="shared" si="10"/>
        <v>0</v>
      </c>
      <c r="I102" s="13" t="s">
        <v>1280</v>
      </c>
    </row>
    <row r="103" spans="1:9">
      <c r="A103" s="2">
        <f t="shared" si="9"/>
        <v>60</v>
      </c>
      <c r="C103" s="436"/>
      <c r="D103" s="206" t="s">
        <v>86</v>
      </c>
      <c r="E103" s="206" t="s">
        <v>86</v>
      </c>
      <c r="F103" s="206" t="s">
        <v>86</v>
      </c>
      <c r="G103" s="206" t="s">
        <v>86</v>
      </c>
      <c r="H103" s="206" t="s">
        <v>86</v>
      </c>
      <c r="I103" s="13" t="s">
        <v>1280</v>
      </c>
    </row>
    <row r="104" spans="1:9">
      <c r="A104" s="2">
        <f t="shared" si="9"/>
        <v>61</v>
      </c>
      <c r="C104" s="436"/>
      <c r="D104" s="206" t="s">
        <v>86</v>
      </c>
      <c r="E104" s="206" t="s">
        <v>86</v>
      </c>
      <c r="F104" s="206" t="s">
        <v>86</v>
      </c>
      <c r="G104" s="206" t="s">
        <v>86</v>
      </c>
      <c r="H104" s="206" t="s">
        <v>86</v>
      </c>
      <c r="I104" s="13" t="s">
        <v>1280</v>
      </c>
    </row>
    <row r="105" spans="1:9">
      <c r="A105" s="2">
        <f t="shared" si="9"/>
        <v>62</v>
      </c>
      <c r="C105" s="101" t="s">
        <v>216</v>
      </c>
      <c r="D105" s="7">
        <f>SUM(D94:D104)</f>
        <v>7716976.2109339572</v>
      </c>
      <c r="E105" s="7">
        <f>SUM(E94:E104)</f>
        <v>3849447.4885359406</v>
      </c>
      <c r="F105" s="7">
        <f>SUM(F94:F104)</f>
        <v>60451.904244388897</v>
      </c>
      <c r="G105" s="61">
        <f>SUM(G94:G104)</f>
        <v>107033.52874511261</v>
      </c>
      <c r="H105" s="7">
        <f>SUM(H94:H104)</f>
        <v>11733909.132459398</v>
      </c>
      <c r="I105" s="13" t="str">
        <f>"Sum of L "&amp;A94&amp;" to "&amp;A104&amp;""</f>
        <v>Sum of L 51 to 61</v>
      </c>
    </row>
    <row r="106" spans="1:9">
      <c r="C106" s="101"/>
    </row>
    <row r="107" spans="1:9">
      <c r="B107" s="1" t="s">
        <v>1380</v>
      </c>
    </row>
    <row r="108" spans="1:9">
      <c r="B108" s="1"/>
    </row>
    <row r="109" spans="1:9" ht="15">
      <c r="B109" s="1"/>
      <c r="C109" s="392" t="s">
        <v>1577</v>
      </c>
    </row>
    <row r="110" spans="1:9">
      <c r="E110" s="3" t="s">
        <v>190</v>
      </c>
      <c r="F110" s="3" t="s">
        <v>198</v>
      </c>
    </row>
    <row r="111" spans="1:9">
      <c r="A111" s="2">
        <f>A105+1</f>
        <v>63</v>
      </c>
      <c r="D111" s="101" t="s">
        <v>386</v>
      </c>
      <c r="E111" s="7">
        <f>F20</f>
        <v>329668013.14805615</v>
      </c>
      <c r="F111" s="16" t="str">
        <f>"Line "&amp;A20&amp;", Col 3"</f>
        <v>Line 12, Col 3</v>
      </c>
    </row>
    <row r="112" spans="1:9">
      <c r="A112" s="2">
        <f>A111+1</f>
        <v>64</v>
      </c>
      <c r="D112" s="101" t="s">
        <v>384</v>
      </c>
      <c r="E112" s="401">
        <f>'2-IFPTRR'!D25</f>
        <v>0.10866462394685193</v>
      </c>
      <c r="F112" s="47" t="str">
        <f>"2-IFPTRR, Line "&amp;'2-IFPTRR'!A25&amp;""</f>
        <v>2-IFPTRR, Line 16</v>
      </c>
      <c r="G112" s="14"/>
      <c r="H112" s="14"/>
    </row>
    <row r="113" spans="1:8">
      <c r="A113" s="2">
        <f>A112+1</f>
        <v>65</v>
      </c>
      <c r="D113" s="101" t="s">
        <v>1623</v>
      </c>
      <c r="E113" s="7">
        <f>E111*E112</f>
        <v>35823250.67603936</v>
      </c>
      <c r="F113" s="123" t="str">
        <f>"Line "&amp;A111&amp;" * Line "&amp;A112&amp;""</f>
        <v>Line 63 * Line 64</v>
      </c>
      <c r="G113" s="14"/>
      <c r="H113" s="14"/>
    </row>
    <row r="114" spans="1:8">
      <c r="A114" s="506">
        <f>A113+1</f>
        <v>66</v>
      </c>
      <c r="D114" s="101" t="s">
        <v>1622</v>
      </c>
      <c r="E114" s="98">
        <f>E113*('28-FFU'!D22+'28-FFU'!E22)</f>
        <v>416026.15707604791</v>
      </c>
      <c r="F114" s="514" t="str">
        <f>"Line "&amp;A113&amp;" * (28-FFU, L"&amp;'28-FFU'!A22&amp;" FF Factor + U Factor)"</f>
        <v>Line 65 * (28-FFU, L5 FF Factor + U Factor)</v>
      </c>
      <c r="G114" s="14"/>
      <c r="H114" s="14"/>
    </row>
    <row r="115" spans="1:8">
      <c r="A115" s="511">
        <f>A114+1</f>
        <v>67</v>
      </c>
      <c r="D115" s="101" t="s">
        <v>1624</v>
      </c>
      <c r="E115" s="7">
        <f>SUM(E113:E114)</f>
        <v>36239276.833115406</v>
      </c>
      <c r="F115" s="16" t="str">
        <f>"Line "&amp;A113&amp;" + Line "&amp;A114&amp;""</f>
        <v>Line 65 + Line 66</v>
      </c>
    </row>
    <row r="116" spans="1:8">
      <c r="A116" s="506"/>
      <c r="D116" s="101"/>
      <c r="E116" s="7"/>
    </row>
    <row r="117" spans="1:8" ht="15">
      <c r="A117" s="2"/>
      <c r="C117" s="392" t="s">
        <v>1578</v>
      </c>
      <c r="D117" s="101"/>
      <c r="E117" s="7"/>
      <c r="F117" s="16"/>
    </row>
    <row r="118" spans="1:8">
      <c r="A118" s="2"/>
      <c r="D118" s="539" t="s">
        <v>194</v>
      </c>
      <c r="E118" s="539" t="s">
        <v>194</v>
      </c>
    </row>
    <row r="119" spans="1:8">
      <c r="A119" s="2"/>
      <c r="C119" s="3" t="s">
        <v>250</v>
      </c>
      <c r="D119" s="3" t="s">
        <v>1658</v>
      </c>
      <c r="E119" s="3" t="s">
        <v>1659</v>
      </c>
      <c r="F119" s="3" t="s">
        <v>198</v>
      </c>
    </row>
    <row r="120" spans="1:8">
      <c r="A120" s="2">
        <f>A115+1</f>
        <v>68</v>
      </c>
      <c r="C120" s="101" t="s">
        <v>1382</v>
      </c>
      <c r="D120" s="61">
        <f>$E$113*(F9/$F$20)</f>
        <v>-16405.80351066565</v>
      </c>
      <c r="E120" s="61">
        <f>$E$115*(F9/$F$20)</f>
        <v>-16596.329028576063</v>
      </c>
      <c r="F120" s="13" t="s">
        <v>1295</v>
      </c>
    </row>
    <row r="121" spans="1:8">
      <c r="A121" s="2">
        <f t="shared" ref="A121:A131" si="11">A120+1</f>
        <v>69</v>
      </c>
      <c r="C121" s="101" t="s">
        <v>1383</v>
      </c>
      <c r="D121" s="61">
        <f t="shared" ref="D121:D128" si="12">$E$113*(F10/$F$20)</f>
        <v>0</v>
      </c>
      <c r="E121" s="61">
        <f t="shared" ref="E121:E128" si="13">$E$115*(F10/$F$20)</f>
        <v>0</v>
      </c>
      <c r="F121" s="13" t="s">
        <v>1295</v>
      </c>
    </row>
    <row r="122" spans="1:8">
      <c r="A122" s="2">
        <f t="shared" si="11"/>
        <v>70</v>
      </c>
      <c r="C122" s="101" t="s">
        <v>1384</v>
      </c>
      <c r="D122" s="61">
        <f t="shared" si="12"/>
        <v>68246.60809938969</v>
      </c>
      <c r="E122" s="61">
        <f t="shared" si="13"/>
        <v>69039.176433230328</v>
      </c>
      <c r="F122" s="13" t="s">
        <v>1295</v>
      </c>
    </row>
    <row r="123" spans="1:8">
      <c r="A123" s="2">
        <f t="shared" si="11"/>
        <v>71</v>
      </c>
      <c r="C123" s="101" t="s">
        <v>1385</v>
      </c>
      <c r="D123" s="61">
        <f t="shared" si="12"/>
        <v>17214783.625971381</v>
      </c>
      <c r="E123" s="61">
        <f t="shared" si="13"/>
        <v>17414704.072654873</v>
      </c>
      <c r="F123" s="13" t="s">
        <v>1295</v>
      </c>
    </row>
    <row r="124" spans="1:8">
      <c r="A124" s="2">
        <f t="shared" si="11"/>
        <v>72</v>
      </c>
      <c r="C124" s="101" t="s">
        <v>1386</v>
      </c>
      <c r="D124" s="61">
        <f t="shared" si="12"/>
        <v>0</v>
      </c>
      <c r="E124" s="61">
        <f t="shared" si="13"/>
        <v>0</v>
      </c>
      <c r="F124" s="13" t="s">
        <v>1295</v>
      </c>
    </row>
    <row r="125" spans="1:8">
      <c r="A125" s="2">
        <f t="shared" si="11"/>
        <v>73</v>
      </c>
      <c r="C125" s="101" t="s">
        <v>1387</v>
      </c>
      <c r="D125" s="61">
        <f t="shared" si="12"/>
        <v>0</v>
      </c>
      <c r="E125" s="61">
        <f t="shared" si="13"/>
        <v>0</v>
      </c>
      <c r="F125" s="13" t="s">
        <v>1295</v>
      </c>
    </row>
    <row r="126" spans="1:8">
      <c r="A126" s="2">
        <f t="shared" si="11"/>
        <v>74</v>
      </c>
      <c r="C126" s="101" t="s">
        <v>1388</v>
      </c>
      <c r="D126" s="61">
        <f t="shared" si="12"/>
        <v>0</v>
      </c>
      <c r="E126" s="61">
        <f t="shared" si="13"/>
        <v>0</v>
      </c>
      <c r="F126" s="13" t="s">
        <v>1295</v>
      </c>
    </row>
    <row r="127" spans="1:8">
      <c r="A127" s="2">
        <f t="shared" si="11"/>
        <v>75</v>
      </c>
      <c r="C127" s="101" t="s">
        <v>1389</v>
      </c>
      <c r="D127" s="61">
        <f t="shared" si="12"/>
        <v>12060781.239157412</v>
      </c>
      <c r="E127" s="61">
        <f t="shared" si="13"/>
        <v>12200846.709922118</v>
      </c>
      <c r="F127" s="13" t="s">
        <v>1295</v>
      </c>
    </row>
    <row r="128" spans="1:8">
      <c r="A128" s="2">
        <f t="shared" si="11"/>
        <v>76</v>
      </c>
      <c r="C128" s="101" t="s">
        <v>1390</v>
      </c>
      <c r="D128" s="61">
        <f t="shared" si="12"/>
        <v>365035.49682889687</v>
      </c>
      <c r="E128" s="61">
        <f t="shared" si="13"/>
        <v>369274.76356421987</v>
      </c>
      <c r="F128" s="13" t="s">
        <v>1295</v>
      </c>
    </row>
    <row r="129" spans="1:8">
      <c r="A129" s="2">
        <f t="shared" si="11"/>
        <v>77</v>
      </c>
      <c r="C129" s="436"/>
      <c r="D129" s="497" t="s">
        <v>86</v>
      </c>
      <c r="E129" s="497" t="s">
        <v>86</v>
      </c>
      <c r="F129" s="13" t="s">
        <v>1295</v>
      </c>
    </row>
    <row r="130" spans="1:8">
      <c r="A130" s="2">
        <f t="shared" si="11"/>
        <v>78</v>
      </c>
      <c r="C130" s="436"/>
      <c r="D130" s="497" t="s">
        <v>86</v>
      </c>
      <c r="E130" s="497" t="s">
        <v>86</v>
      </c>
      <c r="F130" s="13" t="s">
        <v>1295</v>
      </c>
    </row>
    <row r="131" spans="1:8">
      <c r="A131" s="2">
        <f t="shared" si="11"/>
        <v>79</v>
      </c>
      <c r="C131" s="101" t="s">
        <v>216</v>
      </c>
      <c r="D131" s="7">
        <f>SUM(D120:D130)</f>
        <v>29692441.166546412</v>
      </c>
      <c r="E131" s="7">
        <f>SUM(E120:E130)</f>
        <v>30037268.393545866</v>
      </c>
      <c r="F131" s="13" t="str">
        <f>"Sum of Lines "&amp;A120&amp;" to "&amp;A130&amp;""</f>
        <v>Sum of Lines 68 to 78</v>
      </c>
    </row>
    <row r="133" spans="1:8">
      <c r="B133" s="1" t="s">
        <v>1664</v>
      </c>
    </row>
    <row r="134" spans="1:8">
      <c r="B134" s="1"/>
    </row>
    <row r="135" spans="1:8" ht="15">
      <c r="C135" s="392" t="s">
        <v>1577</v>
      </c>
    </row>
    <row r="136" spans="1:8">
      <c r="E136" s="3" t="s">
        <v>190</v>
      </c>
      <c r="F136" s="3" t="s">
        <v>198</v>
      </c>
      <c r="H136" s="1"/>
    </row>
    <row r="137" spans="1:8">
      <c r="A137" s="2">
        <f>A131+1</f>
        <v>80</v>
      </c>
      <c r="D137" s="101" t="s">
        <v>1391</v>
      </c>
      <c r="E137" s="7">
        <f>SUM(D64:D67)</f>
        <v>16369660.598319363</v>
      </c>
      <c r="F137" s="16" t="str">
        <f>"Sum Line "&amp;A64&amp;" to "&amp;A67&amp;""</f>
        <v>Sum Line 33 to 36</v>
      </c>
    </row>
    <row r="138" spans="1:8">
      <c r="A138" s="2">
        <f t="shared" ref="A138:A145" si="14">A137+1</f>
        <v>81</v>
      </c>
      <c r="D138" s="513" t="s">
        <v>1656</v>
      </c>
      <c r="E138" s="7">
        <f>E113</f>
        <v>35823250.67603936</v>
      </c>
      <c r="F138" s="16" t="str">
        <f>"Line "&amp;A113&amp;""</f>
        <v>Line 65</v>
      </c>
    </row>
    <row r="139" spans="1:8">
      <c r="A139" s="2">
        <f t="shared" si="14"/>
        <v>82</v>
      </c>
      <c r="D139" s="101" t="s">
        <v>1392</v>
      </c>
      <c r="E139" s="7">
        <f>SUM(E137:E138)</f>
        <v>52192911.27435872</v>
      </c>
      <c r="F139" s="16" t="str">
        <f>"Line "&amp;A137&amp;" + Line "&amp;A138&amp;""</f>
        <v>Line 80 + Line 81</v>
      </c>
    </row>
    <row r="140" spans="1:8">
      <c r="A140" s="2">
        <f t="shared" si="14"/>
        <v>83</v>
      </c>
      <c r="D140" s="101" t="s">
        <v>1375</v>
      </c>
      <c r="E140" s="8">
        <f>'28-FFU'!D22</f>
        <v>9.2057000000000007E-3</v>
      </c>
      <c r="F140" s="47" t="str">
        <f>"28-FFU, Line "&amp;'28-FFU'!A22&amp;""</f>
        <v>28-FFU, Line 5</v>
      </c>
    </row>
    <row r="141" spans="1:8">
      <c r="A141" s="2">
        <f t="shared" si="14"/>
        <v>84</v>
      </c>
      <c r="D141" s="101" t="s">
        <v>1376</v>
      </c>
      <c r="E141" s="8">
        <f>'28-FFU'!E22</f>
        <v>2.4076000000000002E-3</v>
      </c>
      <c r="F141" s="47" t="str">
        <f>"28-FFU, Line "&amp;'28-FFU'!A22&amp;""</f>
        <v>28-FFU, Line 5</v>
      </c>
    </row>
    <row r="142" spans="1:8">
      <c r="A142" s="2">
        <f t="shared" si="14"/>
        <v>85</v>
      </c>
      <c r="D142" s="513" t="s">
        <v>1662</v>
      </c>
      <c r="E142" s="7">
        <f>E139*E140</f>
        <v>480472.28331836412</v>
      </c>
      <c r="F142" s="16" t="str">
        <f>"Line "&amp;A139&amp;" * Line "&amp;A140&amp;""</f>
        <v>Line 82 * Line 83</v>
      </c>
    </row>
    <row r="143" spans="1:8">
      <c r="A143" s="540">
        <f t="shared" si="14"/>
        <v>86</v>
      </c>
      <c r="D143" s="513" t="s">
        <v>1663</v>
      </c>
      <c r="E143" s="7">
        <f>E139*E141</f>
        <v>125659.65318414607</v>
      </c>
      <c r="F143" s="16" t="str">
        <f>"Line "&amp;A139&amp;" * Line "&amp;A141&amp;""</f>
        <v>Line 82 * Line 84</v>
      </c>
    </row>
    <row r="144" spans="1:8">
      <c r="A144" s="540">
        <f t="shared" si="14"/>
        <v>87</v>
      </c>
      <c r="D144" s="101" t="s">
        <v>1393</v>
      </c>
      <c r="E144" s="7">
        <f>E139+E142+E143</f>
        <v>52799043.210861228</v>
      </c>
      <c r="F144" s="13" t="str">
        <f>"Line "&amp;A139&amp;" + Line "&amp;A142&amp;" + Line "&amp;A143&amp;""</f>
        <v>Line 82 + Line 85 + Line 86</v>
      </c>
    </row>
    <row r="145" spans="1:8">
      <c r="A145" s="540">
        <f t="shared" si="14"/>
        <v>88</v>
      </c>
      <c r="D145" s="513" t="s">
        <v>1661</v>
      </c>
      <c r="E145" s="7">
        <f>E139+E142</f>
        <v>52673383.557677083</v>
      </c>
      <c r="F145" s="13" t="str">
        <f>"Line "&amp;A139&amp;" + Line "&amp;A142&amp;""</f>
        <v>Line 82 + Line 85</v>
      </c>
    </row>
    <row r="147" spans="1:8" ht="15">
      <c r="C147" s="392" t="s">
        <v>1579</v>
      </c>
    </row>
    <row r="148" spans="1:8" ht="15">
      <c r="C148" s="392"/>
      <c r="D148" s="91" t="s">
        <v>391</v>
      </c>
      <c r="E148" s="91" t="s">
        <v>375</v>
      </c>
      <c r="F148" s="91" t="s">
        <v>376</v>
      </c>
      <c r="G148" s="91" t="s">
        <v>377</v>
      </c>
    </row>
    <row r="149" spans="1:8" ht="12.75" customHeight="1">
      <c r="D149" s="259" t="s">
        <v>1571</v>
      </c>
      <c r="E149" s="259" t="s">
        <v>1206</v>
      </c>
    </row>
    <row r="150" spans="1:8" ht="12.75" customHeight="1">
      <c r="D150" s="3" t="s">
        <v>1658</v>
      </c>
      <c r="E150" s="3" t="s">
        <v>1658</v>
      </c>
      <c r="F150" s="3" t="s">
        <v>1580</v>
      </c>
      <c r="G150" s="261" t="s">
        <v>215</v>
      </c>
      <c r="H150" s="3" t="s">
        <v>198</v>
      </c>
    </row>
    <row r="151" spans="1:8">
      <c r="A151" s="540">
        <f>A145+1</f>
        <v>89</v>
      </c>
      <c r="C151" s="101" t="s">
        <v>1382</v>
      </c>
      <c r="D151" s="7">
        <f t="shared" ref="D151:D159" si="15">D77+E77+F77</f>
        <v>17954.096163797556</v>
      </c>
      <c r="E151" s="7">
        <f t="shared" ref="E151:E159" si="16">D120</f>
        <v>-16405.80351066565</v>
      </c>
      <c r="F151" s="7">
        <f>(D151+E151)*('28-FFU'!$D$22+'28-FFU'!$E$22)</f>
        <v>17.980787068616767</v>
      </c>
      <c r="G151" s="7">
        <f>SUM(D151:F151)</f>
        <v>1566.2734402005231</v>
      </c>
      <c r="H151" s="13" t="s">
        <v>1297</v>
      </c>
    </row>
    <row r="152" spans="1:8">
      <c r="A152" s="540">
        <f t="shared" ref="A152:A162" si="17">A151+1</f>
        <v>90</v>
      </c>
      <c r="C152" s="101" t="s">
        <v>1383</v>
      </c>
      <c r="D152" s="7">
        <f t="shared" si="15"/>
        <v>0</v>
      </c>
      <c r="E152" s="7">
        <f t="shared" si="16"/>
        <v>0</v>
      </c>
      <c r="F152" s="7">
        <f>(D152+E152)*('28-FFU'!$D$22+'28-FFU'!$E$22)</f>
        <v>0</v>
      </c>
      <c r="G152" s="7">
        <f t="shared" ref="G152:G159" si="18">SUM(D152:F152)</f>
        <v>0</v>
      </c>
      <c r="H152" s="13" t="s">
        <v>1297</v>
      </c>
    </row>
    <row r="153" spans="1:8">
      <c r="A153" s="540">
        <f t="shared" si="17"/>
        <v>91</v>
      </c>
      <c r="C153" s="101" t="s">
        <v>1384</v>
      </c>
      <c r="D153" s="7">
        <f t="shared" si="15"/>
        <v>530797.12685607316</v>
      </c>
      <c r="E153" s="7">
        <f t="shared" si="16"/>
        <v>68246.60809938969</v>
      </c>
      <c r="F153" s="7">
        <f>(D153+E153)*('28-FFU'!$D$22+'28-FFU'!$E$22)</f>
        <v>6956.8746071582773</v>
      </c>
      <c r="G153" s="7">
        <f t="shared" si="18"/>
        <v>606000.6095626211</v>
      </c>
      <c r="H153" s="13" t="s">
        <v>1297</v>
      </c>
    </row>
    <row r="154" spans="1:8">
      <c r="A154" s="540">
        <f t="shared" si="17"/>
        <v>92</v>
      </c>
      <c r="C154" s="101" t="s">
        <v>1385</v>
      </c>
      <c r="D154" s="7">
        <f t="shared" si="15"/>
        <v>10736696.351497684</v>
      </c>
      <c r="E154" s="7">
        <f t="shared" si="16"/>
        <v>17214783.625971381</v>
      </c>
      <c r="F154" s="7">
        <f>(D154+E154)*('28-FFU'!$D$22+'28-FFU'!$E$22)</f>
        <v>324608.92242234148</v>
      </c>
      <c r="G154" s="7">
        <f t="shared" si="18"/>
        <v>28276088.899891406</v>
      </c>
      <c r="H154" s="13" t="s">
        <v>1297</v>
      </c>
    </row>
    <row r="155" spans="1:8">
      <c r="A155" s="540">
        <f t="shared" si="17"/>
        <v>93</v>
      </c>
      <c r="C155" s="101" t="s">
        <v>1386</v>
      </c>
      <c r="D155" s="7">
        <f t="shared" si="15"/>
        <v>0</v>
      </c>
      <c r="E155" s="7">
        <f t="shared" si="16"/>
        <v>0</v>
      </c>
      <c r="F155" s="7">
        <f>(D155+E155)*('28-FFU'!$D$22+'28-FFU'!$E$22)</f>
        <v>0</v>
      </c>
      <c r="G155" s="7">
        <f t="shared" si="18"/>
        <v>0</v>
      </c>
      <c r="H155" s="13" t="s">
        <v>1297</v>
      </c>
    </row>
    <row r="156" spans="1:8">
      <c r="A156" s="540">
        <f t="shared" si="17"/>
        <v>94</v>
      </c>
      <c r="C156" s="101" t="s">
        <v>1387</v>
      </c>
      <c r="D156" s="7">
        <f t="shared" si="15"/>
        <v>0</v>
      </c>
      <c r="E156" s="7">
        <f t="shared" si="16"/>
        <v>0</v>
      </c>
      <c r="F156" s="7">
        <f>(D156+E156)*('28-FFU'!$D$22+'28-FFU'!$E$22)</f>
        <v>0</v>
      </c>
      <c r="G156" s="7">
        <f t="shared" si="18"/>
        <v>0</v>
      </c>
      <c r="H156" s="13" t="s">
        <v>1297</v>
      </c>
    </row>
    <row r="157" spans="1:8">
      <c r="A157" s="540">
        <f t="shared" si="17"/>
        <v>95</v>
      </c>
      <c r="C157" s="101" t="s">
        <v>1388</v>
      </c>
      <c r="D157" s="7">
        <f t="shared" si="15"/>
        <v>0</v>
      </c>
      <c r="E157" s="7">
        <f t="shared" si="16"/>
        <v>0</v>
      </c>
      <c r="F157" s="7">
        <f>(D157+E157)*('28-FFU'!$D$22+'28-FFU'!$E$22)</f>
        <v>0</v>
      </c>
      <c r="G157" s="7">
        <f t="shared" si="18"/>
        <v>0</v>
      </c>
      <c r="H157" s="13" t="s">
        <v>1297</v>
      </c>
    </row>
    <row r="158" spans="1:8">
      <c r="A158" s="540">
        <f t="shared" si="17"/>
        <v>96</v>
      </c>
      <c r="C158" s="101" t="s">
        <v>1389</v>
      </c>
      <c r="D158" s="7">
        <f t="shared" si="15"/>
        <v>5084213.0238018082</v>
      </c>
      <c r="E158" s="7">
        <f t="shared" si="16"/>
        <v>12060781.239157412</v>
      </c>
      <c r="F158" s="7">
        <f>(D158+E158)*('28-FFU'!$D$22+'28-FFU'!$E$22)</f>
        <v>199109.9618740243</v>
      </c>
      <c r="G158" s="7">
        <f t="shared" si="18"/>
        <v>17344104.224833243</v>
      </c>
      <c r="H158" s="13" t="s">
        <v>1297</v>
      </c>
    </row>
    <row r="159" spans="1:8">
      <c r="A159" s="540">
        <f t="shared" si="17"/>
        <v>97</v>
      </c>
      <c r="C159" s="101" t="s">
        <v>1390</v>
      </c>
      <c r="D159" s="7">
        <f t="shared" si="15"/>
        <v>0</v>
      </c>
      <c r="E159" s="7">
        <f t="shared" si="16"/>
        <v>365035.49682889687</v>
      </c>
      <c r="F159" s="7">
        <f>(D159+E159)*('28-FFU'!$D$22+'28-FFU'!$E$22)</f>
        <v>4239.2667353230281</v>
      </c>
      <c r="G159" s="7">
        <f t="shared" si="18"/>
        <v>369274.76356421987</v>
      </c>
      <c r="H159" s="13" t="s">
        <v>1297</v>
      </c>
    </row>
    <row r="160" spans="1:8">
      <c r="A160" s="540">
        <f t="shared" si="17"/>
        <v>98</v>
      </c>
      <c r="C160" s="436"/>
      <c r="D160" s="497" t="s">
        <v>86</v>
      </c>
      <c r="E160" s="497" t="s">
        <v>86</v>
      </c>
      <c r="F160" s="497" t="s">
        <v>86</v>
      </c>
      <c r="G160" s="497" t="s">
        <v>86</v>
      </c>
      <c r="H160" s="13" t="s">
        <v>1297</v>
      </c>
    </row>
    <row r="161" spans="1:8">
      <c r="A161" s="540">
        <f t="shared" si="17"/>
        <v>99</v>
      </c>
      <c r="C161" s="436"/>
      <c r="D161" s="497" t="s">
        <v>86</v>
      </c>
      <c r="E161" s="497" t="s">
        <v>86</v>
      </c>
      <c r="F161" s="497" t="s">
        <v>86</v>
      </c>
      <c r="G161" s="497" t="s">
        <v>86</v>
      </c>
      <c r="H161" s="13" t="s">
        <v>1297</v>
      </c>
    </row>
    <row r="162" spans="1:8">
      <c r="A162" s="540">
        <f t="shared" si="17"/>
        <v>100</v>
      </c>
      <c r="C162" s="101" t="s">
        <v>216</v>
      </c>
      <c r="D162" s="7">
        <f>SUM(D151:D161)</f>
        <v>16369660.598319363</v>
      </c>
      <c r="E162" s="7">
        <f>SUM(E151:E161)</f>
        <v>29692441.166546412</v>
      </c>
      <c r="F162" s="7">
        <f>SUM(F151:F161)</f>
        <v>534933.00642591575</v>
      </c>
      <c r="G162" s="7">
        <f>SUM(G151:G161)</f>
        <v>46597034.771291696</v>
      </c>
    </row>
    <row r="164" spans="1:8" ht="15">
      <c r="C164" s="392" t="s">
        <v>1657</v>
      </c>
    </row>
    <row r="165" spans="1:8" ht="15">
      <c r="C165" s="392"/>
    </row>
    <row r="166" spans="1:8">
      <c r="D166" s="91" t="s">
        <v>391</v>
      </c>
      <c r="E166" s="91" t="s">
        <v>375</v>
      </c>
      <c r="F166" s="91" t="s">
        <v>376</v>
      </c>
      <c r="G166" s="91" t="s">
        <v>377</v>
      </c>
    </row>
    <row r="167" spans="1:8" ht="12.75" customHeight="1">
      <c r="D167" s="259" t="s">
        <v>1571</v>
      </c>
      <c r="E167" s="259" t="s">
        <v>1206</v>
      </c>
      <c r="F167" s="91"/>
      <c r="G167" s="91"/>
    </row>
    <row r="168" spans="1:8" ht="12.75" customHeight="1">
      <c r="D168" s="3" t="s">
        <v>1658</v>
      </c>
      <c r="E168" s="3" t="s">
        <v>1658</v>
      </c>
      <c r="F168" s="3" t="s">
        <v>1630</v>
      </c>
      <c r="G168" s="261" t="s">
        <v>215</v>
      </c>
      <c r="H168" s="3" t="s">
        <v>198</v>
      </c>
    </row>
    <row r="169" spans="1:8">
      <c r="A169" s="540">
        <f>A162+1</f>
        <v>101</v>
      </c>
      <c r="C169" s="101" t="s">
        <v>1382</v>
      </c>
      <c r="D169" s="7">
        <f t="shared" ref="D169:D177" si="19">D77+E77+F77</f>
        <v>17954.096163797556</v>
      </c>
      <c r="E169" s="7">
        <f t="shared" ref="E169:E177" si="20">D120</f>
        <v>-16405.80351066565</v>
      </c>
      <c r="F169" s="7">
        <f>(D169+E169)*('28-FFU'!$D$22)</f>
        <v>14.253117676936391</v>
      </c>
      <c r="G169" s="7">
        <f>SUM(D169:F169)</f>
        <v>1562.5457708088427</v>
      </c>
      <c r="H169" s="519" t="s">
        <v>1298</v>
      </c>
    </row>
    <row r="170" spans="1:8">
      <c r="A170" s="540">
        <f t="shared" ref="A170:A180" si="21">A169+1</f>
        <v>102</v>
      </c>
      <c r="C170" s="101" t="s">
        <v>1383</v>
      </c>
      <c r="D170" s="7">
        <f t="shared" si="19"/>
        <v>0</v>
      </c>
      <c r="E170" s="7">
        <f t="shared" si="20"/>
        <v>0</v>
      </c>
      <c r="F170" s="7">
        <f>(D170+E170)*('28-FFU'!$D$22)</f>
        <v>0</v>
      </c>
      <c r="G170" s="7">
        <f t="shared" ref="G170:G177" si="22">SUM(D170:F170)</f>
        <v>0</v>
      </c>
      <c r="H170" s="519" t="s">
        <v>1298</v>
      </c>
    </row>
    <row r="171" spans="1:8">
      <c r="A171" s="540">
        <f t="shared" si="21"/>
        <v>103</v>
      </c>
      <c r="C171" s="101" t="s">
        <v>1384</v>
      </c>
      <c r="D171" s="7">
        <f t="shared" si="19"/>
        <v>530797.12685607316</v>
      </c>
      <c r="E171" s="7">
        <f t="shared" si="20"/>
        <v>68246.60809938969</v>
      </c>
      <c r="F171" s="7">
        <f>(D171+E171)*('28-FFU'!$D$22)</f>
        <v>5514.6169108795048</v>
      </c>
      <c r="G171" s="7">
        <f t="shared" si="22"/>
        <v>604558.35186634236</v>
      </c>
      <c r="H171" s="519" t="s">
        <v>1298</v>
      </c>
    </row>
    <row r="172" spans="1:8">
      <c r="A172" s="540">
        <f t="shared" si="21"/>
        <v>104</v>
      </c>
      <c r="C172" s="101" t="s">
        <v>1385</v>
      </c>
      <c r="D172" s="7">
        <f t="shared" si="19"/>
        <v>10736696.351497684</v>
      </c>
      <c r="E172" s="7">
        <f t="shared" si="20"/>
        <v>17214783.625971381</v>
      </c>
      <c r="F172" s="7">
        <f>(D172+E172)*('28-FFU'!$D$22)</f>
        <v>257312.939228587</v>
      </c>
      <c r="G172" s="7">
        <f t="shared" si="22"/>
        <v>28208792.916697651</v>
      </c>
      <c r="H172" s="519" t="s">
        <v>1298</v>
      </c>
    </row>
    <row r="173" spans="1:8">
      <c r="A173" s="540">
        <f t="shared" si="21"/>
        <v>105</v>
      </c>
      <c r="C173" s="101" t="s">
        <v>1386</v>
      </c>
      <c r="D173" s="7">
        <f t="shared" si="19"/>
        <v>0</v>
      </c>
      <c r="E173" s="7">
        <f t="shared" si="20"/>
        <v>0</v>
      </c>
      <c r="F173" s="7">
        <f>(D173+E173)*('28-FFU'!$D$22)</f>
        <v>0</v>
      </c>
      <c r="G173" s="7">
        <f t="shared" si="22"/>
        <v>0</v>
      </c>
      <c r="H173" s="519" t="s">
        <v>1298</v>
      </c>
    </row>
    <row r="174" spans="1:8">
      <c r="A174" s="540">
        <f t="shared" si="21"/>
        <v>106</v>
      </c>
      <c r="C174" s="101" t="s">
        <v>1387</v>
      </c>
      <c r="D174" s="7">
        <f t="shared" si="19"/>
        <v>0</v>
      </c>
      <c r="E174" s="7">
        <f t="shared" si="20"/>
        <v>0</v>
      </c>
      <c r="F174" s="7">
        <f>(D174+E174)*('28-FFU'!$D$22)</f>
        <v>0</v>
      </c>
      <c r="G174" s="7">
        <f t="shared" si="22"/>
        <v>0</v>
      </c>
      <c r="H174" s="519" t="s">
        <v>1298</v>
      </c>
    </row>
    <row r="175" spans="1:8">
      <c r="A175" s="540">
        <f t="shared" si="21"/>
        <v>107</v>
      </c>
      <c r="C175" s="101" t="s">
        <v>1388</v>
      </c>
      <c r="D175" s="7">
        <f t="shared" si="19"/>
        <v>0</v>
      </c>
      <c r="E175" s="7">
        <f t="shared" si="20"/>
        <v>0</v>
      </c>
      <c r="F175" s="7">
        <f>(D175+E175)*('28-FFU'!$D$22)</f>
        <v>0</v>
      </c>
      <c r="G175" s="7">
        <f t="shared" si="22"/>
        <v>0</v>
      </c>
      <c r="H175" s="519" t="s">
        <v>1298</v>
      </c>
    </row>
    <row r="176" spans="1:8">
      <c r="A176" s="540">
        <f t="shared" si="21"/>
        <v>108</v>
      </c>
      <c r="C176" s="101" t="s">
        <v>1389</v>
      </c>
      <c r="D176" s="7">
        <f t="shared" si="19"/>
        <v>5084213.0238018082</v>
      </c>
      <c r="E176" s="7">
        <f t="shared" si="20"/>
        <v>12060781.239157412</v>
      </c>
      <c r="F176" s="7">
        <f>(D176+E176)*('28-FFU'!$D$22)</f>
        <v>157831.67368652369</v>
      </c>
      <c r="G176" s="7">
        <f t="shared" si="22"/>
        <v>17302825.936645743</v>
      </c>
      <c r="H176" s="519" t="s">
        <v>1298</v>
      </c>
    </row>
    <row r="177" spans="1:11">
      <c r="A177" s="540">
        <f t="shared" si="21"/>
        <v>109</v>
      </c>
      <c r="C177" s="101" t="s">
        <v>1390</v>
      </c>
      <c r="D177" s="7">
        <f t="shared" si="19"/>
        <v>0</v>
      </c>
      <c r="E177" s="7">
        <f t="shared" si="20"/>
        <v>365035.49682889687</v>
      </c>
      <c r="F177" s="7">
        <f>(D177+E177)*('28-FFU'!$D$22)</f>
        <v>3360.4072731577762</v>
      </c>
      <c r="G177" s="7">
        <f t="shared" si="22"/>
        <v>368395.90410205466</v>
      </c>
      <c r="H177" s="519" t="s">
        <v>1298</v>
      </c>
    </row>
    <row r="178" spans="1:11">
      <c r="A178" s="540">
        <f t="shared" si="21"/>
        <v>110</v>
      </c>
      <c r="C178" s="436"/>
      <c r="D178" s="497" t="s">
        <v>86</v>
      </c>
      <c r="E178" s="497" t="s">
        <v>86</v>
      </c>
      <c r="F178" s="497" t="s">
        <v>86</v>
      </c>
      <c r="G178" s="497" t="s">
        <v>86</v>
      </c>
      <c r="H178" s="519" t="s">
        <v>1298</v>
      </c>
    </row>
    <row r="179" spans="1:11">
      <c r="A179" s="540">
        <f t="shared" si="21"/>
        <v>111</v>
      </c>
      <c r="C179" s="436"/>
      <c r="D179" s="497" t="s">
        <v>86</v>
      </c>
      <c r="E179" s="497" t="s">
        <v>86</v>
      </c>
      <c r="F179" s="497" t="s">
        <v>86</v>
      </c>
      <c r="G179" s="497" t="s">
        <v>86</v>
      </c>
      <c r="H179" s="519" t="s">
        <v>1298</v>
      </c>
    </row>
    <row r="180" spans="1:11">
      <c r="A180" s="540">
        <f t="shared" si="21"/>
        <v>112</v>
      </c>
      <c r="C180" s="101" t="s">
        <v>216</v>
      </c>
      <c r="D180" s="7">
        <f>SUM(D169:D179)</f>
        <v>16369660.598319363</v>
      </c>
      <c r="E180" s="7">
        <f>SUM(E169:E179)</f>
        <v>29692441.166546412</v>
      </c>
      <c r="F180" s="7">
        <f>SUM(F169:F179)</f>
        <v>424033.89021682489</v>
      </c>
      <c r="G180" s="7">
        <f>SUM(G169:G179)</f>
        <v>46486135.655082598</v>
      </c>
    </row>
    <row r="182" spans="1:11">
      <c r="B182" s="1" t="s">
        <v>256</v>
      </c>
    </row>
    <row r="183" spans="1:11">
      <c r="B183" s="119"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7"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7"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23"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7"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23" t="str">
        <f>"ROE Adder is from Lines "&amp;A66&amp;" and "&amp;A67&amp;".  FF Expenses is based on FF Factor on 28-FFU."</f>
        <v>ROE Adder is from Lines 35 and 36.  FF Expenses is based on FF Factor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7" t="str">
        <f>"Column 2 is from Lines "&amp;A120&amp;" to "&amp;A130&amp;" (no FF&amp;U)."</f>
        <v>Column 2 is from Lines 68 to 78 (no FF&amp;U).</v>
      </c>
      <c r="C193" s="14"/>
      <c r="D193" s="14"/>
      <c r="E193" s="14"/>
      <c r="F193" s="14"/>
      <c r="G193" s="14"/>
      <c r="H193" s="14"/>
      <c r="I193" s="14"/>
      <c r="J193" s="14"/>
      <c r="K193" s="14"/>
    </row>
    <row r="194" spans="2:11">
      <c r="B194" s="514"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515" t="s">
        <v>1660</v>
      </c>
    </row>
  </sheetData>
  <pageMargins left="0.7" right="0.7" top="0.75" bottom="0.75" header="0.3" footer="0.3"/>
  <pageSetup scale="70" orientation="portrait" cellComments="asDisplayed" r:id="rId1"/>
  <headerFooter>
    <oddHeader>&amp;CSchedule 24
CWIP TRR
&amp;RTO2019 Draft Annual Update
Attachment 5
TO13 True Up TRR</oddHeader>
    <oddFooter>&amp;R24-CWIPTRR</oddFooter>
  </headerFooter>
  <rowBreaks count="2" manualBreakCount="2">
    <brk id="70" max="16383" man="1"/>
    <brk id="13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2"/>
  <sheetViews>
    <sheetView zoomScaleNormal="100" workbookViewId="0"/>
  </sheetViews>
  <sheetFormatPr defaultRowHeight="12.75"/>
  <cols>
    <col min="1" max="1" width="4.7109375" customWidth="1"/>
    <col min="6" max="6" width="11.7109375" customWidth="1"/>
    <col min="7" max="7" width="21.7109375" customWidth="1"/>
    <col min="8" max="9" width="14.7109375" customWidth="1"/>
  </cols>
  <sheetData>
    <row r="1" spans="1:12">
      <c r="A1" s="1" t="s">
        <v>1496</v>
      </c>
      <c r="B1" s="246"/>
      <c r="C1" s="246"/>
      <c r="D1" s="246"/>
      <c r="E1" s="246"/>
      <c r="F1" s="246"/>
      <c r="G1" s="246"/>
      <c r="H1" s="246"/>
      <c r="I1" s="246"/>
      <c r="J1" s="246"/>
      <c r="K1" s="246"/>
      <c r="L1" s="246"/>
    </row>
    <row r="2" spans="1:12">
      <c r="A2" s="1"/>
      <c r="B2" s="246"/>
      <c r="C2" s="246"/>
      <c r="D2" s="246"/>
      <c r="E2" s="246"/>
      <c r="F2" s="246"/>
      <c r="G2" s="246"/>
      <c r="H2" s="482" t="s">
        <v>17</v>
      </c>
      <c r="I2" s="419"/>
      <c r="J2" s="246"/>
      <c r="K2" s="246"/>
      <c r="L2" s="246"/>
    </row>
    <row r="3" spans="1:12">
      <c r="A3" s="1"/>
      <c r="B3" s="246" t="s">
        <v>1497</v>
      </c>
      <c r="C3" s="246"/>
      <c r="D3" s="246"/>
      <c r="E3" s="246"/>
      <c r="F3" s="246"/>
      <c r="G3" s="246"/>
      <c r="H3" s="256"/>
      <c r="I3" s="256"/>
      <c r="J3" s="246"/>
      <c r="K3" s="246"/>
      <c r="L3" s="246"/>
    </row>
    <row r="4" spans="1:12">
      <c r="A4" s="1"/>
      <c r="B4" s="256" t="s">
        <v>2161</v>
      </c>
      <c r="C4" s="256"/>
      <c r="D4" s="256"/>
      <c r="E4" s="256"/>
      <c r="F4" s="256"/>
      <c r="G4" s="256"/>
      <c r="H4" s="256"/>
      <c r="I4" s="256"/>
      <c r="J4" s="246"/>
      <c r="K4" s="246"/>
      <c r="L4" s="246"/>
    </row>
    <row r="5" spans="1:12">
      <c r="A5" s="1"/>
      <c r="B5" s="256" t="s">
        <v>1971</v>
      </c>
      <c r="C5" s="256"/>
      <c r="D5" s="256"/>
      <c r="E5" s="256"/>
      <c r="F5" s="256"/>
      <c r="G5" s="256"/>
      <c r="H5" s="256"/>
      <c r="I5" s="256"/>
      <c r="J5" s="246"/>
      <c r="K5" s="246"/>
      <c r="L5" s="246"/>
    </row>
    <row r="6" spans="1:12">
      <c r="A6" s="1"/>
      <c r="B6" s="256"/>
      <c r="C6" s="256"/>
      <c r="D6" s="256"/>
      <c r="E6" s="256"/>
      <c r="F6" s="256"/>
      <c r="G6" s="256"/>
      <c r="H6" s="256"/>
      <c r="I6" s="256"/>
      <c r="J6" s="246"/>
      <c r="K6" s="246"/>
      <c r="L6" s="246"/>
    </row>
    <row r="7" spans="1:12">
      <c r="A7" s="1"/>
      <c r="B7" s="256" t="s">
        <v>2162</v>
      </c>
      <c r="C7" s="256"/>
      <c r="D7" s="256"/>
      <c r="E7" s="256"/>
      <c r="F7" s="256"/>
      <c r="G7" s="256"/>
      <c r="H7" s="256"/>
      <c r="I7" s="256"/>
      <c r="J7" s="246"/>
      <c r="K7" s="246"/>
      <c r="L7" s="246"/>
    </row>
    <row r="8" spans="1:12">
      <c r="A8" s="1"/>
      <c r="B8" s="256" t="s">
        <v>1498</v>
      </c>
      <c r="C8" s="256"/>
      <c r="D8" s="256"/>
      <c r="E8" s="256"/>
      <c r="F8" s="256"/>
      <c r="G8" s="256"/>
      <c r="H8" s="256"/>
      <c r="I8" s="256"/>
      <c r="J8" s="246"/>
      <c r="K8" s="246"/>
      <c r="L8" s="246"/>
    </row>
    <row r="9" spans="1:12">
      <c r="A9" s="1"/>
      <c r="B9" s="256" t="s">
        <v>1499</v>
      </c>
      <c r="C9" s="256"/>
      <c r="D9" s="256"/>
      <c r="E9" s="256"/>
      <c r="F9" s="256"/>
      <c r="G9" s="256"/>
      <c r="H9" s="256"/>
      <c r="I9" s="256"/>
      <c r="J9" s="246"/>
      <c r="K9" s="246"/>
      <c r="L9" s="246"/>
    </row>
    <row r="10" spans="1:12">
      <c r="A10" s="1"/>
      <c r="B10" s="256"/>
      <c r="C10" s="256"/>
      <c r="D10" s="256"/>
      <c r="E10" s="256"/>
      <c r="F10" s="256"/>
      <c r="G10" s="256"/>
      <c r="H10" s="483" t="s">
        <v>1500</v>
      </c>
      <c r="I10" s="256"/>
      <c r="J10" s="246"/>
      <c r="K10" s="246"/>
      <c r="L10" s="246"/>
    </row>
    <row r="11" spans="1:12" ht="15">
      <c r="A11" s="1"/>
      <c r="B11" s="256"/>
      <c r="C11" s="256"/>
      <c r="D11" s="256"/>
      <c r="E11" s="256"/>
      <c r="F11" s="256"/>
      <c r="G11" s="483" t="s">
        <v>192</v>
      </c>
      <c r="H11" s="1087" t="s">
        <v>1501</v>
      </c>
      <c r="I11" s="483" t="s">
        <v>354</v>
      </c>
      <c r="J11" s="246"/>
      <c r="K11" s="246"/>
      <c r="L11" s="246"/>
    </row>
    <row r="12" spans="1:12">
      <c r="A12" s="53" t="s">
        <v>360</v>
      </c>
      <c r="B12" s="256"/>
      <c r="C12" s="256"/>
      <c r="D12" s="256"/>
      <c r="E12" s="256"/>
      <c r="F12" s="256"/>
      <c r="G12" s="484" t="s">
        <v>317</v>
      </c>
      <c r="H12" s="484" t="s">
        <v>317</v>
      </c>
      <c r="I12" s="484" t="s">
        <v>1502</v>
      </c>
      <c r="J12" s="246"/>
      <c r="K12" s="246"/>
      <c r="L12" s="246"/>
    </row>
    <row r="13" spans="1:12">
      <c r="A13" s="2">
        <v>1</v>
      </c>
      <c r="B13" s="256" t="s">
        <v>1503</v>
      </c>
      <c r="C13" s="256"/>
      <c r="D13" s="256"/>
      <c r="E13" s="256"/>
      <c r="F13" s="256"/>
      <c r="G13" s="485" t="s">
        <v>246</v>
      </c>
      <c r="H13" s="485" t="s">
        <v>246</v>
      </c>
      <c r="I13" s="1004" t="s">
        <v>248</v>
      </c>
      <c r="J13" s="246"/>
      <c r="K13" s="246"/>
      <c r="L13" s="246"/>
    </row>
    <row r="14" spans="1:12">
      <c r="A14" s="2">
        <f>A13+1</f>
        <v>2</v>
      </c>
      <c r="B14" s="256" t="s">
        <v>1504</v>
      </c>
      <c r="C14" s="256"/>
      <c r="D14" s="256"/>
      <c r="E14" s="256"/>
      <c r="F14" s="256"/>
      <c r="G14" s="485" t="s">
        <v>246</v>
      </c>
      <c r="H14" s="485" t="s">
        <v>246</v>
      </c>
      <c r="I14" s="485" t="s">
        <v>246</v>
      </c>
      <c r="J14" s="246"/>
      <c r="K14" s="246"/>
      <c r="L14" s="246"/>
    </row>
    <row r="15" spans="1:12">
      <c r="A15" s="120">
        <f>A14+1</f>
        <v>3</v>
      </c>
      <c r="B15" s="256" t="s">
        <v>1695</v>
      </c>
      <c r="C15" s="256"/>
      <c r="D15" s="256"/>
      <c r="E15" s="256"/>
      <c r="F15" s="256"/>
      <c r="G15" s="485" t="s">
        <v>246</v>
      </c>
      <c r="H15" s="485" t="s">
        <v>246</v>
      </c>
      <c r="I15" s="485" t="s">
        <v>246</v>
      </c>
      <c r="J15" s="246"/>
      <c r="K15" s="246"/>
      <c r="L15" s="246"/>
    </row>
    <row r="16" spans="1:12">
      <c r="A16" s="2">
        <f>A15+1</f>
        <v>4</v>
      </c>
      <c r="B16" s="256" t="s">
        <v>1505</v>
      </c>
      <c r="C16" s="256"/>
      <c r="D16" s="256"/>
      <c r="E16" s="256"/>
      <c r="F16" s="256"/>
      <c r="G16" s="485" t="s">
        <v>246</v>
      </c>
      <c r="H16" s="485" t="s">
        <v>246</v>
      </c>
      <c r="I16" s="485" t="s">
        <v>248</v>
      </c>
      <c r="J16" s="246"/>
      <c r="K16" s="246"/>
      <c r="L16" s="246"/>
    </row>
    <row r="17" spans="1:12">
      <c r="A17" s="2">
        <f>A16+1</f>
        <v>5</v>
      </c>
      <c r="B17" s="256" t="s">
        <v>1506</v>
      </c>
      <c r="C17" s="256"/>
      <c r="D17" s="256"/>
      <c r="E17" s="256"/>
      <c r="F17" s="256"/>
      <c r="G17" s="485" t="s">
        <v>248</v>
      </c>
      <c r="H17" s="485" t="s">
        <v>246</v>
      </c>
      <c r="I17" s="485" t="s">
        <v>248</v>
      </c>
      <c r="J17" s="246"/>
      <c r="K17" s="246"/>
      <c r="L17" s="246"/>
    </row>
    <row r="18" spans="1:12">
      <c r="A18" s="120">
        <f>A17+1</f>
        <v>6</v>
      </c>
      <c r="B18" s="256" t="s">
        <v>2409</v>
      </c>
      <c r="C18" s="256"/>
      <c r="D18" s="256"/>
      <c r="E18" s="256"/>
      <c r="F18" s="256"/>
      <c r="G18" s="485" t="s">
        <v>248</v>
      </c>
      <c r="H18" s="485" t="s">
        <v>246</v>
      </c>
      <c r="I18" s="485" t="s">
        <v>248</v>
      </c>
      <c r="J18" s="246"/>
      <c r="K18" s="246"/>
      <c r="L18" s="246"/>
    </row>
    <row r="19" spans="1:12">
      <c r="A19" s="246"/>
      <c r="B19" s="246"/>
      <c r="C19" s="486"/>
      <c r="D19" s="256"/>
      <c r="E19" s="256"/>
      <c r="F19" s="256"/>
      <c r="G19" s="246"/>
      <c r="H19" s="246"/>
      <c r="I19" s="246"/>
      <c r="J19" s="246"/>
      <c r="K19" s="246"/>
      <c r="L19" s="246"/>
    </row>
    <row r="20" spans="1:12">
      <c r="A20" s="246"/>
      <c r="B20" s="418" t="s">
        <v>1507</v>
      </c>
      <c r="C20" s="397"/>
      <c r="D20" s="256"/>
      <c r="E20" s="256"/>
      <c r="F20" s="256"/>
      <c r="G20" s="246"/>
      <c r="H20" s="246"/>
      <c r="I20" s="246"/>
      <c r="J20" s="246"/>
      <c r="K20" s="246"/>
      <c r="L20" s="246"/>
    </row>
    <row r="21" spans="1:12">
      <c r="A21" s="246"/>
      <c r="B21" s="418"/>
      <c r="C21" s="397"/>
      <c r="D21" s="256"/>
      <c r="E21" s="256"/>
      <c r="F21" s="256"/>
      <c r="G21" s="246"/>
      <c r="H21" s="246"/>
      <c r="I21" s="246"/>
      <c r="J21" s="246"/>
      <c r="K21" s="246"/>
      <c r="L21" s="246"/>
    </row>
    <row r="22" spans="1:12">
      <c r="A22" s="246"/>
      <c r="B22" s="487" t="s">
        <v>1508</v>
      </c>
      <c r="C22" s="399"/>
      <c r="D22" s="256"/>
      <c r="E22" s="256"/>
      <c r="F22" s="256"/>
      <c r="G22" s="246"/>
      <c r="H22" s="246"/>
      <c r="I22" s="246"/>
      <c r="J22" s="246"/>
      <c r="K22" s="246"/>
      <c r="L22" s="246"/>
    </row>
    <row r="23" spans="1:12">
      <c r="A23" s="246"/>
      <c r="B23" s="265" t="s">
        <v>1509</v>
      </c>
      <c r="C23" s="399"/>
      <c r="D23" s="256"/>
      <c r="E23" s="256"/>
      <c r="F23" s="256"/>
      <c r="G23" s="246"/>
      <c r="H23" s="246"/>
      <c r="I23" s="246"/>
      <c r="J23" s="246"/>
      <c r="K23" s="246"/>
      <c r="L23" s="246"/>
    </row>
    <row r="24" spans="1:12">
      <c r="A24" s="246"/>
      <c r="B24" s="265" t="s">
        <v>1510</v>
      </c>
      <c r="C24" s="246"/>
      <c r="D24" s="246"/>
      <c r="E24" s="246"/>
      <c r="F24" s="246"/>
      <c r="G24" s="246"/>
      <c r="H24" s="246"/>
      <c r="I24" s="246"/>
      <c r="J24" s="246"/>
      <c r="K24" s="246"/>
      <c r="L24" s="246"/>
    </row>
    <row r="25" spans="1:12">
      <c r="A25" s="246"/>
      <c r="B25" s="246"/>
      <c r="C25" s="246"/>
      <c r="D25" s="246"/>
      <c r="E25" s="246"/>
      <c r="F25" s="246"/>
      <c r="G25" s="246"/>
      <c r="H25" s="91" t="s">
        <v>391</v>
      </c>
      <c r="I25" s="91" t="s">
        <v>375</v>
      </c>
      <c r="J25" s="246"/>
      <c r="K25" s="246"/>
      <c r="L25" s="246"/>
    </row>
    <row r="26" spans="1:12">
      <c r="A26" s="246"/>
      <c r="B26" s="246"/>
      <c r="C26" s="246"/>
      <c r="D26" s="246"/>
      <c r="E26" s="246"/>
      <c r="F26" s="246"/>
      <c r="G26" s="246"/>
      <c r="H26" s="488" t="s">
        <v>1511</v>
      </c>
      <c r="I26" s="246"/>
      <c r="J26" s="246"/>
      <c r="K26" s="246"/>
      <c r="L26" s="246"/>
    </row>
    <row r="27" spans="1:12">
      <c r="A27" s="246"/>
      <c r="B27" s="246"/>
      <c r="C27" s="246"/>
      <c r="D27" s="246"/>
      <c r="E27" s="246"/>
      <c r="F27" s="246"/>
      <c r="G27" s="246"/>
      <c r="H27" s="488" t="s">
        <v>317</v>
      </c>
      <c r="I27" s="249" t="s">
        <v>1512</v>
      </c>
      <c r="J27" s="246"/>
      <c r="K27" s="246"/>
      <c r="L27" s="246"/>
    </row>
    <row r="28" spans="1:12">
      <c r="A28" s="246"/>
      <c r="B28" s="246"/>
      <c r="C28" s="246"/>
      <c r="D28" s="246"/>
      <c r="E28" s="246"/>
      <c r="F28" s="246"/>
      <c r="G28" s="26" t="s">
        <v>213</v>
      </c>
      <c r="H28" s="249" t="s">
        <v>1513</v>
      </c>
      <c r="I28" s="249" t="s">
        <v>1514</v>
      </c>
      <c r="J28" s="246"/>
      <c r="K28" s="246"/>
      <c r="L28" s="246"/>
    </row>
    <row r="29" spans="1:12" ht="15">
      <c r="A29" s="53"/>
      <c r="B29" s="246"/>
      <c r="C29" s="246"/>
      <c r="D29" s="246"/>
      <c r="E29" s="246"/>
      <c r="F29" s="246"/>
      <c r="G29" s="25" t="s">
        <v>198</v>
      </c>
      <c r="H29" s="489" t="s">
        <v>1515</v>
      </c>
      <c r="I29" s="261" t="s">
        <v>1501</v>
      </c>
      <c r="J29" s="390"/>
      <c r="K29" s="246"/>
      <c r="L29" s="246"/>
    </row>
    <row r="30" spans="1:12">
      <c r="A30" s="120">
        <f>A18+1</f>
        <v>7</v>
      </c>
      <c r="B30" s="256"/>
      <c r="C30" s="256" t="s">
        <v>1516</v>
      </c>
      <c r="D30" s="256"/>
      <c r="E30" s="256"/>
      <c r="F30" s="256"/>
      <c r="G30" s="47" t="s">
        <v>1517</v>
      </c>
      <c r="H30" s="250">
        <v>31556000</v>
      </c>
      <c r="I30" s="248">
        <v>-2176300</v>
      </c>
      <c r="J30" s="246"/>
      <c r="K30" s="246"/>
      <c r="L30" s="246"/>
    </row>
    <row r="31" spans="1:12">
      <c r="A31" s="120">
        <f>A30+1</f>
        <v>8</v>
      </c>
      <c r="B31" s="256"/>
      <c r="C31" s="256" t="s">
        <v>1518</v>
      </c>
      <c r="D31" s="256"/>
      <c r="E31" s="256"/>
      <c r="F31" s="256"/>
      <c r="G31" s="47" t="s">
        <v>1517</v>
      </c>
      <c r="H31" s="248">
        <v>-35044000</v>
      </c>
      <c r="I31" s="248">
        <v>2503000</v>
      </c>
      <c r="J31" s="246"/>
      <c r="K31" s="246"/>
      <c r="L31" s="246"/>
    </row>
    <row r="32" spans="1:12">
      <c r="A32" s="120">
        <f>A31+1</f>
        <v>9</v>
      </c>
      <c r="B32" s="256"/>
      <c r="C32" s="256" t="s">
        <v>1696</v>
      </c>
      <c r="D32" s="256"/>
      <c r="E32" s="256"/>
      <c r="F32" s="256"/>
      <c r="G32" s="47" t="s">
        <v>1517</v>
      </c>
      <c r="H32" s="250">
        <v>-624650</v>
      </c>
      <c r="I32" s="250">
        <v>43100</v>
      </c>
      <c r="J32" s="246"/>
      <c r="K32" s="246"/>
      <c r="L32" s="246"/>
    </row>
    <row r="33" spans="1:12">
      <c r="A33" s="120">
        <f>A32+1</f>
        <v>10</v>
      </c>
      <c r="B33" s="256"/>
      <c r="C33" s="256" t="s">
        <v>1519</v>
      </c>
      <c r="D33" s="256"/>
      <c r="E33" s="256"/>
      <c r="F33" s="256"/>
      <c r="G33" s="47" t="s">
        <v>1517</v>
      </c>
      <c r="H33" s="389">
        <v>-7410000</v>
      </c>
      <c r="I33" s="490">
        <v>511200</v>
      </c>
      <c r="J33" s="246"/>
      <c r="K33" s="246"/>
      <c r="L33" s="246"/>
    </row>
    <row r="34" spans="1:12">
      <c r="A34" s="120">
        <f>A33+1</f>
        <v>11</v>
      </c>
      <c r="B34" s="256"/>
      <c r="C34" s="256"/>
      <c r="D34" s="256"/>
      <c r="E34" s="256"/>
      <c r="F34" s="14"/>
      <c r="G34" s="1028" t="s">
        <v>216</v>
      </c>
      <c r="H34" s="248">
        <f>SUM(H30:H33)</f>
        <v>-11522650</v>
      </c>
      <c r="I34" s="248">
        <f>SUM(I30:I33)</f>
        <v>881000</v>
      </c>
      <c r="J34" s="246"/>
      <c r="K34" s="246"/>
      <c r="L34" s="246"/>
    </row>
    <row r="35" spans="1:12">
      <c r="A35" s="120"/>
      <c r="B35" s="256"/>
      <c r="C35" s="256"/>
      <c r="D35" s="256"/>
      <c r="E35" s="256"/>
      <c r="F35" s="14"/>
      <c r="G35" s="1028"/>
      <c r="H35" s="248"/>
      <c r="I35" s="248"/>
      <c r="J35" s="246"/>
      <c r="K35" s="246"/>
      <c r="L35" s="246"/>
    </row>
    <row r="36" spans="1:12">
      <c r="A36" s="120"/>
      <c r="B36" s="1088" t="s">
        <v>1520</v>
      </c>
      <c r="C36" s="256"/>
      <c r="D36" s="256"/>
      <c r="E36" s="256"/>
      <c r="F36" s="14"/>
      <c r="G36" s="1028"/>
      <c r="H36" s="248"/>
      <c r="I36" s="248"/>
      <c r="J36" s="246"/>
      <c r="K36" s="246"/>
      <c r="L36" s="246"/>
    </row>
    <row r="37" spans="1:12">
      <c r="A37" s="120"/>
      <c r="B37" s="495" t="s">
        <v>1836</v>
      </c>
      <c r="C37" s="256"/>
      <c r="D37" s="256"/>
      <c r="E37" s="256"/>
      <c r="F37" s="14"/>
      <c r="G37" s="1028"/>
      <c r="H37" s="248"/>
      <c r="I37" s="248"/>
      <c r="J37" s="246"/>
      <c r="K37" s="246"/>
      <c r="L37" s="246"/>
    </row>
    <row r="38" spans="1:12">
      <c r="A38" s="120"/>
      <c r="B38" s="495" t="s">
        <v>1521</v>
      </c>
      <c r="C38" s="256"/>
      <c r="D38" s="256"/>
      <c r="E38" s="256"/>
      <c r="F38" s="14"/>
      <c r="G38" s="1028"/>
      <c r="H38" s="248"/>
      <c r="I38" s="248"/>
      <c r="J38" s="246"/>
      <c r="K38" s="246"/>
      <c r="L38" s="246"/>
    </row>
    <row r="39" spans="1:12">
      <c r="A39" s="483"/>
      <c r="B39" s="256"/>
      <c r="C39" s="256"/>
      <c r="D39" s="256"/>
      <c r="E39" s="256"/>
      <c r="F39" s="256"/>
      <c r="G39" s="452" t="s">
        <v>213</v>
      </c>
      <c r="H39" s="246"/>
      <c r="I39" s="246"/>
      <c r="J39" s="246"/>
      <c r="K39" s="246"/>
      <c r="L39" s="246"/>
    </row>
    <row r="40" spans="1:12">
      <c r="A40" s="483"/>
      <c r="B40" s="1089"/>
      <c r="C40" s="397"/>
      <c r="D40" s="256"/>
      <c r="E40" s="256"/>
      <c r="F40" s="256"/>
      <c r="G40" s="29" t="s">
        <v>198</v>
      </c>
      <c r="H40" s="3" t="s">
        <v>190</v>
      </c>
      <c r="I40" s="492" t="s">
        <v>1522</v>
      </c>
      <c r="J40" s="246"/>
      <c r="K40" s="246"/>
      <c r="L40" s="246"/>
    </row>
    <row r="41" spans="1:12">
      <c r="A41" s="120">
        <f>A34+1</f>
        <v>12</v>
      </c>
      <c r="B41" s="495" t="s">
        <v>1523</v>
      </c>
      <c r="C41" s="256"/>
      <c r="D41" s="256"/>
      <c r="E41" s="256"/>
      <c r="F41" s="256"/>
      <c r="G41" s="495" t="str">
        <f>"2-IFPTRR Line "&amp;'2-IFPTRR'!A25&amp;""</f>
        <v>2-IFPTRR Line 16</v>
      </c>
      <c r="H41" s="388">
        <f>'2-IFPTRR'!D25</f>
        <v>0.10866462394685193</v>
      </c>
      <c r="I41" s="267">
        <v>1</v>
      </c>
      <c r="J41" s="246"/>
      <c r="K41" s="246"/>
      <c r="L41" s="246"/>
    </row>
    <row r="42" spans="1:12">
      <c r="A42" s="120">
        <f>A41+1</f>
        <v>13</v>
      </c>
      <c r="B42" s="495" t="s">
        <v>73</v>
      </c>
      <c r="C42" s="256"/>
      <c r="D42" s="256"/>
      <c r="E42" s="256"/>
      <c r="F42" s="256"/>
      <c r="G42" s="495"/>
      <c r="H42" s="493">
        <v>2017</v>
      </c>
      <c r="I42" s="267">
        <v>2</v>
      </c>
      <c r="J42" s="246"/>
      <c r="K42" s="246"/>
      <c r="L42" s="246"/>
    </row>
    <row r="43" spans="1:12">
      <c r="A43" s="120">
        <f>A42+1</f>
        <v>14</v>
      </c>
      <c r="B43" s="495" t="s">
        <v>1524</v>
      </c>
      <c r="C43" s="256"/>
      <c r="D43" s="256"/>
      <c r="E43" s="256"/>
      <c r="F43" s="256"/>
      <c r="G43" s="250"/>
      <c r="H43" s="248">
        <f>H34+ (I34*(H42-2010))</f>
        <v>-5355650</v>
      </c>
      <c r="I43" s="267">
        <v>3</v>
      </c>
      <c r="J43" s="246"/>
      <c r="K43" s="246"/>
      <c r="L43" s="246"/>
    </row>
    <row r="44" spans="1:12">
      <c r="A44" s="120">
        <f>A43+1</f>
        <v>15</v>
      </c>
      <c r="B44" s="495" t="s">
        <v>1525</v>
      </c>
      <c r="C44" s="397"/>
      <c r="D44" s="256"/>
      <c r="E44" s="256"/>
      <c r="F44" s="256"/>
      <c r="G44" s="47" t="str">
        <f>"Line "&amp;A43&amp;" * Line "&amp;A41&amp;""</f>
        <v>Line 14 * Line 12</v>
      </c>
      <c r="H44" s="248">
        <f xml:space="preserve"> H43*H41</f>
        <v>-581969.69324095757</v>
      </c>
      <c r="I44" s="246"/>
      <c r="J44" s="246"/>
      <c r="K44" s="246"/>
      <c r="L44" s="246"/>
    </row>
    <row r="45" spans="1:12">
      <c r="A45" s="14"/>
      <c r="B45" s="14"/>
      <c r="C45" s="14"/>
      <c r="D45" s="14"/>
      <c r="E45" s="14"/>
      <c r="F45" s="14"/>
      <c r="G45" s="14"/>
      <c r="L45" s="246"/>
    </row>
    <row r="46" spans="1:12">
      <c r="B46" s="418" t="s">
        <v>1701</v>
      </c>
      <c r="L46" s="246"/>
    </row>
    <row r="47" spans="1:12">
      <c r="L47" s="246"/>
    </row>
    <row r="48" spans="1:12">
      <c r="B48" s="246" t="str">
        <f>"The annual Wholesale Expense Difference impact is the negative of amounts stated in Lines "&amp;A30&amp;" to "&amp;A33&amp;" above, Column 2."</f>
        <v>The annual Wholesale Expense Difference impact is the negative of amounts stated in Lines 7 to 10 above, Column 2.</v>
      </c>
      <c r="L48" s="246"/>
    </row>
    <row r="49" spans="1:12">
      <c r="B49" s="246" t="s">
        <v>1552</v>
      </c>
      <c r="L49" s="246"/>
    </row>
    <row r="50" spans="1:12">
      <c r="A50" s="246"/>
      <c r="B50" s="246" t="s">
        <v>1837</v>
      </c>
      <c r="C50" s="246"/>
      <c r="D50" s="246"/>
      <c r="E50" s="246"/>
      <c r="F50" s="246"/>
      <c r="G50" s="246"/>
      <c r="H50" s="246"/>
      <c r="I50" s="246"/>
      <c r="J50" s="246"/>
      <c r="K50" s="246"/>
      <c r="L50" s="246"/>
    </row>
    <row r="52" spans="1:12">
      <c r="A52" s="246"/>
      <c r="B52" s="76" t="s">
        <v>1526</v>
      </c>
      <c r="C52" s="246"/>
      <c r="D52" s="246"/>
      <c r="E52" s="246"/>
      <c r="F52" s="246"/>
      <c r="G52" s="246"/>
      <c r="H52" s="246"/>
      <c r="I52" s="246"/>
      <c r="J52" s="246"/>
      <c r="K52" s="246"/>
      <c r="L52" s="246"/>
    </row>
    <row r="53" spans="1:12">
      <c r="A53" s="246"/>
      <c r="B53" s="246"/>
      <c r="C53" s="246"/>
      <c r="D53" s="246"/>
      <c r="E53" s="246"/>
      <c r="F53" s="246"/>
      <c r="G53" s="26"/>
      <c r="H53" s="246"/>
      <c r="I53" s="246"/>
      <c r="J53" s="246"/>
      <c r="K53" s="246"/>
      <c r="L53" s="246"/>
    </row>
    <row r="54" spans="1:12">
      <c r="B54" s="246"/>
      <c r="C54" s="246"/>
      <c r="D54" s="246"/>
      <c r="E54" s="246"/>
      <c r="F54" s="246"/>
      <c r="G54" s="25" t="s">
        <v>198</v>
      </c>
      <c r="H54" s="3" t="s">
        <v>190</v>
      </c>
      <c r="I54" s="246"/>
      <c r="J54" s="390"/>
      <c r="K54" s="246"/>
      <c r="L54" s="246"/>
    </row>
    <row r="55" spans="1:12">
      <c r="A55" s="120">
        <f>A44+1</f>
        <v>16</v>
      </c>
      <c r="B55" s="495" t="s">
        <v>1527</v>
      </c>
      <c r="C55" s="256"/>
      <c r="D55" s="256"/>
      <c r="E55" s="256"/>
      <c r="F55" s="256"/>
      <c r="G55" s="47" t="str">
        <f>"Line "&amp;A31&amp;""</f>
        <v>Line 8</v>
      </c>
      <c r="H55" s="248">
        <f>I31</f>
        <v>2503000</v>
      </c>
      <c r="I55" s="246"/>
      <c r="J55" s="246"/>
      <c r="K55" s="246"/>
      <c r="L55" s="246"/>
    </row>
    <row r="56" spans="1:12">
      <c r="A56" s="120">
        <f>A55+1</f>
        <v>17</v>
      </c>
      <c r="B56" s="47" t="s">
        <v>319</v>
      </c>
      <c r="C56" s="256"/>
      <c r="D56" s="256"/>
      <c r="E56" s="256"/>
      <c r="F56" s="256"/>
      <c r="G56" s="495" t="str">
        <f>"1-BaseTRR L "&amp;'1-BaseTRR'!A102&amp;""</f>
        <v>1-BaseTRR L 58</v>
      </c>
      <c r="H56" s="415">
        <f>'1-BaseTRR'!K102</f>
        <v>0.40745999999999999</v>
      </c>
      <c r="I56" s="246"/>
      <c r="J56" s="246"/>
      <c r="K56" s="246"/>
      <c r="L56" s="246"/>
    </row>
    <row r="57" spans="1:12">
      <c r="A57" s="120">
        <f>A56+1</f>
        <v>18</v>
      </c>
      <c r="B57" s="47" t="s">
        <v>1551</v>
      </c>
      <c r="C57" s="256"/>
      <c r="D57" s="256"/>
      <c r="E57" s="256"/>
      <c r="F57" s="256"/>
      <c r="G57" s="75" t="s">
        <v>318</v>
      </c>
      <c r="H57" s="494">
        <f>1/(1-H56)</f>
        <v>1.6876497789178788</v>
      </c>
      <c r="I57" s="246"/>
      <c r="J57" s="246"/>
      <c r="K57" s="246"/>
      <c r="L57" s="246"/>
    </row>
    <row r="58" spans="1:12">
      <c r="A58" s="120">
        <f>A57+1</f>
        <v>19</v>
      </c>
      <c r="B58" s="47" t="s">
        <v>362</v>
      </c>
      <c r="C58" s="256"/>
      <c r="D58" s="256"/>
      <c r="E58" s="256"/>
      <c r="F58" s="256"/>
      <c r="G58" s="256"/>
      <c r="H58" s="246"/>
      <c r="I58" s="246"/>
      <c r="J58" s="246"/>
      <c r="K58" s="246"/>
      <c r="L58" s="246"/>
    </row>
    <row r="59" spans="1:12">
      <c r="A59" s="120">
        <f>A58+1</f>
        <v>20</v>
      </c>
      <c r="B59" s="47" t="s">
        <v>361</v>
      </c>
      <c r="C59" s="256"/>
      <c r="D59" s="256"/>
      <c r="E59" s="256"/>
      <c r="F59" s="256"/>
      <c r="G59" s="47" t="str">
        <f>"- Line "&amp;A55&amp;" * Line "&amp;A57&amp;""</f>
        <v>- Line 16 * Line 18</v>
      </c>
      <c r="H59" s="263">
        <f>-H57*H55</f>
        <v>-4224187.3966314504</v>
      </c>
      <c r="I59" s="246"/>
      <c r="J59" s="246"/>
      <c r="K59" s="246"/>
      <c r="L59" s="246"/>
    </row>
    <row r="60" spans="1:12">
      <c r="A60" s="14"/>
      <c r="B60" s="14"/>
      <c r="C60" s="14"/>
      <c r="D60" s="14"/>
      <c r="E60" s="14"/>
      <c r="F60" s="14"/>
      <c r="G60" s="14"/>
    </row>
    <row r="61" spans="1:12">
      <c r="A61" s="14"/>
      <c r="B61" s="1090" t="s">
        <v>1698</v>
      </c>
      <c r="C61" s="14"/>
      <c r="D61" s="14"/>
      <c r="E61" s="14"/>
      <c r="F61" s="14"/>
      <c r="G61" s="14"/>
    </row>
    <row r="62" spans="1:12">
      <c r="A62" s="14"/>
      <c r="B62" s="14"/>
      <c r="C62" s="14"/>
      <c r="D62" s="14"/>
      <c r="E62" s="14"/>
      <c r="F62" s="14"/>
      <c r="G62" s="14"/>
    </row>
    <row r="63" spans="1:12">
      <c r="A63" s="14"/>
      <c r="B63" s="14"/>
      <c r="C63" s="14"/>
      <c r="D63" s="14"/>
      <c r="E63" s="14"/>
      <c r="F63" s="14"/>
      <c r="G63" s="29" t="s">
        <v>198</v>
      </c>
      <c r="H63" s="3" t="s">
        <v>190</v>
      </c>
    </row>
    <row r="64" spans="1:12">
      <c r="A64" s="120">
        <f>A59+1</f>
        <v>21</v>
      </c>
      <c r="B64" s="495" t="s">
        <v>1697</v>
      </c>
      <c r="C64" s="14"/>
      <c r="D64" s="14"/>
      <c r="E64" s="14"/>
      <c r="F64" s="14"/>
      <c r="G64" s="47" t="str">
        <f>"Line "&amp;A32&amp;""</f>
        <v>Line 9</v>
      </c>
      <c r="H64" s="7">
        <f>I32</f>
        <v>43100</v>
      </c>
    </row>
    <row r="65" spans="1:12">
      <c r="A65" s="120">
        <f>A64+1</f>
        <v>22</v>
      </c>
      <c r="B65" s="47" t="s">
        <v>1551</v>
      </c>
      <c r="C65" s="256"/>
      <c r="D65" s="256"/>
      <c r="E65" s="256"/>
      <c r="F65" s="256"/>
      <c r="G65" s="47" t="str">
        <f>"Line "&amp;A57&amp;""</f>
        <v>Line 18</v>
      </c>
      <c r="H65" s="494">
        <f>H57</f>
        <v>1.6876497789178788</v>
      </c>
    </row>
    <row r="66" spans="1:12">
      <c r="A66" s="120">
        <f>A65+1</f>
        <v>23</v>
      </c>
      <c r="B66" s="495" t="s">
        <v>1699</v>
      </c>
      <c r="C66" s="14"/>
      <c r="D66" s="14"/>
      <c r="E66" s="14"/>
      <c r="F66" s="14"/>
      <c r="G66" s="47" t="str">
        <f>"- Line "&amp;A64&amp;" * Line "&amp;A65&amp;""</f>
        <v>- Line 21 * Line 22</v>
      </c>
      <c r="H66" s="7">
        <f>-H64*H65</f>
        <v>-72737.705471360576</v>
      </c>
    </row>
    <row r="67" spans="1:12">
      <c r="A67" s="120">
        <f t="shared" ref="A67:A74" si="0">A66+1</f>
        <v>24</v>
      </c>
      <c r="B67" s="495"/>
      <c r="C67" s="14"/>
      <c r="D67" s="14"/>
      <c r="E67" s="14"/>
      <c r="F67" s="14"/>
      <c r="G67" s="47"/>
      <c r="H67" s="7"/>
    </row>
    <row r="68" spans="1:12">
      <c r="A68" s="120">
        <f t="shared" si="0"/>
        <v>25</v>
      </c>
      <c r="B68" s="1090" t="s">
        <v>2410</v>
      </c>
      <c r="C68" s="14"/>
      <c r="D68" s="14"/>
      <c r="E68" s="14"/>
      <c r="F68" s="14"/>
      <c r="G68" s="47"/>
      <c r="H68" s="7"/>
    </row>
    <row r="69" spans="1:12">
      <c r="A69" s="120">
        <f t="shared" si="0"/>
        <v>26</v>
      </c>
      <c r="B69" s="495"/>
      <c r="C69" s="14"/>
      <c r="D69" s="14"/>
      <c r="E69" s="14"/>
      <c r="F69" s="14"/>
      <c r="G69" s="29" t="s">
        <v>198</v>
      </c>
      <c r="H69" s="7"/>
      <c r="I69" s="611" t="s">
        <v>1522</v>
      </c>
    </row>
    <row r="70" spans="1:12">
      <c r="A70" s="120">
        <f t="shared" si="0"/>
        <v>27</v>
      </c>
      <c r="B70" s="495" t="s">
        <v>2163</v>
      </c>
      <c r="C70" s="14"/>
      <c r="D70" s="14"/>
      <c r="E70" s="14"/>
      <c r="F70" s="14"/>
      <c r="G70" s="514" t="s">
        <v>33</v>
      </c>
      <c r="H70" s="116">
        <v>200769</v>
      </c>
      <c r="I70" s="514" t="s">
        <v>1297</v>
      </c>
    </row>
    <row r="71" spans="1:12">
      <c r="A71" s="120">
        <f t="shared" si="0"/>
        <v>28</v>
      </c>
      <c r="B71" s="495" t="s">
        <v>2411</v>
      </c>
      <c r="C71" s="14"/>
      <c r="D71" s="14"/>
      <c r="E71" s="14"/>
      <c r="F71" s="14"/>
      <c r="G71" s="514" t="s">
        <v>33</v>
      </c>
      <c r="H71" s="1334">
        <v>1529649</v>
      </c>
    </row>
    <row r="72" spans="1:12">
      <c r="A72" s="120">
        <f t="shared" si="0"/>
        <v>29</v>
      </c>
      <c r="B72" s="495" t="s">
        <v>2413</v>
      </c>
      <c r="C72" s="14"/>
      <c r="D72" s="14"/>
      <c r="E72" s="14"/>
      <c r="F72" s="14"/>
      <c r="G72" s="1017" t="str">
        <f>"Line "&amp;A70&amp;" + "&amp;A71&amp;""</f>
        <v>Line 27 + 28</v>
      </c>
      <c r="H72" s="1091">
        <f>SUM(H70:H71)</f>
        <v>1730418</v>
      </c>
    </row>
    <row r="73" spans="1:12">
      <c r="A73" s="120">
        <f t="shared" si="0"/>
        <v>30</v>
      </c>
      <c r="B73" s="495" t="s">
        <v>104</v>
      </c>
      <c r="C73" s="14"/>
      <c r="D73" s="14"/>
      <c r="E73" s="14"/>
      <c r="F73" s="14"/>
      <c r="G73" s="495" t="str">
        <f>"27-Allocators, Line "&amp;'27-Allocators'!A15&amp;""</f>
        <v>27-Allocators, Line 9</v>
      </c>
      <c r="H73" s="50">
        <f>'27-Allocators'!G15</f>
        <v>5.6231891976617258E-2</v>
      </c>
    </row>
    <row r="74" spans="1:12">
      <c r="A74" s="120">
        <f t="shared" si="0"/>
        <v>31</v>
      </c>
      <c r="B74" s="495" t="s">
        <v>2412</v>
      </c>
      <c r="C74" s="14"/>
      <c r="D74" s="14"/>
      <c r="E74" s="14"/>
      <c r="F74" s="14"/>
      <c r="G74" s="1017" t="str">
        <f>"Line "&amp;A72&amp;" * "&amp;A73&amp;""</f>
        <v>Line 29 * 30</v>
      </c>
      <c r="H74" s="65">
        <f>H72*H73</f>
        <v>97304.678050394083</v>
      </c>
    </row>
    <row r="76" spans="1:12">
      <c r="A76" s="256"/>
      <c r="B76" s="1088" t="s">
        <v>2164</v>
      </c>
      <c r="C76" s="256"/>
      <c r="D76" s="256"/>
      <c r="E76" s="256"/>
      <c r="F76" s="256"/>
      <c r="G76" s="256"/>
      <c r="H76" s="256"/>
      <c r="I76" s="492" t="s">
        <v>1522</v>
      </c>
      <c r="J76" s="246"/>
      <c r="K76" s="246"/>
      <c r="L76" s="246"/>
    </row>
    <row r="77" spans="1:12">
      <c r="A77" s="120">
        <f>A74+1</f>
        <v>32</v>
      </c>
      <c r="B77" s="486" t="s">
        <v>1718</v>
      </c>
      <c r="C77" s="256"/>
      <c r="D77" s="256"/>
      <c r="E77" s="256"/>
      <c r="F77" s="256"/>
      <c r="G77" s="495" t="str">
        <f>" - Line "&amp;A30&amp;", Col. 2"</f>
        <v xml:space="preserve"> - Line 7, Col. 2</v>
      </c>
      <c r="H77" s="250">
        <f>-I30</f>
        <v>2176300</v>
      </c>
      <c r="I77" s="246"/>
      <c r="J77" s="246"/>
      <c r="K77" s="246"/>
      <c r="L77" s="246"/>
    </row>
    <row r="78" spans="1:12">
      <c r="A78" s="120">
        <f>A77+1</f>
        <v>33</v>
      </c>
      <c r="B78" s="486" t="s">
        <v>1518</v>
      </c>
      <c r="C78" s="256"/>
      <c r="D78" s="256"/>
      <c r="E78" s="256"/>
      <c r="F78" s="256"/>
      <c r="G78" s="495" t="str">
        <f>"Line "&amp;A59&amp;""</f>
        <v>Line 20</v>
      </c>
      <c r="H78" s="250">
        <f>H59</f>
        <v>-4224187.3966314504</v>
      </c>
      <c r="I78" s="246"/>
      <c r="J78" s="246"/>
      <c r="K78" s="246"/>
      <c r="L78" s="246"/>
    </row>
    <row r="79" spans="1:12">
      <c r="A79" s="120">
        <f>A78+1</f>
        <v>34</v>
      </c>
      <c r="B79" s="486" t="s">
        <v>1696</v>
      </c>
      <c r="C79" s="256"/>
      <c r="D79" s="256"/>
      <c r="E79" s="256"/>
      <c r="F79" s="256"/>
      <c r="G79" s="495" t="str">
        <f>"Line "&amp;A66&amp;""</f>
        <v>Line 23</v>
      </c>
      <c r="H79" s="250">
        <f>H66</f>
        <v>-72737.705471360576</v>
      </c>
      <c r="I79" s="246"/>
      <c r="J79" s="246"/>
      <c r="K79" s="246"/>
      <c r="L79" s="246"/>
    </row>
    <row r="80" spans="1:12">
      <c r="A80" s="120">
        <f>A79+1</f>
        <v>35</v>
      </c>
      <c r="B80" s="486" t="s">
        <v>1519</v>
      </c>
      <c r="C80" s="256"/>
      <c r="D80" s="256"/>
      <c r="E80" s="256"/>
      <c r="F80" s="256"/>
      <c r="G80" s="495" t="str">
        <f>"- Line "&amp;A33&amp;", Col. 2"</f>
        <v>- Line 10, Col. 2</v>
      </c>
      <c r="H80" s="250">
        <f>-I33</f>
        <v>-511200</v>
      </c>
      <c r="I80" s="246"/>
      <c r="J80" s="246"/>
      <c r="K80" s="246"/>
      <c r="L80" s="246"/>
    </row>
    <row r="81" spans="1:12">
      <c r="A81" s="120">
        <f t="shared" ref="A81:A82" si="1">A80+1</f>
        <v>36</v>
      </c>
      <c r="B81" s="486" t="s">
        <v>2414</v>
      </c>
      <c r="C81" s="256"/>
      <c r="D81" s="256"/>
      <c r="E81" s="256"/>
      <c r="F81" s="256"/>
      <c r="G81" s="1017" t="str">
        <f>" - Line "&amp;A74&amp;""</f>
        <v xml:space="preserve"> - Line 31</v>
      </c>
      <c r="H81" s="490">
        <f>-H74</f>
        <v>-97304.678050394083</v>
      </c>
      <c r="I81" s="246"/>
      <c r="J81" s="246"/>
      <c r="K81" s="246"/>
      <c r="L81" s="246"/>
    </row>
    <row r="82" spans="1:12">
      <c r="A82" s="120">
        <f t="shared" si="1"/>
        <v>37</v>
      </c>
      <c r="B82" s="256"/>
      <c r="C82" s="256"/>
      <c r="D82" s="256"/>
      <c r="E82" s="256"/>
      <c r="F82" s="256"/>
      <c r="G82" s="1028" t="s">
        <v>1528</v>
      </c>
      <c r="H82" s="250">
        <f>SUM(H77:H81)</f>
        <v>-2729129.7801532052</v>
      </c>
      <c r="I82" s="246"/>
      <c r="J82" s="246"/>
      <c r="K82" s="246"/>
      <c r="L82" s="246"/>
    </row>
    <row r="83" spans="1:12">
      <c r="A83" s="256"/>
      <c r="B83" s="256"/>
      <c r="C83" s="256"/>
      <c r="D83" s="256"/>
      <c r="E83" s="256"/>
      <c r="F83" s="256"/>
      <c r="G83" s="256"/>
      <c r="H83" s="256"/>
      <c r="I83" s="246"/>
      <c r="J83" s="246"/>
      <c r="K83" s="246"/>
      <c r="L83" s="246"/>
    </row>
    <row r="84" spans="1:12">
      <c r="A84" s="256"/>
      <c r="B84" s="1092" t="s">
        <v>1529</v>
      </c>
      <c r="C84" s="256"/>
      <c r="D84" s="256"/>
      <c r="E84" s="256"/>
      <c r="F84" s="256"/>
      <c r="G84" s="256"/>
      <c r="H84" s="256"/>
      <c r="I84" s="246"/>
      <c r="J84" s="246"/>
      <c r="K84" s="246"/>
      <c r="L84" s="246"/>
    </row>
    <row r="85" spans="1:12">
      <c r="A85" s="256"/>
      <c r="B85" s="14"/>
      <c r="C85" s="256"/>
      <c r="D85" s="256"/>
      <c r="E85" s="256"/>
      <c r="F85" s="256"/>
      <c r="G85" s="29" t="s">
        <v>198</v>
      </c>
      <c r="H85" s="134" t="s">
        <v>190</v>
      </c>
      <c r="I85" s="246"/>
      <c r="J85" s="246"/>
      <c r="K85" s="246"/>
      <c r="L85" s="246"/>
    </row>
    <row r="86" spans="1:12">
      <c r="A86" s="120">
        <f>A82+1</f>
        <v>38</v>
      </c>
      <c r="B86" s="1015" t="s">
        <v>1525</v>
      </c>
      <c r="C86" s="256"/>
      <c r="D86" s="256"/>
      <c r="E86" s="256"/>
      <c r="F86" s="256"/>
      <c r="G86" s="495" t="str">
        <f>"Line "&amp;A44&amp;""</f>
        <v>Line 15</v>
      </c>
      <c r="H86" s="250">
        <f>H44</f>
        <v>-581969.69324095757</v>
      </c>
      <c r="I86" s="246"/>
      <c r="J86" s="246"/>
      <c r="K86" s="246"/>
      <c r="L86" s="246"/>
    </row>
    <row r="87" spans="1:12">
      <c r="A87" s="120">
        <f>A86+1</f>
        <v>39</v>
      </c>
      <c r="B87" s="256" t="s">
        <v>1530</v>
      </c>
      <c r="C87" s="256"/>
      <c r="D87" s="256"/>
      <c r="E87" s="256"/>
      <c r="F87" s="256"/>
      <c r="G87" s="495" t="str">
        <f>"Line "&amp;A82&amp;""</f>
        <v>Line 37</v>
      </c>
      <c r="H87" s="250">
        <f>H82</f>
        <v>-2729129.7801532052</v>
      </c>
      <c r="I87" s="246"/>
      <c r="J87" s="246"/>
      <c r="K87" s="246"/>
      <c r="L87" s="246"/>
    </row>
    <row r="88" spans="1:12">
      <c r="A88" s="120">
        <f>A87+1</f>
        <v>40</v>
      </c>
      <c r="B88" s="15" t="s">
        <v>1620</v>
      </c>
      <c r="C88" s="256"/>
      <c r="D88" s="256"/>
      <c r="E88" s="256"/>
      <c r="F88" s="256"/>
      <c r="G88" s="495" t="str">
        <f>"- 1-Base TRR, L "&amp;'1-BaseTRR'!A139&amp;""</f>
        <v>- 1-Base TRR, L 79</v>
      </c>
      <c r="H88" s="250">
        <f>-'1-BaseTRR'!K139</f>
        <v>-2442400.679698546</v>
      </c>
      <c r="I88" s="246"/>
      <c r="J88" s="246"/>
      <c r="K88" s="246"/>
      <c r="L88" s="246"/>
    </row>
    <row r="89" spans="1:12">
      <c r="A89" s="120">
        <f t="shared" ref="A89:A92" si="2">A88+1</f>
        <v>41</v>
      </c>
      <c r="B89" s="15" t="s">
        <v>1621</v>
      </c>
      <c r="C89" s="256"/>
      <c r="D89" s="256"/>
      <c r="E89" s="256"/>
      <c r="F89" s="256"/>
      <c r="G89" s="495" t="str">
        <f>"- 2-IFPTRR, L "&amp;'2-IFPTRR'!A89&amp;""</f>
        <v>- 2-IFPTRR, L 80</v>
      </c>
      <c r="H89" s="490">
        <f>-'2-IFPTRR'!D89</f>
        <v>-239569.21221329068</v>
      </c>
      <c r="I89" s="246"/>
      <c r="J89" s="246"/>
      <c r="K89" s="246"/>
      <c r="L89" s="246"/>
    </row>
    <row r="90" spans="1:12">
      <c r="A90" s="120">
        <f t="shared" si="2"/>
        <v>42</v>
      </c>
      <c r="B90" s="15" t="s">
        <v>108</v>
      </c>
      <c r="C90" s="256"/>
      <c r="D90" s="256"/>
      <c r="E90" s="256"/>
      <c r="F90" s="256"/>
      <c r="G90" s="47" t="str">
        <f>"Sum Line "&amp;A86&amp;" to Line "&amp;A89&amp;""</f>
        <v>Sum Line 38 to Line 41</v>
      </c>
      <c r="H90" s="250">
        <f>SUM(H86:H89)</f>
        <v>-5993069.3653059993</v>
      </c>
      <c r="I90" s="246"/>
      <c r="J90" s="246"/>
      <c r="K90" s="246"/>
      <c r="L90" s="246"/>
    </row>
    <row r="91" spans="1:12">
      <c r="A91" s="120">
        <f t="shared" si="2"/>
        <v>43</v>
      </c>
      <c r="B91" s="15" t="s">
        <v>1537</v>
      </c>
      <c r="C91" s="256"/>
      <c r="D91" s="256"/>
      <c r="E91" s="256"/>
      <c r="F91" s="256"/>
      <c r="G91" s="14"/>
      <c r="H91" s="490">
        <f>'28-FFU'!D22*SUM(H86+H87)</f>
        <v>-30480.988422224647</v>
      </c>
      <c r="I91" s="265" t="s">
        <v>1295</v>
      </c>
      <c r="J91" s="246"/>
      <c r="K91" s="246"/>
      <c r="L91" s="246"/>
    </row>
    <row r="92" spans="1:12">
      <c r="A92" s="120">
        <f t="shared" si="2"/>
        <v>44</v>
      </c>
      <c r="B92" s="14" t="s">
        <v>1531</v>
      </c>
      <c r="C92" s="256"/>
      <c r="D92" s="256"/>
      <c r="E92" s="256"/>
      <c r="F92" s="256"/>
      <c r="G92" s="47" t="str">
        <f>"Line "&amp;A90&amp;" + Line "&amp;A91&amp;""</f>
        <v>Line 42 + Line 43</v>
      </c>
      <c r="H92" s="250">
        <f>H90+H91</f>
        <v>-6023550.3537282236</v>
      </c>
      <c r="I92" s="246"/>
      <c r="J92" s="246"/>
      <c r="K92" s="246"/>
      <c r="L92" s="246"/>
    </row>
    <row r="93" spans="1:12">
      <c r="A93" s="256"/>
      <c r="B93" s="14"/>
      <c r="C93" s="256"/>
      <c r="D93" s="256"/>
      <c r="E93" s="256"/>
      <c r="F93" s="256"/>
      <c r="G93" s="256"/>
      <c r="H93" s="256"/>
      <c r="I93" s="246"/>
      <c r="J93" s="246"/>
      <c r="K93" s="246"/>
      <c r="L93" s="246"/>
    </row>
    <row r="94" spans="1:12">
      <c r="A94" s="256"/>
      <c r="B94" s="1035" t="s">
        <v>1532</v>
      </c>
      <c r="C94" s="256"/>
      <c r="D94" s="256"/>
      <c r="E94" s="256"/>
      <c r="F94" s="256"/>
      <c r="G94" s="256"/>
      <c r="H94" s="256"/>
      <c r="I94" s="246"/>
      <c r="J94" s="246"/>
      <c r="K94" s="246"/>
      <c r="L94" s="246"/>
    </row>
    <row r="95" spans="1:12">
      <c r="A95" s="256"/>
      <c r="B95" s="256" t="s">
        <v>1533</v>
      </c>
      <c r="C95" s="256"/>
      <c r="D95" s="256"/>
      <c r="E95" s="256"/>
      <c r="F95" s="256"/>
      <c r="G95" s="256"/>
      <c r="H95" s="256"/>
      <c r="I95" s="246"/>
      <c r="J95" s="246"/>
      <c r="K95" s="246"/>
      <c r="L95" s="246"/>
    </row>
    <row r="96" spans="1:12">
      <c r="A96" s="256"/>
      <c r="B96" s="256" t="s">
        <v>1534</v>
      </c>
      <c r="C96" s="256"/>
      <c r="D96" s="256"/>
      <c r="E96" s="256"/>
      <c r="F96" s="256"/>
      <c r="G96" s="256"/>
      <c r="H96" s="256"/>
      <c r="I96" s="246"/>
      <c r="J96" s="246"/>
      <c r="K96" s="246"/>
      <c r="L96" s="246"/>
    </row>
    <row r="97" spans="1:12">
      <c r="A97" s="256"/>
      <c r="B97" s="256" t="str">
        <f>"2) Input Prior Year for this Informational Filing in Line "&amp;A42&amp;"."</f>
        <v>2) Input Prior Year for this Informational Filing in Line 13.</v>
      </c>
      <c r="C97" s="14"/>
      <c r="D97" s="14"/>
      <c r="E97" s="14"/>
      <c r="F97" s="14"/>
      <c r="G97" s="14"/>
      <c r="H97" s="14"/>
      <c r="I97" s="246"/>
      <c r="J97" s="246"/>
      <c r="K97" s="246"/>
      <c r="L97" s="246"/>
    </row>
    <row r="98" spans="1:12">
      <c r="A98" s="256"/>
      <c r="B98" s="256" t="str">
        <f>"3) Calculation: (Line "&amp;A34&amp;", "&amp;H25&amp;") + ((Line "&amp;A34&amp;", "&amp;I25&amp;") * (Line "&amp;A42&amp;" - 2010))."</f>
        <v>3) Calculation: (Line 11, Col 1) + ((Line 11, Col 2) * (Line 13 - 2010)).</v>
      </c>
      <c r="C98" s="14"/>
      <c r="D98" s="14"/>
      <c r="E98" s="14"/>
      <c r="F98" s="14"/>
      <c r="G98" s="14"/>
      <c r="H98" s="14"/>
      <c r="I98" s="246"/>
      <c r="J98" s="246"/>
      <c r="K98" s="246"/>
      <c r="L98" s="246"/>
    </row>
    <row r="99" spans="1:12">
      <c r="A99" s="256"/>
      <c r="B99" s="256" t="str">
        <f>"4) Franchise Fee Exclusion is equal to the Franchise Fee Factor on the 28-FFU Line "&amp;'28-FFU'!A22&amp;""</f>
        <v>4) Franchise Fee Exclusion is equal to the Franchise Fee Factor on the 28-FFU Line 5</v>
      </c>
      <c r="C99" s="256"/>
      <c r="D99" s="256"/>
      <c r="E99" s="256"/>
      <c r="F99" s="256"/>
      <c r="G99" s="256"/>
      <c r="H99" s="256"/>
      <c r="I99" s="246"/>
      <c r="J99" s="246"/>
      <c r="K99" s="246"/>
      <c r="L99" s="246"/>
    </row>
    <row r="100" spans="1:12">
      <c r="A100" s="246"/>
      <c r="B100" s="246" t="str">
        <f>"times Line "&amp;A86&amp;" + "&amp;A87&amp;"."</f>
        <v>times Line 38 + 39.</v>
      </c>
      <c r="C100" s="246"/>
      <c r="D100" s="246"/>
      <c r="E100" s="246"/>
      <c r="F100" s="246"/>
      <c r="G100" s="246"/>
      <c r="H100" s="246"/>
      <c r="I100" s="246"/>
      <c r="J100" s="246"/>
      <c r="K100" s="246"/>
      <c r="L100" s="246"/>
    </row>
    <row r="101" spans="1:12">
      <c r="A101" s="246"/>
      <c r="B101" s="256" t="s">
        <v>2784</v>
      </c>
      <c r="C101" s="256"/>
      <c r="D101" s="256"/>
      <c r="E101" s="256"/>
      <c r="F101" s="256"/>
      <c r="G101" s="246"/>
      <c r="H101" s="246"/>
      <c r="I101" s="246"/>
      <c r="J101" s="246"/>
      <c r="K101" s="246"/>
      <c r="L101" s="246"/>
    </row>
    <row r="102" spans="1:12">
      <c r="A102" s="246"/>
      <c r="B102" s="246"/>
      <c r="C102" s="246"/>
      <c r="D102" s="246"/>
      <c r="E102" s="246"/>
      <c r="F102" s="246"/>
      <c r="G102" s="246"/>
      <c r="H102" s="246"/>
      <c r="I102" s="246"/>
      <c r="J102" s="246"/>
      <c r="K102" s="246"/>
      <c r="L102" s="246"/>
    </row>
    <row r="103" spans="1:12">
      <c r="A103" s="246"/>
      <c r="B103" s="246"/>
      <c r="C103" s="246"/>
      <c r="D103" s="246"/>
      <c r="E103" s="246"/>
      <c r="F103" s="246"/>
      <c r="G103" s="246"/>
      <c r="H103" s="246"/>
      <c r="I103" s="246"/>
      <c r="J103" s="246"/>
      <c r="K103" s="246"/>
      <c r="L103" s="246"/>
    </row>
    <row r="104" spans="1:12">
      <c r="A104" s="246"/>
      <c r="B104" s="246"/>
      <c r="C104" s="246"/>
      <c r="D104" s="246"/>
      <c r="E104" s="246"/>
      <c r="F104" s="246"/>
      <c r="G104" s="246"/>
      <c r="H104" s="246"/>
      <c r="I104" s="246"/>
      <c r="J104" s="246"/>
      <c r="K104" s="246"/>
      <c r="L104" s="246"/>
    </row>
    <row r="105" spans="1:12">
      <c r="A105" s="246"/>
      <c r="B105" s="246"/>
      <c r="C105" s="246"/>
      <c r="D105" s="246"/>
      <c r="E105" s="246"/>
      <c r="F105" s="246"/>
      <c r="G105" s="246"/>
      <c r="H105" s="246"/>
      <c r="I105" s="246"/>
      <c r="J105" s="246"/>
      <c r="K105" s="246"/>
      <c r="L105" s="246"/>
    </row>
    <row r="106" spans="1:12">
      <c r="A106" s="246"/>
      <c r="B106" s="246"/>
      <c r="C106" s="246"/>
      <c r="D106" s="246"/>
      <c r="E106" s="246"/>
      <c r="F106" s="246"/>
      <c r="G106" s="246"/>
      <c r="H106" s="246"/>
      <c r="I106" s="246"/>
      <c r="J106" s="246"/>
      <c r="K106" s="246"/>
      <c r="L106" s="246"/>
    </row>
    <row r="107" spans="1:12">
      <c r="A107" s="246"/>
      <c r="B107" s="246"/>
      <c r="C107" s="246"/>
      <c r="D107" s="246"/>
      <c r="E107" s="246"/>
      <c r="F107" s="246"/>
      <c r="G107" s="246"/>
      <c r="H107" s="246"/>
      <c r="I107" s="246"/>
      <c r="J107" s="246"/>
      <c r="K107" s="246"/>
      <c r="L107" s="246"/>
    </row>
    <row r="108" spans="1:12">
      <c r="A108" s="246"/>
      <c r="B108" s="246"/>
      <c r="C108" s="246"/>
      <c r="D108" s="246"/>
      <c r="E108" s="246"/>
      <c r="F108" s="246"/>
      <c r="G108" s="246"/>
      <c r="H108" s="246"/>
      <c r="I108" s="246"/>
      <c r="J108" s="246"/>
      <c r="K108" s="246"/>
      <c r="L108" s="246"/>
    </row>
    <row r="109" spans="1:12">
      <c r="A109" s="246"/>
      <c r="B109" s="246"/>
      <c r="C109" s="246"/>
      <c r="D109" s="246"/>
      <c r="E109" s="246"/>
      <c r="F109" s="246"/>
      <c r="G109" s="246"/>
      <c r="H109" s="246"/>
      <c r="I109" s="246"/>
      <c r="J109" s="246"/>
      <c r="K109" s="246"/>
      <c r="L109" s="246"/>
    </row>
    <row r="110" spans="1:12">
      <c r="A110" s="246"/>
      <c r="B110" s="246"/>
      <c r="C110" s="246"/>
      <c r="D110" s="246"/>
      <c r="E110" s="246"/>
      <c r="F110" s="246"/>
      <c r="G110" s="246"/>
      <c r="H110" s="246"/>
      <c r="I110" s="246"/>
      <c r="J110" s="246"/>
      <c r="K110" s="246"/>
      <c r="L110" s="246"/>
    </row>
    <row r="111" spans="1:12">
      <c r="A111" s="246"/>
      <c r="B111" s="246"/>
      <c r="C111" s="246"/>
      <c r="D111" s="246"/>
      <c r="E111" s="246"/>
      <c r="F111" s="246"/>
      <c r="G111" s="246"/>
      <c r="H111" s="246"/>
      <c r="I111" s="246"/>
      <c r="J111" s="246"/>
      <c r="K111" s="246"/>
      <c r="L111" s="246"/>
    </row>
    <row r="112" spans="1:12">
      <c r="A112" s="246"/>
      <c r="B112" s="246"/>
      <c r="C112" s="246"/>
      <c r="D112" s="246"/>
      <c r="E112" s="246"/>
      <c r="F112" s="246"/>
      <c r="G112" s="246"/>
      <c r="H112" s="246"/>
      <c r="I112" s="246"/>
      <c r="J112" s="246"/>
      <c r="K112" s="246"/>
      <c r="L112" s="246"/>
    </row>
    <row r="113" spans="1:12">
      <c r="A113" s="246"/>
      <c r="B113" s="246"/>
      <c r="C113" s="246"/>
      <c r="D113" s="246"/>
      <c r="E113" s="246"/>
      <c r="F113" s="246"/>
      <c r="G113" s="246"/>
      <c r="H113" s="246"/>
      <c r="I113" s="246"/>
      <c r="J113" s="246"/>
      <c r="K113" s="246"/>
      <c r="L113" s="246"/>
    </row>
    <row r="114" spans="1:12">
      <c r="A114" s="246"/>
      <c r="B114" s="246"/>
      <c r="C114" s="246"/>
      <c r="D114" s="246"/>
      <c r="E114" s="246"/>
      <c r="F114" s="246"/>
      <c r="G114" s="246"/>
      <c r="H114" s="246"/>
      <c r="I114" s="246"/>
      <c r="J114" s="246"/>
      <c r="K114" s="246"/>
      <c r="L114" s="246"/>
    </row>
    <row r="115" spans="1:12">
      <c r="A115" s="246"/>
      <c r="B115" s="246"/>
      <c r="C115" s="246"/>
      <c r="D115" s="246"/>
      <c r="E115" s="246"/>
      <c r="F115" s="246"/>
      <c r="G115" s="246"/>
      <c r="H115" s="246"/>
      <c r="I115" s="246"/>
      <c r="J115" s="246"/>
      <c r="K115" s="246"/>
      <c r="L115" s="246"/>
    </row>
    <row r="116" spans="1:12">
      <c r="A116" s="246"/>
      <c r="B116" s="246"/>
      <c r="C116" s="246"/>
      <c r="D116" s="246"/>
      <c r="E116" s="246"/>
      <c r="F116" s="246"/>
      <c r="G116" s="246"/>
      <c r="H116" s="246"/>
      <c r="I116" s="246"/>
      <c r="J116" s="246"/>
      <c r="K116" s="246"/>
      <c r="L116" s="246"/>
    </row>
    <row r="117" spans="1:12">
      <c r="A117" s="246"/>
      <c r="B117" s="246"/>
      <c r="C117" s="246"/>
      <c r="D117" s="246"/>
      <c r="E117" s="246"/>
      <c r="F117" s="246"/>
      <c r="G117" s="246"/>
      <c r="H117" s="246"/>
      <c r="I117" s="246"/>
      <c r="J117" s="246"/>
      <c r="K117" s="246"/>
      <c r="L117" s="246"/>
    </row>
    <row r="118" spans="1:12">
      <c r="A118" s="246"/>
      <c r="B118" s="246"/>
      <c r="C118" s="246"/>
      <c r="D118" s="246"/>
      <c r="E118" s="246"/>
      <c r="F118" s="246"/>
      <c r="G118" s="246"/>
      <c r="H118" s="246"/>
      <c r="I118" s="246"/>
      <c r="J118" s="246"/>
      <c r="K118" s="246"/>
      <c r="L118" s="246"/>
    </row>
    <row r="119" spans="1:12">
      <c r="A119" s="246"/>
      <c r="B119" s="246"/>
      <c r="C119" s="246"/>
      <c r="D119" s="246"/>
      <c r="E119" s="246"/>
      <c r="F119" s="246"/>
      <c r="G119" s="246"/>
      <c r="H119" s="246"/>
      <c r="I119" s="246"/>
      <c r="J119" s="246"/>
      <c r="K119" s="246"/>
      <c r="L119" s="246"/>
    </row>
    <row r="120" spans="1:12">
      <c r="A120" s="246"/>
      <c r="B120" s="246"/>
      <c r="C120" s="246"/>
      <c r="D120" s="246"/>
      <c r="E120" s="246"/>
      <c r="F120" s="246"/>
      <c r="G120" s="246"/>
      <c r="H120" s="246"/>
      <c r="I120" s="246"/>
      <c r="J120" s="246"/>
      <c r="K120" s="246"/>
      <c r="L120" s="246"/>
    </row>
    <row r="121" spans="1:12">
      <c r="A121" s="246"/>
      <c r="B121" s="246"/>
      <c r="C121" s="246"/>
      <c r="D121" s="246"/>
      <c r="E121" s="246"/>
      <c r="F121" s="246"/>
      <c r="G121" s="246"/>
      <c r="H121" s="246"/>
      <c r="I121" s="246"/>
      <c r="J121" s="246"/>
      <c r="K121" s="246"/>
      <c r="L121" s="246"/>
    </row>
    <row r="122" spans="1:12">
      <c r="A122" s="246"/>
      <c r="B122" s="246"/>
      <c r="C122" s="246"/>
      <c r="D122" s="246"/>
      <c r="E122" s="246"/>
      <c r="F122" s="246"/>
      <c r="G122" s="246"/>
      <c r="H122" s="246"/>
      <c r="I122" s="246"/>
      <c r="J122" s="246"/>
      <c r="K122" s="246"/>
      <c r="L122" s="246"/>
    </row>
    <row r="123" spans="1:12">
      <c r="A123" s="246"/>
      <c r="B123" s="246"/>
      <c r="C123" s="246"/>
      <c r="D123" s="246"/>
      <c r="E123" s="246"/>
      <c r="F123" s="246"/>
      <c r="G123" s="246"/>
      <c r="H123" s="246"/>
      <c r="I123" s="246"/>
      <c r="J123" s="246"/>
      <c r="K123" s="246"/>
      <c r="L123" s="246"/>
    </row>
    <row r="124" spans="1:12">
      <c r="A124" s="246"/>
      <c r="B124" s="246"/>
      <c r="C124" s="246"/>
      <c r="D124" s="246"/>
      <c r="E124" s="246"/>
      <c r="F124" s="246"/>
      <c r="G124" s="246"/>
      <c r="H124" s="246"/>
      <c r="I124" s="246"/>
      <c r="J124" s="246"/>
      <c r="K124" s="246"/>
      <c r="L124" s="246"/>
    </row>
    <row r="125" spans="1:12">
      <c r="A125" s="246"/>
      <c r="B125" s="246"/>
      <c r="C125" s="246"/>
      <c r="D125" s="246"/>
      <c r="E125" s="246"/>
      <c r="F125" s="246"/>
      <c r="G125" s="246"/>
      <c r="H125" s="246"/>
      <c r="I125" s="246"/>
      <c r="J125" s="246"/>
      <c r="K125" s="246"/>
      <c r="L125" s="246"/>
    </row>
    <row r="126" spans="1:12">
      <c r="A126" s="246"/>
      <c r="B126" s="246"/>
      <c r="C126" s="246"/>
      <c r="D126" s="246"/>
      <c r="E126" s="246"/>
      <c r="F126" s="246"/>
      <c r="G126" s="246"/>
      <c r="H126" s="246"/>
      <c r="I126" s="246"/>
      <c r="J126" s="246"/>
      <c r="K126" s="246"/>
      <c r="L126" s="246"/>
    </row>
    <row r="127" spans="1:12">
      <c r="A127" s="246"/>
      <c r="B127" s="246"/>
      <c r="C127" s="246"/>
      <c r="D127" s="246"/>
      <c r="E127" s="246"/>
      <c r="F127" s="246"/>
      <c r="G127" s="246"/>
      <c r="H127" s="246"/>
      <c r="I127" s="246"/>
      <c r="J127" s="246"/>
      <c r="K127" s="246"/>
      <c r="L127" s="246"/>
    </row>
    <row r="128" spans="1:12">
      <c r="A128" s="246"/>
      <c r="B128" s="246"/>
      <c r="C128" s="246"/>
      <c r="D128" s="246"/>
      <c r="E128" s="246"/>
      <c r="F128" s="246"/>
      <c r="G128" s="246"/>
      <c r="H128" s="246"/>
      <c r="I128" s="246"/>
      <c r="J128" s="246"/>
      <c r="K128" s="246"/>
      <c r="L128" s="246"/>
    </row>
    <row r="129" spans="1:12">
      <c r="A129" s="246"/>
      <c r="B129" s="246"/>
      <c r="C129" s="246"/>
      <c r="D129" s="246"/>
      <c r="E129" s="246"/>
      <c r="F129" s="246"/>
      <c r="G129" s="246"/>
      <c r="H129" s="246"/>
      <c r="I129" s="246"/>
      <c r="J129" s="246"/>
      <c r="K129" s="246"/>
      <c r="L129" s="246"/>
    </row>
    <row r="130" spans="1:12">
      <c r="A130" s="246"/>
      <c r="B130" s="246"/>
      <c r="C130" s="246"/>
      <c r="D130" s="246"/>
      <c r="E130" s="246"/>
      <c r="F130" s="246"/>
      <c r="G130" s="246"/>
      <c r="H130" s="246"/>
      <c r="I130" s="246"/>
      <c r="J130" s="246"/>
      <c r="K130" s="246"/>
      <c r="L130" s="246"/>
    </row>
    <row r="131" spans="1:12">
      <c r="A131" s="246"/>
      <c r="B131" s="246"/>
      <c r="C131" s="246"/>
      <c r="D131" s="246"/>
      <c r="E131" s="246"/>
      <c r="F131" s="246"/>
      <c r="G131" s="246"/>
      <c r="H131" s="246"/>
      <c r="I131" s="246"/>
      <c r="J131" s="246"/>
      <c r="K131" s="246"/>
      <c r="L131" s="246"/>
    </row>
    <row r="132" spans="1:12">
      <c r="A132" s="246"/>
      <c r="B132" s="246"/>
      <c r="C132" s="246"/>
      <c r="D132" s="246"/>
      <c r="E132" s="246"/>
      <c r="F132" s="246"/>
      <c r="G132" s="246"/>
      <c r="H132" s="246"/>
      <c r="I132" s="246"/>
      <c r="J132" s="246"/>
      <c r="K132" s="246"/>
      <c r="L132" s="246"/>
    </row>
    <row r="133" spans="1:12">
      <c r="A133" s="246"/>
      <c r="B133" s="246"/>
      <c r="C133" s="246"/>
      <c r="D133" s="246"/>
      <c r="E133" s="246"/>
      <c r="F133" s="246"/>
      <c r="G133" s="246"/>
      <c r="H133" s="246"/>
      <c r="I133" s="246"/>
      <c r="J133" s="246"/>
      <c r="K133" s="246"/>
      <c r="L133" s="246"/>
    </row>
    <row r="134" spans="1:12">
      <c r="A134" s="246"/>
      <c r="B134" s="246"/>
      <c r="C134" s="246"/>
      <c r="D134" s="246"/>
      <c r="E134" s="246"/>
      <c r="F134" s="246"/>
      <c r="G134" s="246"/>
      <c r="H134" s="246"/>
      <c r="I134" s="246"/>
      <c r="J134" s="246"/>
      <c r="K134" s="246"/>
      <c r="L134" s="246"/>
    </row>
    <row r="135" spans="1:12">
      <c r="A135" s="246"/>
      <c r="B135" s="246"/>
      <c r="C135" s="246"/>
      <c r="D135" s="246"/>
      <c r="E135" s="246"/>
      <c r="F135" s="246"/>
      <c r="G135" s="246"/>
      <c r="H135" s="246"/>
      <c r="I135" s="246"/>
      <c r="J135" s="246"/>
      <c r="K135" s="246"/>
      <c r="L135" s="246"/>
    </row>
    <row r="136" spans="1:12">
      <c r="A136" s="246"/>
      <c r="B136" s="246"/>
      <c r="C136" s="246"/>
      <c r="D136" s="246"/>
      <c r="E136" s="246"/>
      <c r="F136" s="246"/>
      <c r="G136" s="246"/>
      <c r="H136" s="246"/>
      <c r="I136" s="246"/>
      <c r="J136" s="246"/>
      <c r="K136" s="246"/>
      <c r="L136" s="246"/>
    </row>
    <row r="137" spans="1:12">
      <c r="A137" s="246"/>
      <c r="B137" s="246"/>
      <c r="C137" s="246"/>
      <c r="D137" s="246"/>
      <c r="E137" s="246"/>
      <c r="F137" s="246"/>
      <c r="G137" s="246"/>
      <c r="H137" s="246"/>
      <c r="I137" s="246"/>
      <c r="J137" s="246"/>
      <c r="K137" s="246"/>
      <c r="L137" s="246"/>
    </row>
    <row r="138" spans="1:12">
      <c r="A138" s="246"/>
      <c r="B138" s="246"/>
      <c r="C138" s="246"/>
      <c r="D138" s="246"/>
      <c r="E138" s="246"/>
      <c r="F138" s="246"/>
      <c r="G138" s="246"/>
      <c r="H138" s="246"/>
      <c r="I138" s="246"/>
      <c r="J138" s="246"/>
      <c r="K138" s="246"/>
      <c r="L138" s="246"/>
    </row>
    <row r="139" spans="1:12">
      <c r="A139" s="246"/>
      <c r="B139" s="246"/>
      <c r="C139" s="246"/>
      <c r="D139" s="246"/>
      <c r="E139" s="246"/>
      <c r="F139" s="246"/>
      <c r="G139" s="246"/>
      <c r="H139" s="246"/>
      <c r="I139" s="246"/>
      <c r="J139" s="246"/>
      <c r="K139" s="246"/>
      <c r="L139" s="246"/>
    </row>
    <row r="140" spans="1:12">
      <c r="A140" s="246"/>
      <c r="B140" s="246"/>
      <c r="C140" s="246"/>
      <c r="D140" s="246"/>
      <c r="E140" s="246"/>
      <c r="F140" s="246"/>
      <c r="G140" s="246"/>
      <c r="H140" s="246"/>
      <c r="I140" s="246"/>
      <c r="J140" s="246"/>
      <c r="K140" s="246"/>
      <c r="L140" s="246"/>
    </row>
    <row r="141" spans="1:12">
      <c r="A141" s="246"/>
      <c r="B141" s="246"/>
      <c r="C141" s="246"/>
      <c r="D141" s="246"/>
      <c r="E141" s="246"/>
      <c r="F141" s="246"/>
      <c r="G141" s="246"/>
      <c r="H141" s="246"/>
      <c r="I141" s="246"/>
      <c r="J141" s="246"/>
      <c r="K141" s="246"/>
      <c r="L141" s="246"/>
    </row>
    <row r="142" spans="1:12">
      <c r="A142" s="246"/>
      <c r="B142" s="246"/>
      <c r="C142" s="246"/>
      <c r="D142" s="246"/>
      <c r="E142" s="246"/>
      <c r="F142" s="246"/>
      <c r="G142" s="246"/>
      <c r="H142" s="246"/>
      <c r="I142" s="246"/>
      <c r="J142" s="246"/>
      <c r="K142" s="246"/>
      <c r="L142" s="246"/>
    </row>
    <row r="143" spans="1:12">
      <c r="A143" s="246"/>
      <c r="B143" s="246"/>
      <c r="C143" s="246"/>
      <c r="D143" s="246"/>
      <c r="E143" s="246"/>
      <c r="F143" s="246"/>
      <c r="G143" s="246"/>
      <c r="H143" s="246"/>
      <c r="I143" s="246"/>
      <c r="J143" s="246"/>
      <c r="K143" s="246"/>
      <c r="L143" s="246"/>
    </row>
    <row r="144" spans="1:12">
      <c r="A144" s="246"/>
      <c r="B144" s="246"/>
      <c r="C144" s="246"/>
      <c r="D144" s="246"/>
      <c r="E144" s="246"/>
      <c r="F144" s="246"/>
      <c r="G144" s="246"/>
      <c r="H144" s="246"/>
      <c r="I144" s="246"/>
      <c r="J144" s="246"/>
      <c r="K144" s="246"/>
      <c r="L144" s="246"/>
    </row>
    <row r="145" spans="1:12">
      <c r="A145" s="246"/>
      <c r="B145" s="246"/>
      <c r="C145" s="246"/>
      <c r="D145" s="246"/>
      <c r="E145" s="246"/>
      <c r="F145" s="246"/>
      <c r="G145" s="246"/>
      <c r="H145" s="246"/>
      <c r="I145" s="246"/>
      <c r="J145" s="246"/>
      <c r="K145" s="246"/>
      <c r="L145" s="246"/>
    </row>
    <row r="146" spans="1:12">
      <c r="A146" s="246"/>
      <c r="B146" s="246"/>
      <c r="C146" s="246"/>
      <c r="D146" s="246"/>
      <c r="E146" s="246"/>
      <c r="F146" s="246"/>
      <c r="G146" s="246"/>
      <c r="H146" s="246"/>
      <c r="I146" s="246"/>
      <c r="J146" s="246"/>
      <c r="K146" s="246"/>
      <c r="L146" s="246"/>
    </row>
    <row r="147" spans="1:12">
      <c r="A147" s="246"/>
      <c r="B147" s="246"/>
      <c r="C147" s="246"/>
      <c r="D147" s="246"/>
      <c r="E147" s="246"/>
      <c r="F147" s="246"/>
      <c r="G147" s="246"/>
      <c r="H147" s="246"/>
      <c r="I147" s="246"/>
      <c r="J147" s="246"/>
      <c r="K147" s="246"/>
      <c r="L147" s="246"/>
    </row>
    <row r="148" spans="1:12">
      <c r="A148" s="246"/>
      <c r="B148" s="246"/>
      <c r="C148" s="246"/>
      <c r="D148" s="246"/>
      <c r="E148" s="246"/>
      <c r="F148" s="246"/>
      <c r="G148" s="246"/>
      <c r="H148" s="246"/>
      <c r="I148" s="246"/>
      <c r="J148" s="246"/>
      <c r="K148" s="246"/>
      <c r="L148" s="246"/>
    </row>
    <row r="149" spans="1:12">
      <c r="A149" s="246"/>
      <c r="B149" s="246"/>
      <c r="C149" s="246"/>
      <c r="D149" s="246"/>
      <c r="E149" s="246"/>
      <c r="F149" s="246"/>
      <c r="G149" s="246"/>
      <c r="H149" s="246"/>
      <c r="I149" s="246"/>
      <c r="J149" s="246"/>
      <c r="K149" s="246"/>
      <c r="L149" s="246"/>
    </row>
    <row r="150" spans="1:12">
      <c r="A150" s="246"/>
      <c r="B150" s="246"/>
      <c r="C150" s="246"/>
      <c r="D150" s="246"/>
      <c r="E150" s="246"/>
      <c r="F150" s="246"/>
      <c r="G150" s="246"/>
      <c r="H150" s="246"/>
      <c r="I150" s="246"/>
      <c r="J150" s="246"/>
      <c r="K150" s="246"/>
      <c r="L150" s="246"/>
    </row>
    <row r="151" spans="1:12">
      <c r="A151" s="246"/>
      <c r="B151" s="246"/>
      <c r="C151" s="246"/>
      <c r="D151" s="246"/>
      <c r="E151" s="246"/>
      <c r="F151" s="246"/>
      <c r="G151" s="246"/>
      <c r="H151" s="246"/>
      <c r="I151" s="246"/>
      <c r="J151" s="246"/>
      <c r="K151" s="246"/>
      <c r="L151" s="246"/>
    </row>
    <row r="152" spans="1:12">
      <c r="A152" s="246"/>
      <c r="B152" s="246"/>
      <c r="C152" s="246"/>
      <c r="D152" s="246"/>
      <c r="E152" s="246"/>
      <c r="F152" s="246"/>
      <c r="G152" s="246"/>
      <c r="H152" s="246"/>
      <c r="I152" s="246"/>
      <c r="J152" s="246"/>
      <c r="K152" s="246"/>
      <c r="L152" s="246"/>
    </row>
  </sheetData>
  <pageMargins left="0.7" right="0.7" top="0.75" bottom="0.75" header="0.3" footer="0.3"/>
  <pageSetup scale="80" orientation="portrait" cellComments="asDisplayed" r:id="rId1"/>
  <headerFooter>
    <oddHeader>&amp;CSchedule 25
Wholesale Differences to Base TRR
&amp;RTO2019 Draft Annual Update
Attachment 5
TO13 True Up TRR</oddHeader>
    <oddFooter>&amp;R&amp;A</oddFooter>
  </headerFooter>
  <rowBreaks count="1" manualBreakCount="1">
    <brk id="67"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1599</v>
      </c>
    </row>
    <row r="3" spans="1:6">
      <c r="A3" s="515" t="s">
        <v>1859</v>
      </c>
    </row>
    <row r="5" spans="1:6">
      <c r="B5" s="3" t="s">
        <v>193</v>
      </c>
      <c r="C5" s="3" t="s">
        <v>194</v>
      </c>
    </row>
    <row r="6" spans="1:6">
      <c r="B6" t="s">
        <v>106</v>
      </c>
      <c r="C6" s="7">
        <f>'1-BaseTRR'!K141</f>
        <v>1026235675.1587012</v>
      </c>
    </row>
    <row r="7" spans="1:6">
      <c r="B7" t="s">
        <v>349</v>
      </c>
      <c r="C7" s="7">
        <f>'1-BaseTRR'!K147</f>
        <v>100660990.75655727</v>
      </c>
    </row>
    <row r="8" spans="1:6">
      <c r="B8" t="s">
        <v>107</v>
      </c>
      <c r="C8" s="110">
        <f>'1-BaseTRR'!K148</f>
        <v>59638033.681000389</v>
      </c>
      <c r="E8" s="1"/>
    </row>
    <row r="9" spans="1:6">
      <c r="B9" s="517" t="s">
        <v>2260</v>
      </c>
      <c r="C9" s="98">
        <f>'1-BaseTRR'!K150</f>
        <v>0</v>
      </c>
      <c r="E9" s="1"/>
    </row>
    <row r="10" spans="1:6">
      <c r="B10" t="s">
        <v>1860</v>
      </c>
      <c r="C10" s="7">
        <f>SUM(C6:C9)</f>
        <v>1186534699.5962589</v>
      </c>
    </row>
    <row r="12" spans="1:6">
      <c r="A12" t="s">
        <v>603</v>
      </c>
    </row>
    <row r="14" spans="1:6">
      <c r="B14" t="s">
        <v>222</v>
      </c>
    </row>
    <row r="15" spans="1:6">
      <c r="B15" s="519" t="s">
        <v>2040</v>
      </c>
      <c r="E15" s="14"/>
      <c r="F15" s="14"/>
    </row>
    <row r="16" spans="1:6">
      <c r="B16" s="16"/>
    </row>
    <row r="17" spans="2:2">
      <c r="B17" t="s">
        <v>602</v>
      </c>
    </row>
    <row r="18" spans="2:2">
      <c r="B18" s="517" t="s">
        <v>2041</v>
      </c>
    </row>
    <row r="19" spans="2:2">
      <c r="B19" s="16"/>
    </row>
    <row r="20" spans="2:2">
      <c r="B20" s="67" t="s">
        <v>1327</v>
      </c>
    </row>
    <row r="21" spans="2:2">
      <c r="B21" s="514" t="s">
        <v>2042</v>
      </c>
    </row>
    <row r="23" spans="2:2">
      <c r="B23" s="517" t="s">
        <v>2261</v>
      </c>
    </row>
  </sheetData>
  <phoneticPr fontId="23" type="noConversion"/>
  <pageMargins left="0.75" right="0.75" top="1.25" bottom="1" header="0.5" footer="0.5"/>
  <pageSetup orientation="landscape" r:id="rId1"/>
  <headerFooter alignWithMargins="0">
    <oddHeader>&amp;COverview
&amp;RTO2019 Draft Annual Update
Attachment 5
TO13 True Up TRR</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3.28515625" customWidth="1"/>
  </cols>
  <sheetData>
    <row r="1" spans="1:5">
      <c r="A1" s="1" t="s">
        <v>448</v>
      </c>
    </row>
    <row r="3" spans="1:5">
      <c r="B3" s="1" t="s">
        <v>43</v>
      </c>
      <c r="E3" s="104" t="s">
        <v>17</v>
      </c>
    </row>
    <row r="4" spans="1:5">
      <c r="D4" s="2" t="s">
        <v>44</v>
      </c>
    </row>
    <row r="5" spans="1:5">
      <c r="C5" s="2" t="s">
        <v>443</v>
      </c>
      <c r="D5" s="2" t="s">
        <v>445</v>
      </c>
    </row>
    <row r="6" spans="1:5">
      <c r="A6" s="3" t="s">
        <v>360</v>
      </c>
      <c r="C6" s="3" t="s">
        <v>212</v>
      </c>
      <c r="D6" s="3" t="s">
        <v>449</v>
      </c>
      <c r="E6" s="3" t="s">
        <v>198</v>
      </c>
    </row>
    <row r="7" spans="1:5">
      <c r="A7" s="2">
        <v>1</v>
      </c>
      <c r="C7" s="161">
        <v>2017</v>
      </c>
      <c r="D7" s="658">
        <f>D71</f>
        <v>0.35</v>
      </c>
      <c r="E7" s="996" t="s">
        <v>2024</v>
      </c>
    </row>
    <row r="8" spans="1:5">
      <c r="A8" s="2">
        <f>A7+1</f>
        <v>2</v>
      </c>
      <c r="E8" s="514"/>
    </row>
    <row r="9" spans="1:5">
      <c r="A9" s="2">
        <f t="shared" ref="A9:A58" si="0">A8+1</f>
        <v>3</v>
      </c>
      <c r="B9" s="1" t="s">
        <v>45</v>
      </c>
    </row>
    <row r="10" spans="1:5">
      <c r="A10" s="2">
        <f t="shared" si="0"/>
        <v>4</v>
      </c>
      <c r="B10" s="1"/>
      <c r="D10" s="2"/>
    </row>
    <row r="11" spans="1:5">
      <c r="A11" s="2">
        <f t="shared" si="0"/>
        <v>5</v>
      </c>
      <c r="D11" s="2" t="s">
        <v>310</v>
      </c>
    </row>
    <row r="12" spans="1:5">
      <c r="A12" s="2">
        <f t="shared" si="0"/>
        <v>6</v>
      </c>
      <c r="C12" s="2" t="s">
        <v>443</v>
      </c>
      <c r="D12" s="2" t="s">
        <v>445</v>
      </c>
    </row>
    <row r="13" spans="1:5">
      <c r="A13" s="2">
        <f t="shared" si="0"/>
        <v>7</v>
      </c>
      <c r="C13" s="3" t="s">
        <v>212</v>
      </c>
      <c r="D13" s="3" t="s">
        <v>446</v>
      </c>
      <c r="E13" s="3" t="s">
        <v>198</v>
      </c>
    </row>
    <row r="14" spans="1:5">
      <c r="A14" s="2">
        <f t="shared" si="0"/>
        <v>8</v>
      </c>
      <c r="C14" s="161">
        <v>2017</v>
      </c>
      <c r="D14" s="72">
        <f>D51</f>
        <v>8.8400000000000006E-2</v>
      </c>
      <c r="E14" s="13" t="str">
        <f>"1) See calculation below on Line "&amp;A51&amp;" based on inputs"</f>
        <v>1) See calculation below on Line 45 based on inputs</v>
      </c>
    </row>
    <row r="15" spans="1:5">
      <c r="A15" s="2">
        <f t="shared" si="0"/>
        <v>9</v>
      </c>
      <c r="C15" s="56"/>
      <c r="D15" s="14"/>
      <c r="E15" s="13" t="s">
        <v>320</v>
      </c>
    </row>
    <row r="16" spans="1:5">
      <c r="A16" s="2">
        <f t="shared" si="0"/>
        <v>10</v>
      </c>
      <c r="C16" s="56"/>
      <c r="D16" s="14"/>
      <c r="E16" s="16" t="s">
        <v>447</v>
      </c>
    </row>
    <row r="17" spans="1:5">
      <c r="A17" s="2">
        <f t="shared" si="0"/>
        <v>11</v>
      </c>
      <c r="C17" s="63"/>
      <c r="E17" s="16"/>
    </row>
    <row r="18" spans="1:5">
      <c r="A18" s="2">
        <f t="shared" si="0"/>
        <v>12</v>
      </c>
      <c r="C18" s="1" t="s">
        <v>405</v>
      </c>
      <c r="E18" s="16"/>
    </row>
    <row r="19" spans="1:5">
      <c r="A19" s="2">
        <f t="shared" si="0"/>
        <v>13</v>
      </c>
      <c r="E19" s="16"/>
    </row>
    <row r="20" spans="1:5">
      <c r="A20" s="2">
        <f t="shared" si="0"/>
        <v>14</v>
      </c>
      <c r="C20" s="2"/>
      <c r="D20" s="2" t="s">
        <v>35</v>
      </c>
    </row>
    <row r="21" spans="1:5">
      <c r="A21" s="2">
        <f t="shared" si="0"/>
        <v>15</v>
      </c>
      <c r="C21" s="3" t="s">
        <v>41</v>
      </c>
      <c r="D21" s="3" t="s">
        <v>450</v>
      </c>
      <c r="E21" s="3" t="s">
        <v>198</v>
      </c>
    </row>
    <row r="22" spans="1:5">
      <c r="A22" s="2">
        <f t="shared" si="0"/>
        <v>16</v>
      </c>
      <c r="C22" t="s">
        <v>37</v>
      </c>
      <c r="D22" s="51">
        <v>1</v>
      </c>
      <c r="E22" s="73" t="s">
        <v>442</v>
      </c>
    </row>
    <row r="23" spans="1:5">
      <c r="A23" s="2">
        <f t="shared" si="0"/>
        <v>17</v>
      </c>
      <c r="C23" t="s">
        <v>38</v>
      </c>
      <c r="D23" s="51">
        <v>0</v>
      </c>
      <c r="E23" s="159"/>
    </row>
    <row r="24" spans="1:5">
      <c r="A24" s="2">
        <f t="shared" si="0"/>
        <v>18</v>
      </c>
      <c r="C24" t="s">
        <v>39</v>
      </c>
      <c r="D24" s="51">
        <v>0</v>
      </c>
      <c r="E24" s="70"/>
    </row>
    <row r="25" spans="1:5">
      <c r="A25" s="2">
        <f t="shared" si="0"/>
        <v>19</v>
      </c>
      <c r="C25" t="s">
        <v>40</v>
      </c>
      <c r="D25" s="51">
        <v>0</v>
      </c>
      <c r="E25" s="71"/>
    </row>
    <row r="26" spans="1:5">
      <c r="A26" s="2">
        <f t="shared" si="0"/>
        <v>20</v>
      </c>
      <c r="D26" s="72"/>
      <c r="E26" s="71"/>
    </row>
    <row r="27" spans="1:5">
      <c r="A27" s="2">
        <f t="shared" si="0"/>
        <v>21</v>
      </c>
      <c r="D27" s="2" t="s">
        <v>42</v>
      </c>
    </row>
    <row r="28" spans="1:5">
      <c r="A28" s="2">
        <f t="shared" si="0"/>
        <v>22</v>
      </c>
      <c r="C28" s="3" t="s">
        <v>41</v>
      </c>
      <c r="D28" s="3" t="s">
        <v>444</v>
      </c>
    </row>
    <row r="29" spans="1:5">
      <c r="A29" s="2">
        <f t="shared" si="0"/>
        <v>23</v>
      </c>
      <c r="C29" t="s">
        <v>37</v>
      </c>
      <c r="D29" s="51">
        <v>8.8400000000000006E-2</v>
      </c>
      <c r="E29" s="159" t="s">
        <v>549</v>
      </c>
    </row>
    <row r="30" spans="1:5">
      <c r="A30" s="2">
        <f t="shared" si="0"/>
        <v>24</v>
      </c>
      <c r="C30" t="s">
        <v>38</v>
      </c>
      <c r="D30" s="51">
        <v>6.2E-2</v>
      </c>
      <c r="E30" s="1093" t="s">
        <v>1988</v>
      </c>
    </row>
    <row r="31" spans="1:5">
      <c r="A31" s="2">
        <f t="shared" si="0"/>
        <v>25</v>
      </c>
      <c r="C31" t="s">
        <v>39</v>
      </c>
      <c r="D31" s="51">
        <v>4.9000000000000002E-2</v>
      </c>
    </row>
    <row r="32" spans="1:5">
      <c r="A32" s="2">
        <f t="shared" si="0"/>
        <v>26</v>
      </c>
      <c r="C32" t="s">
        <v>40</v>
      </c>
      <c r="D32" s="428">
        <v>0.09</v>
      </c>
    </row>
    <row r="33" spans="1:5">
      <c r="A33" s="2">
        <f t="shared" si="0"/>
        <v>27</v>
      </c>
    </row>
    <row r="34" spans="1:5">
      <c r="A34" s="509">
        <f t="shared" si="0"/>
        <v>28</v>
      </c>
      <c r="D34" s="2" t="s">
        <v>1351</v>
      </c>
    </row>
    <row r="35" spans="1:5">
      <c r="A35" s="509">
        <f t="shared" si="0"/>
        <v>29</v>
      </c>
      <c r="D35" s="509" t="s">
        <v>1627</v>
      </c>
    </row>
    <row r="36" spans="1:5">
      <c r="A36" s="509">
        <f t="shared" si="0"/>
        <v>30</v>
      </c>
      <c r="D36" s="430" t="s">
        <v>1628</v>
      </c>
    </row>
    <row r="37" spans="1:5">
      <c r="A37" s="509">
        <f t="shared" si="0"/>
        <v>31</v>
      </c>
      <c r="D37" s="509" t="s">
        <v>37</v>
      </c>
    </row>
    <row r="38" spans="1:5">
      <c r="A38" s="509">
        <f t="shared" si="0"/>
        <v>32</v>
      </c>
      <c r="C38" s="3" t="s">
        <v>41</v>
      </c>
      <c r="D38" s="3" t="s">
        <v>1629</v>
      </c>
    </row>
    <row r="39" spans="1:5">
      <c r="A39" s="509">
        <f t="shared" si="0"/>
        <v>33</v>
      </c>
      <c r="C39" t="s">
        <v>37</v>
      </c>
      <c r="D39" s="51">
        <v>1</v>
      </c>
      <c r="E39" s="481" t="s">
        <v>1483</v>
      </c>
    </row>
    <row r="40" spans="1:5">
      <c r="A40" s="509">
        <f t="shared" si="0"/>
        <v>34</v>
      </c>
      <c r="C40" t="s">
        <v>38</v>
      </c>
      <c r="D40" s="51">
        <v>0</v>
      </c>
      <c r="E40" s="14" t="s">
        <v>1484</v>
      </c>
    </row>
    <row r="41" spans="1:5">
      <c r="A41" s="509">
        <f t="shared" si="0"/>
        <v>35</v>
      </c>
      <c r="C41" t="s">
        <v>39</v>
      </c>
      <c r="D41" s="51">
        <v>0</v>
      </c>
    </row>
    <row r="42" spans="1:5">
      <c r="A42" s="509">
        <f t="shared" si="0"/>
        <v>36</v>
      </c>
      <c r="C42" t="s">
        <v>40</v>
      </c>
      <c r="D42" s="428">
        <v>0</v>
      </c>
    </row>
    <row r="43" spans="1:5">
      <c r="A43" s="509">
        <f t="shared" si="0"/>
        <v>37</v>
      </c>
      <c r="D43" s="429"/>
    </row>
    <row r="44" spans="1:5">
      <c r="A44" s="509">
        <f t="shared" si="0"/>
        <v>38</v>
      </c>
      <c r="D44" s="2" t="s">
        <v>1349</v>
      </c>
    </row>
    <row r="45" spans="1:5">
      <c r="A45" s="509">
        <f t="shared" si="0"/>
        <v>39</v>
      </c>
      <c r="C45" s="3" t="s">
        <v>41</v>
      </c>
      <c r="D45" s="3" t="s">
        <v>1350</v>
      </c>
    </row>
    <row r="46" spans="1:5">
      <c r="A46" s="509">
        <f t="shared" si="0"/>
        <v>40</v>
      </c>
      <c r="C46" t="s">
        <v>37</v>
      </c>
      <c r="D46" s="72">
        <f>D22*D29*D39</f>
        <v>8.8400000000000006E-2</v>
      </c>
      <c r="E46" s="13" t="str">
        <f>"Line "&amp;A22&amp;" * Line "&amp;A29&amp;" * Line "&amp;A39&amp;""</f>
        <v>Line 16 * Line 23 * Line 33</v>
      </c>
    </row>
    <row r="47" spans="1:5">
      <c r="A47" s="509">
        <f t="shared" si="0"/>
        <v>41</v>
      </c>
      <c r="C47" t="s">
        <v>38</v>
      </c>
      <c r="D47" s="72">
        <f>D23*D30*D40</f>
        <v>0</v>
      </c>
      <c r="E47" s="13" t="str">
        <f>"Line "&amp;A23&amp;" * Line "&amp;A30&amp;" * Line "&amp;A40&amp;""</f>
        <v>Line 17 * Line 24 * Line 34</v>
      </c>
    </row>
    <row r="48" spans="1:5">
      <c r="A48" s="509">
        <f t="shared" si="0"/>
        <v>42</v>
      </c>
      <c r="C48" t="s">
        <v>39</v>
      </c>
      <c r="D48" s="72">
        <f>D24*D31*D41</f>
        <v>0</v>
      </c>
      <c r="E48" s="13" t="str">
        <f>"Line "&amp;A24&amp;" * Line "&amp;A31&amp;" * Line "&amp;A41&amp;""</f>
        <v>Line 18 * Line 25 * Line 35</v>
      </c>
    </row>
    <row r="49" spans="1:9">
      <c r="A49" s="509">
        <f t="shared" si="0"/>
        <v>43</v>
      </c>
      <c r="C49" t="s">
        <v>40</v>
      </c>
      <c r="D49" s="72">
        <f>D25*D32*D42</f>
        <v>0</v>
      </c>
      <c r="E49" s="13" t="str">
        <f>"Line "&amp;A25&amp;" * Line "&amp;A32&amp;" * Line "&amp;A42&amp;""</f>
        <v>Line 19 * Line 26 * Line 36</v>
      </c>
    </row>
    <row r="50" spans="1:9">
      <c r="A50" s="509">
        <f t="shared" si="0"/>
        <v>44</v>
      </c>
      <c r="C50" s="74" t="s">
        <v>310</v>
      </c>
    </row>
    <row r="51" spans="1:9">
      <c r="A51" s="509">
        <f t="shared" si="0"/>
        <v>45</v>
      </c>
      <c r="C51" s="74" t="s">
        <v>309</v>
      </c>
      <c r="D51" s="429">
        <f>SUM(D46:D49)</f>
        <v>8.8400000000000006E-2</v>
      </c>
      <c r="E51" s="13" t="str">
        <f>"Sum of Lines "&amp;A46&amp;" to "&amp;A49&amp;""</f>
        <v>Sum of Lines 40 to 43</v>
      </c>
    </row>
    <row r="52" spans="1:9">
      <c r="A52" s="614">
        <f t="shared" si="0"/>
        <v>46</v>
      </c>
      <c r="E52" s="13"/>
    </row>
    <row r="53" spans="1:9" ht="12.75" customHeight="1">
      <c r="A53" s="614">
        <f t="shared" si="0"/>
        <v>47</v>
      </c>
      <c r="B53" s="1" t="s">
        <v>1854</v>
      </c>
      <c r="E53" s="16"/>
    </row>
    <row r="54" spans="1:9" ht="12.75" customHeight="1">
      <c r="A54" s="614">
        <f t="shared" si="0"/>
        <v>48</v>
      </c>
      <c r="E54" s="124"/>
      <c r="F54" s="3" t="s">
        <v>194</v>
      </c>
    </row>
    <row r="55" spans="1:9" ht="12.75" customHeight="1">
      <c r="A55" s="120">
        <f t="shared" si="0"/>
        <v>49</v>
      </c>
      <c r="B55" s="14"/>
      <c r="C55" s="14" t="str">
        <f>"Total Electric Payroll Tax Expense (From 1-BaseTRR, Line "&amp;'1-BaseTRR'!A52&amp;")"</f>
        <v>Total Electric Payroll Tax Expense (From 1-BaseTRR, Line 30)</v>
      </c>
      <c r="D55" s="14"/>
      <c r="E55" s="14"/>
      <c r="F55" s="7">
        <f>'1-BaseTRR'!K52</f>
        <v>117049541</v>
      </c>
      <c r="G55" s="12"/>
    </row>
    <row r="56" spans="1:9" ht="12.75" customHeight="1">
      <c r="A56" s="120">
        <f t="shared" si="0"/>
        <v>50</v>
      </c>
      <c r="B56" s="14"/>
      <c r="C56" s="517" t="s">
        <v>2128</v>
      </c>
      <c r="D56" s="14"/>
      <c r="E56" s="14"/>
      <c r="F56" s="662">
        <v>0.39800000000000002</v>
      </c>
      <c r="G56" s="12"/>
    </row>
    <row r="57" spans="1:9" ht="12.75" customHeight="1">
      <c r="A57" s="120">
        <f t="shared" si="0"/>
        <v>51</v>
      </c>
      <c r="B57" s="14"/>
      <c r="C57" s="517" t="str">
        <f>"Capitalized Overhead portion of Electric Payroll Tax Expense (Line "&amp;A55&amp;" * Line "&amp;A56&amp;")"</f>
        <v>Capitalized Overhead portion of Electric Payroll Tax Expense (Line 49 * Line 50)</v>
      </c>
      <c r="D57" s="14"/>
      <c r="E57" s="14"/>
      <c r="F57" s="490">
        <f>F55*F56</f>
        <v>46585717.318000004</v>
      </c>
      <c r="G57" s="517"/>
      <c r="H57" s="14"/>
      <c r="I57" s="517"/>
    </row>
    <row r="58" spans="1:9">
      <c r="A58" s="120">
        <f t="shared" si="0"/>
        <v>52</v>
      </c>
      <c r="B58" s="14"/>
      <c r="C58" s="517" t="str">
        <f>"Non-Capitalized Overhead portion of Electric Payroll Tax Expense (Line "&amp;A55&amp;" - Line "&amp;A57&amp;")"</f>
        <v>Non-Capitalized Overhead portion of Electric Payroll Tax Expense (Line 49 - Line 51)</v>
      </c>
      <c r="D58" s="14"/>
      <c r="E58" s="14"/>
      <c r="F58" s="7">
        <f>F55-F57</f>
        <v>70463823.681999996</v>
      </c>
      <c r="G58" s="12"/>
      <c r="H58" s="14"/>
    </row>
    <row r="60" spans="1:9">
      <c r="B60" s="53" t="s">
        <v>256</v>
      </c>
    </row>
    <row r="61" spans="1:9">
      <c r="B61" s="504" t="s">
        <v>1614</v>
      </c>
    </row>
    <row r="62" spans="1:9">
      <c r="B62" s="504" t="s">
        <v>1611</v>
      </c>
    </row>
    <row r="63" spans="1:9">
      <c r="B63" s="12" t="s">
        <v>1613</v>
      </c>
    </row>
    <row r="64" spans="1:9">
      <c r="B64" s="505" t="s">
        <v>1612</v>
      </c>
    </row>
    <row r="65" spans="2:6">
      <c r="B65" s="505"/>
      <c r="C65" s="517" t="s">
        <v>2015</v>
      </c>
      <c r="D65" s="14"/>
    </row>
    <row r="66" spans="2:6">
      <c r="B66" s="505"/>
      <c r="C66" s="517"/>
      <c r="D66" s="14"/>
    </row>
    <row r="67" spans="2:6">
      <c r="B67" s="505"/>
      <c r="C67" s="1022" t="s">
        <v>2023</v>
      </c>
      <c r="D67" s="1022" t="s">
        <v>2022</v>
      </c>
    </row>
    <row r="68" spans="2:6">
      <c r="B68" s="134"/>
      <c r="C68" s="395" t="s">
        <v>2016</v>
      </c>
      <c r="D68" s="395" t="s">
        <v>2017</v>
      </c>
      <c r="E68" s="46" t="s">
        <v>2018</v>
      </c>
      <c r="F68" s="14"/>
    </row>
    <row r="69" spans="2:6">
      <c r="B69" s="736" t="s">
        <v>1900</v>
      </c>
      <c r="C69" s="657">
        <v>0.35</v>
      </c>
      <c r="D69" s="104">
        <v>365</v>
      </c>
      <c r="E69" s="517" t="s">
        <v>2019</v>
      </c>
      <c r="F69" s="14"/>
    </row>
    <row r="70" spans="2:6">
      <c r="B70" s="736" t="s">
        <v>1901</v>
      </c>
      <c r="C70" s="525"/>
      <c r="D70" s="104">
        <v>365</v>
      </c>
      <c r="E70" s="517" t="s">
        <v>2020</v>
      </c>
      <c r="F70" s="14"/>
    </row>
    <row r="71" spans="2:6">
      <c r="B71" s="736" t="s">
        <v>1902</v>
      </c>
      <c r="C71" s="1008" t="s">
        <v>2021</v>
      </c>
      <c r="D71" s="85">
        <f>((C69*D69)+(C70*D70))/365</f>
        <v>0.35</v>
      </c>
      <c r="E71" s="661" t="s">
        <v>2025</v>
      </c>
      <c r="F71" s="14"/>
    </row>
    <row r="72" spans="2:6">
      <c r="B72" s="1094" t="s">
        <v>1993</v>
      </c>
      <c r="C72" s="14"/>
      <c r="D72" s="104" t="s">
        <v>3032</v>
      </c>
      <c r="E72" s="104"/>
      <c r="F72" s="104"/>
    </row>
    <row r="73" spans="2:6">
      <c r="B73" s="1094" t="s">
        <v>1994</v>
      </c>
      <c r="C73" s="14"/>
      <c r="D73" s="14"/>
      <c r="E73" s="14"/>
      <c r="F73" s="14"/>
    </row>
    <row r="74" spans="2:6">
      <c r="B74" s="752" t="s">
        <v>1992</v>
      </c>
      <c r="C74" s="14"/>
      <c r="D74" s="104" t="s">
        <v>3028</v>
      </c>
      <c r="E74" s="104"/>
      <c r="F74" s="104"/>
    </row>
    <row r="75" spans="2:6">
      <c r="B75" s="752" t="s">
        <v>1989</v>
      </c>
      <c r="C75" s="14"/>
      <c r="D75" s="1160" t="s">
        <v>3029</v>
      </c>
      <c r="E75" s="104"/>
      <c r="F75" s="104"/>
    </row>
    <row r="76" spans="2:6">
      <c r="B76" s="752" t="s">
        <v>1990</v>
      </c>
      <c r="C76" s="14"/>
      <c r="D76" s="1160" t="s">
        <v>3030</v>
      </c>
      <c r="E76" s="104"/>
      <c r="F76" s="104"/>
    </row>
    <row r="77" spans="2:6">
      <c r="B77" s="752" t="s">
        <v>1991</v>
      </c>
      <c r="C77" s="14"/>
      <c r="D77" s="1160" t="s">
        <v>3031</v>
      </c>
      <c r="E77" s="104"/>
      <c r="F77" s="104"/>
    </row>
    <row r="78" spans="2:6">
      <c r="B78" s="517" t="s">
        <v>2129</v>
      </c>
      <c r="C78" s="14"/>
      <c r="D78" s="14"/>
      <c r="E78" s="525" t="s">
        <v>2869</v>
      </c>
    </row>
    <row r="79" spans="2:6">
      <c r="B79" s="514" t="s">
        <v>2130</v>
      </c>
      <c r="C79" s="14"/>
      <c r="D79" s="14"/>
      <c r="E79" s="584" t="s">
        <v>2868</v>
      </c>
    </row>
  </sheetData>
  <phoneticPr fontId="23" type="noConversion"/>
  <pageMargins left="0.75" right="0.75" top="1" bottom="1" header="0.5" footer="0.5"/>
  <pageSetup scale="75" orientation="portrait" cellComments="asDisplayed" r:id="rId1"/>
  <headerFooter alignWithMargins="0">
    <oddHeader>&amp;CSchedule 26
Tax Rates
&amp;RTO2019 Draft Annual Update
Attachment 5
TO13 True Up TRR</oddHeader>
    <oddFooter>&amp;R&amp;A</oddFooter>
  </headerFooter>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221</v>
      </c>
      <c r="B1" s="1"/>
    </row>
    <row r="2" spans="1:9">
      <c r="A2" s="1"/>
      <c r="B2" s="1"/>
      <c r="E2" s="104" t="s">
        <v>17</v>
      </c>
    </row>
    <row r="3" spans="1:9">
      <c r="G3" s="108"/>
    </row>
    <row r="4" spans="1:9">
      <c r="A4" s="2"/>
      <c r="B4" s="1" t="s">
        <v>1241</v>
      </c>
      <c r="G4" s="108"/>
    </row>
    <row r="5" spans="1:9">
      <c r="A5" s="2"/>
      <c r="C5" s="1"/>
      <c r="D5" s="2"/>
      <c r="E5" s="2" t="s">
        <v>188</v>
      </c>
      <c r="G5" s="4" t="s">
        <v>73</v>
      </c>
    </row>
    <row r="6" spans="1:9">
      <c r="A6" s="53" t="s">
        <v>360</v>
      </c>
      <c r="C6" s="1"/>
      <c r="D6" s="3" t="s">
        <v>187</v>
      </c>
      <c r="E6" s="3" t="s">
        <v>189</v>
      </c>
      <c r="G6" s="3" t="s">
        <v>190</v>
      </c>
    </row>
    <row r="7" spans="1:9">
      <c r="A7" s="2">
        <v>1</v>
      </c>
      <c r="C7" s="69" t="s">
        <v>363</v>
      </c>
      <c r="D7" s="14"/>
      <c r="E7" s="15" t="str">
        <f>"19-OandM Line "&amp;'19-OandM'!A170&amp;", Col. 7"</f>
        <v>19-OandM Line 137, Col. 7</v>
      </c>
      <c r="G7" s="7">
        <f>'19-OandM'!H170</f>
        <v>32643286.278912343</v>
      </c>
      <c r="I7" s="12"/>
    </row>
    <row r="8" spans="1:9">
      <c r="A8" s="2">
        <f>A7+1</f>
        <v>2</v>
      </c>
      <c r="C8" s="69" t="s">
        <v>263</v>
      </c>
      <c r="D8" s="14"/>
      <c r="E8" s="15" t="s">
        <v>313</v>
      </c>
      <c r="G8" s="6">
        <v>749285680</v>
      </c>
    </row>
    <row r="9" spans="1:9">
      <c r="A9" s="2">
        <f t="shared" ref="A9:A62" si="0">A8+1</f>
        <v>3</v>
      </c>
      <c r="C9" s="5" t="s">
        <v>264</v>
      </c>
      <c r="D9" s="14"/>
      <c r="E9" s="15" t="s">
        <v>314</v>
      </c>
      <c r="G9" s="6">
        <v>210410528</v>
      </c>
    </row>
    <row r="10" spans="1:9">
      <c r="A10" s="2">
        <f t="shared" si="0"/>
        <v>4</v>
      </c>
      <c r="C10" s="69" t="s">
        <v>1247</v>
      </c>
      <c r="D10" s="14"/>
      <c r="E10" s="15" t="str">
        <f>"Line "&amp;A8&amp;" - Line "&amp;A9&amp;""</f>
        <v>Line 2 - Line 3</v>
      </c>
      <c r="G10" s="7">
        <f>G8-G9</f>
        <v>538875152</v>
      </c>
    </row>
    <row r="11" spans="1:9">
      <c r="A11" s="2">
        <f t="shared" si="0"/>
        <v>5</v>
      </c>
      <c r="C11" s="1095" t="s">
        <v>2473</v>
      </c>
      <c r="D11" s="14"/>
      <c r="E11" s="15" t="str">
        <f>"20-AandG, Note 2"</f>
        <v>20-AandG, Note 2</v>
      </c>
      <c r="G11" s="65">
        <f>'20-AandG'!E64</f>
        <v>63002867.522210151</v>
      </c>
      <c r="I11" s="12"/>
    </row>
    <row r="12" spans="1:9">
      <c r="A12" s="2">
        <f t="shared" si="0"/>
        <v>6</v>
      </c>
      <c r="C12" s="1037" t="s">
        <v>2469</v>
      </c>
      <c r="D12" s="14"/>
      <c r="E12" s="15" t="str">
        <f>"20-AandG, Note 2"</f>
        <v>20-AandG, Note 2</v>
      </c>
      <c r="G12" s="110">
        <f>'20-AandG'!E61</f>
        <v>21366051.465252347</v>
      </c>
    </row>
    <row r="13" spans="1:9">
      <c r="A13" s="2">
        <f t="shared" si="0"/>
        <v>7</v>
      </c>
      <c r="C13" s="1095" t="s">
        <v>2470</v>
      </c>
      <c r="D13" s="14"/>
      <c r="E13" s="15" t="str">
        <f>"Line "&amp;A11&amp;" - Line "&amp;A12&amp;""</f>
        <v>Line 5 - Line 6</v>
      </c>
      <c r="G13" s="7">
        <f>G11-G12</f>
        <v>41636816.056957804</v>
      </c>
    </row>
    <row r="14" spans="1:9">
      <c r="A14" s="2">
        <f t="shared" si="0"/>
        <v>8</v>
      </c>
      <c r="C14" s="1095" t="s">
        <v>2471</v>
      </c>
      <c r="D14" s="14"/>
      <c r="E14" s="15" t="str">
        <f>"Line "&amp;A10&amp;" + Line "&amp;A13&amp;""</f>
        <v>Line 4 + Line 7</v>
      </c>
      <c r="G14" s="7">
        <f>G10+G13</f>
        <v>580511968.05695784</v>
      </c>
    </row>
    <row r="15" spans="1:9">
      <c r="A15" s="2">
        <f t="shared" si="0"/>
        <v>9</v>
      </c>
      <c r="C15" s="14" t="s">
        <v>219</v>
      </c>
      <c r="D15" s="14"/>
      <c r="E15" s="15" t="str">
        <f>"Line "&amp;A7&amp;" / Line "&amp;A14&amp;""</f>
        <v>Line 1 / Line 8</v>
      </c>
      <c r="G15" s="8">
        <f>G7/G14</f>
        <v>5.6231891976617258E-2</v>
      </c>
    </row>
    <row r="16" spans="1:9">
      <c r="A16" s="2">
        <f t="shared" si="0"/>
        <v>10</v>
      </c>
      <c r="C16" s="14"/>
      <c r="D16" s="14"/>
      <c r="E16" s="14"/>
    </row>
    <row r="17" spans="1:11">
      <c r="A17" s="2">
        <f t="shared" si="0"/>
        <v>11</v>
      </c>
      <c r="B17" s="1" t="s">
        <v>1242</v>
      </c>
      <c r="C17" s="14"/>
      <c r="D17" s="14"/>
      <c r="E17" s="14"/>
      <c r="G17" s="108"/>
    </row>
    <row r="18" spans="1:11">
      <c r="A18" s="2">
        <f t="shared" si="0"/>
        <v>12</v>
      </c>
      <c r="C18" s="14"/>
      <c r="D18" s="120"/>
      <c r="E18" s="120" t="s">
        <v>188</v>
      </c>
      <c r="G18" s="4" t="s">
        <v>73</v>
      </c>
    </row>
    <row r="19" spans="1:11">
      <c r="A19" s="2">
        <f t="shared" si="0"/>
        <v>13</v>
      </c>
      <c r="C19" s="14"/>
      <c r="D19" s="134" t="s">
        <v>187</v>
      </c>
      <c r="E19" s="134" t="s">
        <v>189</v>
      </c>
      <c r="G19" s="3" t="s">
        <v>190</v>
      </c>
    </row>
    <row r="20" spans="1:11">
      <c r="A20" s="2">
        <f t="shared" si="0"/>
        <v>14</v>
      </c>
      <c r="C20" s="14" t="s">
        <v>364</v>
      </c>
      <c r="D20" s="14"/>
      <c r="E20" s="15" t="str">
        <f>"7-PlantStudy, Line "&amp;'7-PlantStudy'!A28&amp;""</f>
        <v>7-PlantStudy, Line 21</v>
      </c>
      <c r="G20" s="65">
        <f>'7-PlantStudy'!E28</f>
        <v>8573445553.0836601</v>
      </c>
    </row>
    <row r="21" spans="1:11">
      <c r="A21" s="2">
        <f t="shared" si="0"/>
        <v>15</v>
      </c>
      <c r="C21" s="14" t="s">
        <v>365</v>
      </c>
      <c r="D21" s="14"/>
      <c r="E21" s="15" t="str">
        <f>"7-PlantStudy, Line "&amp;'7-PlantStudy'!A42&amp;""</f>
        <v>7-PlantStudy, Line 30</v>
      </c>
      <c r="G21" s="65">
        <f>'7-PlantStudy'!E42</f>
        <v>0</v>
      </c>
    </row>
    <row r="22" spans="1:11">
      <c r="A22" s="2">
        <f t="shared" si="0"/>
        <v>16</v>
      </c>
      <c r="C22" s="14" t="s">
        <v>68</v>
      </c>
      <c r="D22" s="14"/>
      <c r="E22" s="15" t="str">
        <f>"6-PlantInService, Line "&amp;'6-PlantInService'!A53&amp;", C2"</f>
        <v>6-PlantInService, Line 21, C2</v>
      </c>
      <c r="G22" s="65">
        <f>'6-PlantInService'!G53</f>
        <v>1324870316</v>
      </c>
      <c r="H22" s="108"/>
    </row>
    <row r="23" spans="1:11">
      <c r="A23" s="2">
        <f t="shared" si="0"/>
        <v>17</v>
      </c>
      <c r="C23" s="14" t="s">
        <v>69</v>
      </c>
      <c r="D23" s="14"/>
      <c r="E23" s="14" t="str">
        <f>"Line "&amp;A22&amp;" * Line "&amp;A15&amp;""</f>
        <v>Line 16 * Line 9</v>
      </c>
      <c r="G23" s="65">
        <f>G22*G15</f>
        <v>74499964.492338777</v>
      </c>
    </row>
    <row r="24" spans="1:11">
      <c r="A24" s="2">
        <f t="shared" si="0"/>
        <v>18</v>
      </c>
      <c r="C24" s="14" t="s">
        <v>67</v>
      </c>
      <c r="D24" s="14"/>
      <c r="E24" s="15" t="str">
        <f>"6-PlantInService, Line "&amp;'6-PlantInService'!A53&amp;", C1"</f>
        <v>6-PlantInService, Line 21, C1</v>
      </c>
      <c r="G24" s="65">
        <f>'6-PlantInService'!F53</f>
        <v>3102162333</v>
      </c>
    </row>
    <row r="25" spans="1:11">
      <c r="A25" s="2">
        <f t="shared" si="0"/>
        <v>19</v>
      </c>
      <c r="C25" s="14" t="s">
        <v>183</v>
      </c>
      <c r="D25" s="14"/>
      <c r="E25" s="14" t="str">
        <f>"Line "&amp;A24&amp;" * Line "&amp;A15&amp;""</f>
        <v>Line 18 * Line 9</v>
      </c>
      <c r="G25" s="65">
        <f>G24*G15</f>
        <v>174440457.20318699</v>
      </c>
    </row>
    <row r="26" spans="1:11">
      <c r="A26" s="2">
        <f t="shared" si="0"/>
        <v>20</v>
      </c>
      <c r="C26" s="15" t="s">
        <v>1245</v>
      </c>
      <c r="D26" s="14"/>
      <c r="E26" s="14" t="s">
        <v>34</v>
      </c>
      <c r="G26" s="6">
        <v>46164121713</v>
      </c>
    </row>
    <row r="27" spans="1:11">
      <c r="A27" s="2">
        <f t="shared" si="0"/>
        <v>21</v>
      </c>
      <c r="C27" s="14"/>
      <c r="D27" s="14"/>
      <c r="E27" s="14"/>
      <c r="G27" s="108"/>
    </row>
    <row r="28" spans="1:11">
      <c r="A28" s="2">
        <f t="shared" si="0"/>
        <v>22</v>
      </c>
      <c r="C28" s="14" t="s">
        <v>66</v>
      </c>
      <c r="D28" s="14"/>
      <c r="E28" s="15" t="str">
        <f>"(L"&amp;A20&amp;" + L"&amp;A21&amp;" + L"&amp;A23&amp;" + L"&amp;A25&amp;") / L"&amp;A26&amp;""</f>
        <v>(L14 + L15 + L17 + L19) / L20</v>
      </c>
      <c r="G28" s="8">
        <f>(G20+G21+G23+G25)/G26</f>
        <v>0.19110914813082575</v>
      </c>
    </row>
    <row r="29" spans="1:11">
      <c r="A29" s="635">
        <f t="shared" si="0"/>
        <v>23</v>
      </c>
      <c r="C29" s="14"/>
      <c r="D29" s="14"/>
      <c r="E29" s="15"/>
      <c r="G29" s="8"/>
    </row>
    <row r="30" spans="1:11">
      <c r="A30" s="120">
        <f t="shared" si="0"/>
        <v>24</v>
      </c>
      <c r="B30" s="45" t="s">
        <v>2198</v>
      </c>
      <c r="C30" s="14"/>
      <c r="D30" s="14"/>
      <c r="E30" s="14"/>
      <c r="F30" s="14"/>
      <c r="G30" s="14"/>
      <c r="H30" s="14"/>
      <c r="I30" s="14"/>
      <c r="J30" s="14"/>
      <c r="K30" s="14"/>
    </row>
    <row r="31" spans="1:11">
      <c r="A31" s="120">
        <f t="shared" si="0"/>
        <v>25</v>
      </c>
      <c r="B31" s="517"/>
      <c r="C31" s="14"/>
      <c r="D31" s="14"/>
      <c r="E31" s="14"/>
      <c r="F31" s="14"/>
      <c r="G31" s="14"/>
      <c r="H31" s="14"/>
      <c r="I31" s="14"/>
      <c r="J31" s="14"/>
      <c r="K31" s="14"/>
    </row>
    <row r="32" spans="1:11">
      <c r="A32" s="120">
        <f t="shared" si="0"/>
        <v>26</v>
      </c>
      <c r="B32" s="14" t="s">
        <v>2057</v>
      </c>
      <c r="C32" s="14"/>
      <c r="D32" s="134" t="s">
        <v>2061</v>
      </c>
      <c r="E32" s="134" t="s">
        <v>187</v>
      </c>
      <c r="F32" s="14"/>
      <c r="G32" s="611" t="s">
        <v>2062</v>
      </c>
      <c r="H32" s="14"/>
      <c r="I32" s="14"/>
      <c r="J32" s="14"/>
      <c r="K32" s="14"/>
    </row>
    <row r="33" spans="1:11">
      <c r="A33" s="120">
        <f t="shared" si="0"/>
        <v>27</v>
      </c>
      <c r="B33" s="14"/>
      <c r="C33" s="517" t="s">
        <v>2058</v>
      </c>
      <c r="D33" s="1148">
        <v>5827</v>
      </c>
      <c r="E33" s="134"/>
      <c r="F33" s="14"/>
      <c r="G33" s="1038" t="s">
        <v>1415</v>
      </c>
      <c r="H33" s="14"/>
      <c r="I33" s="14"/>
      <c r="J33" s="772"/>
      <c r="K33" s="14"/>
    </row>
    <row r="34" spans="1:11">
      <c r="A34" s="120">
        <f t="shared" si="0"/>
        <v>28</v>
      </c>
      <c r="B34" s="14"/>
      <c r="C34" s="14" t="s">
        <v>2059</v>
      </c>
      <c r="D34" s="1148">
        <v>10854</v>
      </c>
      <c r="E34" s="134"/>
      <c r="F34" s="14"/>
      <c r="G34" s="1038" t="s">
        <v>1416</v>
      </c>
      <c r="H34" s="14"/>
      <c r="I34" s="14"/>
      <c r="J34" s="14"/>
      <c r="K34" s="14"/>
    </row>
    <row r="35" spans="1:11">
      <c r="A35" s="120">
        <f t="shared" si="0"/>
        <v>29</v>
      </c>
      <c r="B35" s="14"/>
      <c r="C35" s="14" t="s">
        <v>2060</v>
      </c>
      <c r="D35" s="122">
        <f>SUM(D33:D34)</f>
        <v>16681</v>
      </c>
      <c r="E35" s="15" t="str">
        <f>" = L"&amp;A33&amp;" + L"&amp;A34&amp;""</f>
        <v xml:space="preserve"> = L27 + L28</v>
      </c>
      <c r="F35" s="14"/>
      <c r="G35" s="1038" t="s">
        <v>1417</v>
      </c>
      <c r="H35" s="14"/>
      <c r="I35" s="14"/>
      <c r="J35" s="14"/>
      <c r="K35" s="14"/>
    </row>
    <row r="36" spans="1:11">
      <c r="A36" s="120">
        <f t="shared" si="0"/>
        <v>30</v>
      </c>
      <c r="B36" s="14"/>
      <c r="C36" s="517" t="s">
        <v>2067</v>
      </c>
      <c r="D36" s="1097">
        <f>D33/D35</f>
        <v>0.3493195851567652</v>
      </c>
      <c r="E36" s="15" t="str">
        <f>" = L"&amp;A33&amp;" / L"&amp;A35&amp;""</f>
        <v xml:space="preserve"> = L27 / L29</v>
      </c>
      <c r="F36" s="14"/>
      <c r="G36" s="1005"/>
      <c r="H36" s="14"/>
      <c r="I36" s="14"/>
      <c r="J36" s="14"/>
      <c r="K36" s="14"/>
    </row>
    <row r="37" spans="1:11">
      <c r="A37" s="120">
        <f t="shared" si="0"/>
        <v>31</v>
      </c>
      <c r="B37" s="14"/>
      <c r="C37" s="14"/>
      <c r="D37" s="14"/>
      <c r="E37" s="14"/>
      <c r="F37" s="14"/>
      <c r="G37" s="1005"/>
      <c r="H37" s="14"/>
      <c r="I37" s="14"/>
      <c r="J37" s="14"/>
      <c r="K37" s="14"/>
    </row>
    <row r="38" spans="1:11">
      <c r="A38" s="120">
        <f t="shared" si="0"/>
        <v>32</v>
      </c>
      <c r="B38" s="517" t="s">
        <v>2063</v>
      </c>
      <c r="C38" s="14"/>
      <c r="D38" s="134" t="s">
        <v>2061</v>
      </c>
      <c r="E38" s="134" t="s">
        <v>187</v>
      </c>
      <c r="F38" s="14"/>
      <c r="G38" s="611" t="s">
        <v>2062</v>
      </c>
      <c r="H38" s="14"/>
      <c r="I38" s="14"/>
      <c r="J38" s="14"/>
      <c r="K38" s="14"/>
    </row>
    <row r="39" spans="1:11">
      <c r="A39" s="120">
        <f t="shared" si="0"/>
        <v>33</v>
      </c>
      <c r="B39" s="14"/>
      <c r="C39" s="517" t="s">
        <v>2064</v>
      </c>
      <c r="D39" s="1149">
        <v>215</v>
      </c>
      <c r="E39" s="134"/>
      <c r="F39" s="14"/>
      <c r="G39" s="1038" t="s">
        <v>1421</v>
      </c>
      <c r="H39" s="14"/>
      <c r="I39" s="14"/>
      <c r="J39" s="14"/>
      <c r="K39" s="14"/>
    </row>
    <row r="40" spans="1:11">
      <c r="A40" s="120">
        <f t="shared" si="0"/>
        <v>34</v>
      </c>
      <c r="B40" s="14"/>
      <c r="C40" s="517" t="s">
        <v>2065</v>
      </c>
      <c r="D40" s="1149">
        <v>999</v>
      </c>
      <c r="E40" s="134"/>
      <c r="F40" s="14"/>
      <c r="G40" s="14"/>
      <c r="H40" s="14"/>
      <c r="I40" s="14"/>
      <c r="J40" s="14"/>
      <c r="K40" s="14"/>
    </row>
    <row r="41" spans="1:11">
      <c r="A41" s="120">
        <f t="shared" si="0"/>
        <v>35</v>
      </c>
      <c r="B41" s="14"/>
      <c r="C41" s="517" t="s">
        <v>2066</v>
      </c>
      <c r="D41" s="122">
        <f>SUM(D39:D40)</f>
        <v>1214</v>
      </c>
      <c r="E41" s="15" t="str">
        <f>" = L"&amp;A39&amp;" + L"&amp;A40&amp;""</f>
        <v xml:space="preserve"> = L33 + L34</v>
      </c>
      <c r="F41" s="14"/>
      <c r="G41" s="14"/>
      <c r="H41" s="14"/>
      <c r="I41" s="14"/>
      <c r="J41" s="14"/>
      <c r="K41" s="14"/>
    </row>
    <row r="42" spans="1:11">
      <c r="A42" s="120">
        <f t="shared" si="0"/>
        <v>36</v>
      </c>
      <c r="B42" s="14"/>
      <c r="C42" s="517" t="s">
        <v>2068</v>
      </c>
      <c r="D42" s="1097">
        <f>D39/D41</f>
        <v>0.17710049423393739</v>
      </c>
      <c r="E42" s="15" t="str">
        <f>" = L"&amp;A39&amp;" / L"&amp;A41&amp;""</f>
        <v xml:space="preserve"> = L33 / L35</v>
      </c>
      <c r="F42" s="14"/>
      <c r="G42" s="14"/>
      <c r="H42" s="14"/>
      <c r="I42" s="14"/>
      <c r="J42" s="14"/>
      <c r="K42" s="14"/>
    </row>
    <row r="43" spans="1:11">
      <c r="A43" s="120">
        <f t="shared" si="0"/>
        <v>37</v>
      </c>
      <c r="B43" s="14"/>
      <c r="C43" s="14"/>
      <c r="D43" s="14"/>
      <c r="E43" s="14"/>
      <c r="F43" s="14"/>
      <c r="G43" s="14"/>
      <c r="H43" s="14"/>
      <c r="I43" s="14"/>
      <c r="J43" s="14"/>
      <c r="K43" s="14"/>
    </row>
    <row r="44" spans="1:11">
      <c r="A44" s="120">
        <f t="shared" si="0"/>
        <v>38</v>
      </c>
      <c r="B44" s="517" t="s">
        <v>2069</v>
      </c>
      <c r="C44" s="14"/>
      <c r="D44" s="134" t="s">
        <v>2061</v>
      </c>
      <c r="E44" s="134" t="s">
        <v>187</v>
      </c>
      <c r="F44" s="14"/>
      <c r="G44" s="611" t="s">
        <v>2062</v>
      </c>
      <c r="H44" s="14"/>
      <c r="I44" s="14"/>
      <c r="J44" s="14"/>
      <c r="K44" s="14"/>
    </row>
    <row r="45" spans="1:11">
      <c r="A45" s="120">
        <f t="shared" si="0"/>
        <v>39</v>
      </c>
      <c r="B45" s="14"/>
      <c r="C45" s="517" t="s">
        <v>2070</v>
      </c>
      <c r="D45" s="1150">
        <v>529</v>
      </c>
      <c r="E45" s="134"/>
      <c r="F45" s="14"/>
      <c r="G45" s="1038" t="s">
        <v>1422</v>
      </c>
      <c r="H45" s="14"/>
      <c r="I45" s="14"/>
      <c r="J45" s="14"/>
      <c r="K45" s="14"/>
    </row>
    <row r="46" spans="1:11">
      <c r="A46" s="120">
        <f t="shared" si="0"/>
        <v>40</v>
      </c>
      <c r="B46" s="14"/>
      <c r="C46" s="517" t="s">
        <v>2075</v>
      </c>
      <c r="D46" s="1150">
        <v>3310</v>
      </c>
      <c r="E46" s="134"/>
      <c r="F46" s="14"/>
      <c r="G46" s="14"/>
      <c r="H46" s="14"/>
      <c r="I46" s="14"/>
      <c r="J46" s="14"/>
      <c r="K46" s="14"/>
    </row>
    <row r="47" spans="1:11">
      <c r="A47" s="120">
        <f t="shared" si="0"/>
        <v>41</v>
      </c>
      <c r="B47" s="14"/>
      <c r="C47" s="517" t="s">
        <v>2071</v>
      </c>
      <c r="D47" s="122">
        <f>SUM(D45:D46)</f>
        <v>3839</v>
      </c>
      <c r="E47" s="15" t="str">
        <f>" = L"&amp;A45&amp;" + L"&amp;A46&amp;""</f>
        <v xml:space="preserve"> = L39 + L40</v>
      </c>
      <c r="F47" s="14"/>
      <c r="G47" s="14"/>
      <c r="H47" s="14"/>
      <c r="I47" s="14"/>
      <c r="J47" s="14"/>
      <c r="K47" s="14"/>
    </row>
    <row r="48" spans="1:11">
      <c r="A48" s="120">
        <f t="shared" si="0"/>
        <v>42</v>
      </c>
      <c r="B48" s="14"/>
      <c r="C48" s="517" t="s">
        <v>2072</v>
      </c>
      <c r="D48" s="1097">
        <f>D45/D47</f>
        <v>0.13779630112008334</v>
      </c>
      <c r="E48" s="15" t="str">
        <f>" = L"&amp;A45&amp;" / L"&amp;A47&amp;""</f>
        <v xml:space="preserve"> = L39 / L41</v>
      </c>
      <c r="F48" s="14"/>
      <c r="G48" s="14"/>
      <c r="H48" s="14"/>
      <c r="I48" s="14"/>
      <c r="J48" s="14"/>
      <c r="K48" s="14"/>
    </row>
    <row r="49" spans="1:11">
      <c r="A49" s="120">
        <f t="shared" si="0"/>
        <v>43</v>
      </c>
      <c r="B49" s="14"/>
      <c r="C49" s="14"/>
      <c r="D49" s="14"/>
      <c r="E49" s="14"/>
      <c r="F49" s="14"/>
      <c r="G49" s="14"/>
      <c r="H49" s="14"/>
      <c r="I49" s="14"/>
      <c r="J49" s="14"/>
      <c r="K49" s="14"/>
    </row>
    <row r="50" spans="1:11">
      <c r="A50" s="120">
        <f t="shared" si="0"/>
        <v>44</v>
      </c>
      <c r="B50" s="517" t="s">
        <v>2078</v>
      </c>
      <c r="C50" s="14"/>
      <c r="D50" s="134" t="s">
        <v>2061</v>
      </c>
      <c r="E50" s="134" t="s">
        <v>187</v>
      </c>
      <c r="F50" s="14"/>
      <c r="G50" s="611" t="s">
        <v>2062</v>
      </c>
      <c r="H50" s="14"/>
      <c r="I50" s="14"/>
      <c r="J50" s="14"/>
      <c r="K50" s="14"/>
    </row>
    <row r="51" spans="1:11">
      <c r="A51" s="120">
        <f t="shared" si="0"/>
        <v>45</v>
      </c>
      <c r="B51" s="14"/>
      <c r="C51" s="517" t="s">
        <v>2073</v>
      </c>
      <c r="D51" s="1151">
        <v>5683.4189999999999</v>
      </c>
      <c r="E51" s="134"/>
      <c r="F51" s="14"/>
      <c r="G51" s="1038" t="s">
        <v>1424</v>
      </c>
      <c r="H51" s="14"/>
      <c r="I51" s="14"/>
      <c r="J51" s="14"/>
      <c r="K51" s="14"/>
    </row>
    <row r="52" spans="1:11">
      <c r="A52" s="120">
        <f t="shared" si="0"/>
        <v>46</v>
      </c>
      <c r="B52" s="14"/>
      <c r="C52" s="517" t="s">
        <v>2074</v>
      </c>
      <c r="D52" s="1151">
        <v>6472.5049999999992</v>
      </c>
      <c r="E52" s="134"/>
      <c r="F52" s="14"/>
      <c r="G52" s="1038" t="s">
        <v>1448</v>
      </c>
      <c r="H52" s="14"/>
      <c r="I52" s="14"/>
      <c r="J52" s="14"/>
      <c r="K52" s="14"/>
    </row>
    <row r="53" spans="1:11">
      <c r="A53" s="120">
        <f t="shared" si="0"/>
        <v>47</v>
      </c>
      <c r="B53" s="14"/>
      <c r="C53" s="517" t="s">
        <v>2076</v>
      </c>
      <c r="D53" s="122">
        <f>SUM(D51:D52)</f>
        <v>12155.923999999999</v>
      </c>
      <c r="E53" s="15" t="str">
        <f>" = L"&amp;A51&amp;" + L"&amp;A52&amp;""</f>
        <v xml:space="preserve"> = L45 + L46</v>
      </c>
      <c r="F53" s="14"/>
      <c r="G53" s="1038" t="s">
        <v>1449</v>
      </c>
      <c r="H53" s="14"/>
      <c r="I53" s="14"/>
      <c r="J53" s="14"/>
      <c r="K53" s="14"/>
    </row>
    <row r="54" spans="1:11">
      <c r="A54" s="120">
        <f t="shared" si="0"/>
        <v>48</v>
      </c>
      <c r="B54" s="14"/>
      <c r="C54" s="517" t="s">
        <v>2077</v>
      </c>
      <c r="D54" s="1097">
        <f>D51/D53</f>
        <v>0.46754315015460779</v>
      </c>
      <c r="E54" s="15" t="str">
        <f>" = L"&amp;A51&amp;" / L"&amp;A53&amp;""</f>
        <v xml:space="preserve"> = L45 / L47</v>
      </c>
      <c r="F54" s="14"/>
      <c r="G54" s="1038" t="s">
        <v>1450</v>
      </c>
      <c r="H54" s="14"/>
      <c r="I54" s="14"/>
      <c r="J54" s="14"/>
      <c r="K54" s="14"/>
    </row>
    <row r="55" spans="1:11">
      <c r="A55" s="120">
        <f t="shared" si="0"/>
        <v>49</v>
      </c>
      <c r="B55" s="134"/>
      <c r="C55" s="134"/>
      <c r="D55" s="14"/>
      <c r="E55" s="134"/>
      <c r="F55" s="14"/>
      <c r="G55" s="134"/>
      <c r="H55" s="14"/>
      <c r="I55" s="14"/>
      <c r="J55" s="14"/>
      <c r="K55" s="14"/>
    </row>
    <row r="56" spans="1:11">
      <c r="A56" s="120">
        <f t="shared" si="0"/>
        <v>50</v>
      </c>
      <c r="B56" s="517" t="s">
        <v>2079</v>
      </c>
      <c r="C56" s="14"/>
      <c r="D56" s="134" t="s">
        <v>2061</v>
      </c>
      <c r="E56" s="134" t="s">
        <v>187</v>
      </c>
      <c r="F56" s="14"/>
      <c r="G56" s="611" t="s">
        <v>2062</v>
      </c>
      <c r="H56" s="14"/>
      <c r="I56" s="14"/>
      <c r="J56" s="14"/>
      <c r="K56" s="14"/>
    </row>
    <row r="57" spans="1:11">
      <c r="A57" s="120">
        <f t="shared" si="0"/>
        <v>51</v>
      </c>
      <c r="B57" s="1004"/>
      <c r="C57" s="517" t="s">
        <v>2080</v>
      </c>
      <c r="D57" s="1152">
        <v>5.2130000000000001</v>
      </c>
      <c r="E57" s="134"/>
      <c r="F57" s="14"/>
      <c r="G57" s="1038" t="s">
        <v>1425</v>
      </c>
      <c r="H57" s="14"/>
      <c r="I57" s="14"/>
      <c r="J57" s="14"/>
      <c r="K57" s="14"/>
    </row>
    <row r="58" spans="1:11">
      <c r="A58" s="120">
        <f t="shared" si="0"/>
        <v>52</v>
      </c>
      <c r="B58" s="1004"/>
      <c r="C58" s="517" t="s">
        <v>2081</v>
      </c>
      <c r="D58" s="1152">
        <v>354.96499999999997</v>
      </c>
      <c r="E58" s="134"/>
      <c r="F58" s="14"/>
      <c r="G58" s="1038" t="s">
        <v>1452</v>
      </c>
      <c r="H58" s="14"/>
      <c r="I58" s="14"/>
      <c r="J58" s="14"/>
      <c r="K58" s="14"/>
    </row>
    <row r="59" spans="1:11">
      <c r="A59" s="120">
        <f t="shared" si="0"/>
        <v>53</v>
      </c>
      <c r="B59" s="1004"/>
      <c r="C59" s="517" t="s">
        <v>2082</v>
      </c>
      <c r="D59" s="122">
        <f>SUM(D57:D58)</f>
        <v>360.178</v>
      </c>
      <c r="E59" s="15" t="str">
        <f>" = L"&amp;A57&amp;" + L"&amp;A58&amp;""</f>
        <v xml:space="preserve"> = L51 + L52</v>
      </c>
      <c r="F59" s="14"/>
      <c r="G59" s="14"/>
      <c r="H59" s="14"/>
      <c r="I59" s="14"/>
      <c r="J59" s="14"/>
      <c r="K59" s="14"/>
    </row>
    <row r="60" spans="1:11">
      <c r="A60" s="120">
        <f t="shared" si="0"/>
        <v>54</v>
      </c>
      <c r="B60" s="1004"/>
      <c r="C60" s="517" t="s">
        <v>2083</v>
      </c>
      <c r="D60" s="1097">
        <f>D57/D59</f>
        <v>1.4473399263697395E-2</v>
      </c>
      <c r="E60" s="15" t="str">
        <f>" = L"&amp;A57&amp;" / L"&amp;A59&amp;""</f>
        <v xml:space="preserve"> = L51 / L53</v>
      </c>
      <c r="F60" s="14"/>
      <c r="G60" s="14"/>
      <c r="H60" s="14"/>
      <c r="I60" s="14"/>
      <c r="J60" s="14"/>
      <c r="K60" s="14"/>
    </row>
    <row r="61" spans="1:11">
      <c r="A61" s="120">
        <f t="shared" si="0"/>
        <v>55</v>
      </c>
      <c r="B61" s="1004"/>
      <c r="C61" s="123"/>
      <c r="D61" s="14"/>
      <c r="E61" s="134"/>
      <c r="F61" s="14"/>
      <c r="G61" s="65"/>
      <c r="H61" s="14"/>
      <c r="I61" s="14"/>
      <c r="J61" s="14"/>
      <c r="K61" s="14"/>
    </row>
    <row r="62" spans="1:11">
      <c r="A62" s="120">
        <f t="shared" si="0"/>
        <v>56</v>
      </c>
      <c r="B62" s="517" t="s">
        <v>2246</v>
      </c>
      <c r="C62" s="14"/>
      <c r="D62" s="134" t="s">
        <v>2061</v>
      </c>
      <c r="E62" s="134" t="s">
        <v>187</v>
      </c>
      <c r="F62" s="14"/>
      <c r="G62" s="611" t="s">
        <v>2062</v>
      </c>
      <c r="H62" s="14"/>
      <c r="I62" s="14"/>
      <c r="J62" s="14"/>
      <c r="K62" s="14"/>
    </row>
    <row r="63" spans="1:11">
      <c r="A63" s="120">
        <f t="shared" ref="A63:A124" si="1">A62+1</f>
        <v>57</v>
      </c>
      <c r="B63" s="1004"/>
      <c r="C63" s="517" t="s">
        <v>2084</v>
      </c>
      <c r="D63" s="1153">
        <v>6071296.4699999923</v>
      </c>
      <c r="E63" s="134"/>
      <c r="F63" s="14"/>
      <c r="G63" s="1038" t="s">
        <v>1435</v>
      </c>
      <c r="H63" s="14"/>
      <c r="I63" s="14"/>
      <c r="J63" s="14"/>
      <c r="K63" s="14"/>
    </row>
    <row r="64" spans="1:11">
      <c r="A64" s="120">
        <f t="shared" si="1"/>
        <v>58</v>
      </c>
      <c r="B64" s="1004"/>
      <c r="C64" s="517" t="s">
        <v>2085</v>
      </c>
      <c r="D64" s="1153">
        <v>2830262.54</v>
      </c>
      <c r="E64" s="134"/>
      <c r="F64" s="14"/>
      <c r="G64" s="1038"/>
      <c r="H64" s="14"/>
      <c r="I64" s="14"/>
      <c r="J64" s="14"/>
      <c r="K64" s="14"/>
    </row>
    <row r="65" spans="1:11">
      <c r="A65" s="120">
        <f t="shared" si="1"/>
        <v>59</v>
      </c>
      <c r="B65" s="1004"/>
      <c r="C65" s="517" t="s">
        <v>2086</v>
      </c>
      <c r="D65" s="122">
        <f>SUM(D63:D64)</f>
        <v>8901559.0099999923</v>
      </c>
      <c r="E65" s="15" t="str">
        <f>" = L"&amp;A63&amp;" + L"&amp;A64&amp;""</f>
        <v xml:space="preserve"> = L57 + L58</v>
      </c>
      <c r="F65" s="14"/>
      <c r="G65" s="14"/>
      <c r="H65" s="14"/>
      <c r="I65" s="14"/>
      <c r="J65" s="14"/>
      <c r="K65" s="14"/>
    </row>
    <row r="66" spans="1:11">
      <c r="A66" s="120">
        <f t="shared" si="1"/>
        <v>60</v>
      </c>
      <c r="B66" s="1004"/>
      <c r="C66" s="517" t="s">
        <v>2087</v>
      </c>
      <c r="D66" s="1097">
        <f>D63/D65</f>
        <v>0.68204866846127865</v>
      </c>
      <c r="E66" s="15" t="str">
        <f>" = L"&amp;A63&amp;" / L"&amp;A65&amp;""</f>
        <v xml:space="preserve"> = L57 / L59</v>
      </c>
      <c r="F66" s="14"/>
      <c r="G66" s="14"/>
      <c r="H66" s="14"/>
      <c r="I66" s="14"/>
      <c r="J66" s="14"/>
      <c r="K66" s="14"/>
    </row>
    <row r="67" spans="1:11">
      <c r="A67" s="120">
        <f t="shared" si="1"/>
        <v>61</v>
      </c>
      <c r="B67" s="1096"/>
      <c r="C67" s="134"/>
      <c r="D67" s="14"/>
      <c r="E67" s="1097"/>
      <c r="F67" s="14"/>
      <c r="G67" s="14"/>
      <c r="H67" s="14"/>
      <c r="I67" s="14"/>
      <c r="J67" s="14"/>
      <c r="K67" s="14"/>
    </row>
    <row r="68" spans="1:11">
      <c r="A68" s="120">
        <f t="shared" si="1"/>
        <v>62</v>
      </c>
      <c r="B68" s="517" t="s">
        <v>2247</v>
      </c>
      <c r="C68" s="14"/>
      <c r="D68" s="134" t="s">
        <v>2061</v>
      </c>
      <c r="E68" s="134" t="s">
        <v>187</v>
      </c>
      <c r="F68" s="14"/>
      <c r="G68" s="611" t="s">
        <v>2062</v>
      </c>
      <c r="H68" s="14"/>
      <c r="I68" s="14"/>
      <c r="J68" s="14"/>
      <c r="K68" s="14"/>
    </row>
    <row r="69" spans="1:11">
      <c r="A69" s="120">
        <f t="shared" si="1"/>
        <v>63</v>
      </c>
      <c r="B69" s="1004"/>
      <c r="C69" s="517" t="s">
        <v>2088</v>
      </c>
      <c r="D69" s="1154">
        <v>377.33300000000003</v>
      </c>
      <c r="E69" s="134"/>
      <c r="F69" s="14"/>
      <c r="G69" s="1038" t="s">
        <v>1436</v>
      </c>
      <c r="H69" s="14"/>
      <c r="I69" s="14"/>
      <c r="J69" s="14"/>
      <c r="K69" s="14"/>
    </row>
    <row r="70" spans="1:11">
      <c r="A70" s="120">
        <f t="shared" si="1"/>
        <v>64</v>
      </c>
      <c r="B70" s="1004"/>
      <c r="C70" s="517" t="s">
        <v>2089</v>
      </c>
      <c r="D70" s="1154">
        <v>38.217000000000041</v>
      </c>
      <c r="E70" s="134"/>
      <c r="F70" s="14"/>
      <c r="G70" s="1038"/>
      <c r="H70" s="14"/>
      <c r="I70" s="14"/>
      <c r="J70" s="14"/>
      <c r="K70" s="14"/>
    </row>
    <row r="71" spans="1:11">
      <c r="A71" s="120">
        <f t="shared" si="1"/>
        <v>65</v>
      </c>
      <c r="B71" s="1004"/>
      <c r="C71" s="517" t="s">
        <v>2090</v>
      </c>
      <c r="D71" s="122">
        <f>SUM(D69:D70)</f>
        <v>415.55000000000007</v>
      </c>
      <c r="E71" s="15" t="str">
        <f>" = L"&amp;A69&amp;" + L"&amp;A70&amp;""</f>
        <v xml:space="preserve"> = L63 + L64</v>
      </c>
      <c r="F71" s="14"/>
      <c r="G71" s="14"/>
      <c r="H71" s="14"/>
      <c r="I71" s="14"/>
      <c r="J71" s="14"/>
      <c r="K71" s="14"/>
    </row>
    <row r="72" spans="1:11">
      <c r="A72" s="120">
        <f t="shared" si="1"/>
        <v>66</v>
      </c>
      <c r="B72" s="1004"/>
      <c r="C72" s="517" t="s">
        <v>2091</v>
      </c>
      <c r="D72" s="1097">
        <f>D69/D71</f>
        <v>0.90803272771026344</v>
      </c>
      <c r="E72" s="15" t="str">
        <f>" = L"&amp;A69&amp;" / L"&amp;A71&amp;""</f>
        <v xml:space="preserve"> = L63 / L65</v>
      </c>
      <c r="F72" s="14"/>
      <c r="G72" s="14"/>
      <c r="H72" s="14"/>
      <c r="I72" s="14"/>
      <c r="J72" s="14"/>
      <c r="K72" s="14"/>
    </row>
    <row r="73" spans="1:11">
      <c r="A73" s="120">
        <f t="shared" si="1"/>
        <v>67</v>
      </c>
      <c r="B73" s="45"/>
      <c r="C73" s="14"/>
      <c r="D73" s="14"/>
      <c r="E73" s="14"/>
      <c r="F73" s="14"/>
      <c r="G73" s="14"/>
      <c r="H73" s="14"/>
      <c r="I73" s="14"/>
      <c r="J73" s="14"/>
      <c r="K73" s="14"/>
    </row>
    <row r="74" spans="1:11">
      <c r="A74" s="120">
        <f t="shared" si="1"/>
        <v>68</v>
      </c>
      <c r="B74" s="517" t="s">
        <v>2248</v>
      </c>
      <c r="C74" s="14"/>
      <c r="D74" s="134" t="s">
        <v>2061</v>
      </c>
      <c r="E74" s="134" t="s">
        <v>187</v>
      </c>
      <c r="F74" s="14"/>
      <c r="G74" s="611" t="s">
        <v>2062</v>
      </c>
      <c r="H74" s="14"/>
      <c r="I74" s="14"/>
      <c r="J74" s="14"/>
      <c r="K74" s="14"/>
    </row>
    <row r="75" spans="1:11">
      <c r="A75" s="120">
        <f t="shared" si="1"/>
        <v>69</v>
      </c>
      <c r="B75" s="1004"/>
      <c r="C75" s="517" t="s">
        <v>2092</v>
      </c>
      <c r="D75" s="107">
        <v>142</v>
      </c>
      <c r="E75" s="134"/>
      <c r="F75" s="14"/>
      <c r="G75" s="1038" t="s">
        <v>1443</v>
      </c>
      <c r="H75" s="14"/>
      <c r="I75" s="14"/>
      <c r="J75" s="14"/>
      <c r="K75" s="14"/>
    </row>
    <row r="76" spans="1:11">
      <c r="A76" s="120">
        <f t="shared" si="1"/>
        <v>70</v>
      </c>
      <c r="B76" s="1004"/>
      <c r="C76" s="517" t="s">
        <v>2093</v>
      </c>
      <c r="D76" s="107">
        <v>468</v>
      </c>
      <c r="E76" s="134"/>
      <c r="F76" s="14"/>
      <c r="G76" s="1038"/>
      <c r="H76" s="14"/>
      <c r="I76" s="14"/>
      <c r="J76" s="14"/>
      <c r="K76" s="14"/>
    </row>
    <row r="77" spans="1:11">
      <c r="A77" s="120">
        <f t="shared" si="1"/>
        <v>71</v>
      </c>
      <c r="B77" s="1004"/>
      <c r="C77" s="517" t="s">
        <v>2094</v>
      </c>
      <c r="D77" s="122">
        <f>SUM(D75:D76)</f>
        <v>610</v>
      </c>
      <c r="E77" s="15" t="str">
        <f>" = L"&amp;A75&amp;" + L"&amp;A76&amp;""</f>
        <v xml:space="preserve"> = L69 + L70</v>
      </c>
      <c r="F77" s="14"/>
      <c r="G77" s="14"/>
      <c r="H77" s="14"/>
      <c r="I77" s="14"/>
      <c r="J77" s="14"/>
      <c r="K77" s="14"/>
    </row>
    <row r="78" spans="1:11">
      <c r="A78" s="120">
        <f t="shared" si="1"/>
        <v>72</v>
      </c>
      <c r="B78" s="1004"/>
      <c r="C78" s="517" t="s">
        <v>2095</v>
      </c>
      <c r="D78" s="1097">
        <f>D75/D77</f>
        <v>0.23278688524590163</v>
      </c>
      <c r="E78" s="15" t="str">
        <f>" = L"&amp;A75&amp;" / L"&amp;A77&amp;""</f>
        <v xml:space="preserve"> = L69 / L71</v>
      </c>
      <c r="F78" s="14"/>
      <c r="G78" s="14"/>
      <c r="H78" s="14"/>
      <c r="I78" s="14"/>
      <c r="J78" s="14"/>
      <c r="K78" s="14"/>
    </row>
    <row r="79" spans="1:11">
      <c r="A79" s="120">
        <f t="shared" si="1"/>
        <v>73</v>
      </c>
      <c r="B79" s="14"/>
      <c r="C79" s="14"/>
      <c r="D79" s="14"/>
      <c r="E79" s="14"/>
      <c r="F79" s="14"/>
      <c r="G79" s="14"/>
      <c r="H79" s="14"/>
      <c r="I79" s="14"/>
      <c r="J79" s="14"/>
      <c r="K79" s="14"/>
    </row>
    <row r="80" spans="1:11">
      <c r="A80" s="120">
        <f t="shared" si="1"/>
        <v>74</v>
      </c>
      <c r="B80" s="517" t="s">
        <v>2249</v>
      </c>
      <c r="C80" s="14"/>
      <c r="D80" s="134" t="s">
        <v>2061</v>
      </c>
      <c r="E80" s="134" t="s">
        <v>187</v>
      </c>
      <c r="F80" s="14"/>
      <c r="G80" s="611" t="s">
        <v>2062</v>
      </c>
      <c r="H80" s="14"/>
      <c r="I80" s="14"/>
      <c r="J80" s="14"/>
      <c r="K80" s="14"/>
    </row>
    <row r="81" spans="1:11">
      <c r="A81" s="120">
        <f t="shared" si="1"/>
        <v>75</v>
      </c>
      <c r="B81" s="1004"/>
      <c r="C81" s="517" t="s">
        <v>2096</v>
      </c>
      <c r="D81" s="1155">
        <v>1205</v>
      </c>
      <c r="E81" s="134"/>
      <c r="F81" s="14"/>
      <c r="G81" s="1038" t="s">
        <v>1444</v>
      </c>
      <c r="H81" s="14"/>
      <c r="I81" s="14"/>
      <c r="J81" s="14"/>
      <c r="K81" s="14"/>
    </row>
    <row r="82" spans="1:11">
      <c r="A82" s="120">
        <f t="shared" si="1"/>
        <v>76</v>
      </c>
      <c r="B82" s="1004"/>
      <c r="C82" s="517" t="s">
        <v>2097</v>
      </c>
      <c r="D82" s="1155">
        <v>2083</v>
      </c>
      <c r="E82" s="134"/>
      <c r="F82" s="14"/>
      <c r="G82" s="1038"/>
      <c r="H82" s="14"/>
      <c r="I82" s="14"/>
      <c r="J82" s="14"/>
      <c r="K82" s="14"/>
    </row>
    <row r="83" spans="1:11">
      <c r="A83" s="120">
        <f t="shared" si="1"/>
        <v>77</v>
      </c>
      <c r="B83" s="1004"/>
      <c r="C83" s="517" t="s">
        <v>2098</v>
      </c>
      <c r="D83" s="122">
        <f>SUM(D81:D82)</f>
        <v>3288</v>
      </c>
      <c r="E83" s="15" t="str">
        <f>" = L"&amp;A81&amp;" + L"&amp;A82&amp;""</f>
        <v xml:space="preserve"> = L75 + L76</v>
      </c>
      <c r="F83" s="14"/>
      <c r="G83" s="14"/>
      <c r="H83" s="14"/>
      <c r="I83" s="14"/>
      <c r="J83" s="14"/>
      <c r="K83" s="14"/>
    </row>
    <row r="84" spans="1:11">
      <c r="A84" s="120">
        <f t="shared" si="1"/>
        <v>78</v>
      </c>
      <c r="B84" s="1004"/>
      <c r="C84" s="517" t="s">
        <v>2099</v>
      </c>
      <c r="D84" s="1097">
        <f>D81/D83</f>
        <v>0.36648418491484186</v>
      </c>
      <c r="E84" s="15" t="str">
        <f>" = L"&amp;A81&amp;" / L"&amp;A83&amp;""</f>
        <v xml:space="preserve"> = L75 / L77</v>
      </c>
      <c r="F84" s="14"/>
      <c r="G84" s="14"/>
      <c r="H84" s="14"/>
      <c r="I84" s="14"/>
      <c r="J84" s="14"/>
      <c r="K84" s="14"/>
    </row>
    <row r="85" spans="1:11">
      <c r="A85" s="120">
        <f t="shared" si="1"/>
        <v>79</v>
      </c>
      <c r="B85" s="14"/>
      <c r="C85" s="86"/>
      <c r="D85" s="14"/>
      <c r="E85" s="14"/>
      <c r="F85" s="14"/>
      <c r="G85" s="14"/>
      <c r="H85" s="14"/>
      <c r="I85" s="14"/>
      <c r="J85" s="14"/>
      <c r="K85" s="14"/>
    </row>
    <row r="86" spans="1:11">
      <c r="A86" s="120">
        <f t="shared" si="1"/>
        <v>80</v>
      </c>
      <c r="B86" s="517" t="s">
        <v>2250</v>
      </c>
      <c r="C86" s="14"/>
      <c r="D86" s="134" t="s">
        <v>2061</v>
      </c>
      <c r="E86" s="134" t="s">
        <v>187</v>
      </c>
      <c r="F86" s="14"/>
      <c r="G86" s="611" t="s">
        <v>2062</v>
      </c>
      <c r="H86" s="14"/>
      <c r="I86" s="14"/>
      <c r="J86" s="14"/>
      <c r="K86" s="14"/>
    </row>
    <row r="87" spans="1:11">
      <c r="A87" s="120">
        <f t="shared" si="1"/>
        <v>81</v>
      </c>
      <c r="B87" s="1004"/>
      <c r="C87" s="517" t="s">
        <v>2100</v>
      </c>
      <c r="D87" s="107">
        <v>340</v>
      </c>
      <c r="E87" s="134"/>
      <c r="F87" s="14"/>
      <c r="G87" s="1038" t="s">
        <v>1445</v>
      </c>
      <c r="H87" s="14"/>
      <c r="I87" s="14"/>
      <c r="J87" s="14"/>
      <c r="K87" s="14"/>
    </row>
    <row r="88" spans="1:11">
      <c r="A88" s="120">
        <f t="shared" si="1"/>
        <v>82</v>
      </c>
      <c r="B88" s="1004"/>
      <c r="C88" s="517" t="s">
        <v>2101</v>
      </c>
      <c r="D88" s="107">
        <v>171</v>
      </c>
      <c r="E88" s="134"/>
      <c r="F88" s="14"/>
      <c r="G88" s="1038"/>
      <c r="H88" s="14"/>
      <c r="I88" s="14"/>
      <c r="J88" s="14"/>
      <c r="K88" s="14"/>
    </row>
    <row r="89" spans="1:11">
      <c r="A89" s="120">
        <f t="shared" si="1"/>
        <v>83</v>
      </c>
      <c r="B89" s="1004"/>
      <c r="C89" s="517" t="s">
        <v>2102</v>
      </c>
      <c r="D89" s="122">
        <f>SUM(D87:D88)</f>
        <v>511</v>
      </c>
      <c r="E89" s="15" t="str">
        <f>" = L"&amp;A87&amp;" + L"&amp;A88&amp;""</f>
        <v xml:space="preserve"> = L81 + L82</v>
      </c>
      <c r="F89" s="14"/>
      <c r="G89" s="14"/>
      <c r="H89" s="14"/>
      <c r="I89" s="14"/>
      <c r="J89" s="14"/>
      <c r="K89" s="14"/>
    </row>
    <row r="90" spans="1:11">
      <c r="A90" s="120">
        <f t="shared" si="1"/>
        <v>84</v>
      </c>
      <c r="B90" s="1004"/>
      <c r="C90" s="517" t="s">
        <v>2103</v>
      </c>
      <c r="D90" s="1097">
        <f>D87/D89</f>
        <v>0.66536203522504889</v>
      </c>
      <c r="E90" s="15" t="str">
        <f>" = L"&amp;A87&amp;" / L"&amp;A89&amp;""</f>
        <v xml:space="preserve"> = L81 / L83</v>
      </c>
      <c r="F90" s="14"/>
      <c r="G90" s="14"/>
      <c r="H90" s="14"/>
      <c r="I90" s="14"/>
      <c r="J90" s="14"/>
      <c r="K90" s="14"/>
    </row>
    <row r="91" spans="1:11">
      <c r="A91" s="120">
        <f t="shared" si="1"/>
        <v>85</v>
      </c>
      <c r="B91" s="14"/>
      <c r="C91" s="14"/>
      <c r="D91" s="14"/>
      <c r="E91" s="14"/>
      <c r="F91" s="14"/>
      <c r="G91" s="14"/>
      <c r="H91" s="14"/>
      <c r="I91" s="14"/>
      <c r="J91" s="14"/>
      <c r="K91" s="14"/>
    </row>
    <row r="92" spans="1:11">
      <c r="A92" s="120">
        <f t="shared" si="1"/>
        <v>86</v>
      </c>
      <c r="B92" s="517" t="s">
        <v>2251</v>
      </c>
      <c r="C92" s="14"/>
      <c r="D92" s="134" t="s">
        <v>2061</v>
      </c>
      <c r="E92" s="134" t="s">
        <v>187</v>
      </c>
      <c r="F92" s="14"/>
      <c r="G92" s="611" t="s">
        <v>2062</v>
      </c>
      <c r="H92" s="14"/>
      <c r="I92" s="14"/>
      <c r="J92" s="14"/>
      <c r="K92" s="14"/>
    </row>
    <row r="93" spans="1:11">
      <c r="A93" s="120">
        <f t="shared" si="1"/>
        <v>87</v>
      </c>
      <c r="B93" s="1004"/>
      <c r="C93" s="517" t="s">
        <v>2104</v>
      </c>
      <c r="D93" s="107">
        <v>1396026.7209158116</v>
      </c>
      <c r="E93" s="134"/>
      <c r="F93" s="14"/>
      <c r="G93" s="14" t="s">
        <v>1834</v>
      </c>
      <c r="H93" s="14"/>
      <c r="I93" s="14"/>
      <c r="J93" s="14"/>
      <c r="K93" s="14"/>
    </row>
    <row r="94" spans="1:11">
      <c r="A94" s="120">
        <f t="shared" si="1"/>
        <v>88</v>
      </c>
      <c r="B94" s="1004"/>
      <c r="C94" s="517" t="s">
        <v>2105</v>
      </c>
      <c r="D94" s="107">
        <v>4116504.7290841886</v>
      </c>
      <c r="E94" s="134"/>
      <c r="F94" s="14"/>
      <c r="G94" s="1038"/>
      <c r="H94" s="14"/>
      <c r="I94" s="14"/>
      <c r="J94" s="14"/>
      <c r="K94" s="14"/>
    </row>
    <row r="95" spans="1:11">
      <c r="A95" s="120">
        <f t="shared" si="1"/>
        <v>89</v>
      </c>
      <c r="B95" s="1004"/>
      <c r="C95" s="517" t="s">
        <v>2106</v>
      </c>
      <c r="D95" s="122">
        <f>SUM(D93:D94)</f>
        <v>5512531.4500000002</v>
      </c>
      <c r="E95" s="15" t="str">
        <f>" = L"&amp;A93&amp;" + L"&amp;A94&amp;""</f>
        <v xml:space="preserve"> = L87 + L88</v>
      </c>
      <c r="F95" s="14"/>
      <c r="G95" s="14"/>
      <c r="H95" s="14"/>
      <c r="I95" s="14"/>
      <c r="J95" s="14"/>
      <c r="K95" s="14"/>
    </row>
    <row r="96" spans="1:11">
      <c r="A96" s="120">
        <f t="shared" si="1"/>
        <v>90</v>
      </c>
      <c r="B96" s="1004"/>
      <c r="C96" s="517" t="s">
        <v>2107</v>
      </c>
      <c r="D96" s="1097">
        <f>D93/D95</f>
        <v>0.25324603289398223</v>
      </c>
      <c r="E96" s="15" t="str">
        <f>" = L"&amp;A93&amp;" / L"&amp;A95&amp;""</f>
        <v xml:space="preserve"> = L87 / L89</v>
      </c>
      <c r="F96" s="14"/>
      <c r="G96" s="14"/>
      <c r="H96" s="14"/>
      <c r="I96" s="14"/>
      <c r="J96" s="14"/>
      <c r="K96" s="14"/>
    </row>
    <row r="97" spans="1:11">
      <c r="A97" s="120">
        <f t="shared" si="1"/>
        <v>91</v>
      </c>
      <c r="B97" s="14"/>
      <c r="C97" s="14"/>
      <c r="D97" s="14"/>
      <c r="E97" s="14"/>
      <c r="F97" s="14"/>
      <c r="G97" s="14"/>
      <c r="H97" s="14"/>
      <c r="I97" s="14"/>
      <c r="J97" s="14"/>
      <c r="K97" s="14"/>
    </row>
    <row r="98" spans="1:11">
      <c r="A98" s="120">
        <f t="shared" si="1"/>
        <v>92</v>
      </c>
      <c r="B98" s="517" t="s">
        <v>2252</v>
      </c>
      <c r="C98" s="14"/>
      <c r="D98" s="134" t="s">
        <v>2061</v>
      </c>
      <c r="E98" s="134" t="s">
        <v>187</v>
      </c>
      <c r="F98" s="14"/>
      <c r="G98" s="611" t="s">
        <v>2062</v>
      </c>
      <c r="H98" s="14"/>
      <c r="I98" s="14"/>
      <c r="J98" s="14"/>
      <c r="K98" s="14"/>
    </row>
    <row r="99" spans="1:11">
      <c r="A99" s="120">
        <f t="shared" si="1"/>
        <v>93</v>
      </c>
      <c r="B99" s="1004"/>
      <c r="C99" s="517" t="s">
        <v>2108</v>
      </c>
      <c r="D99" s="107">
        <v>1827708.1924818761</v>
      </c>
      <c r="E99" s="134"/>
      <c r="F99" s="14"/>
      <c r="G99" s="1038" t="s">
        <v>1643</v>
      </c>
      <c r="H99" s="14"/>
      <c r="I99" s="14"/>
      <c r="J99" s="14"/>
      <c r="K99" s="14"/>
    </row>
    <row r="100" spans="1:11">
      <c r="A100" s="120">
        <f t="shared" si="1"/>
        <v>94</v>
      </c>
      <c r="B100" s="1004"/>
      <c r="C100" s="517" t="s">
        <v>2109</v>
      </c>
      <c r="D100" s="107">
        <v>4810705.6575181223</v>
      </c>
      <c r="E100" s="134"/>
      <c r="F100" s="14"/>
      <c r="G100" s="1038"/>
      <c r="H100" s="14"/>
      <c r="I100" s="14"/>
      <c r="J100" s="14"/>
      <c r="K100" s="14"/>
    </row>
    <row r="101" spans="1:11">
      <c r="A101" s="120">
        <f t="shared" si="1"/>
        <v>95</v>
      </c>
      <c r="B101" s="1004"/>
      <c r="C101" s="517" t="s">
        <v>2110</v>
      </c>
      <c r="D101" s="122">
        <f>SUM(D99:D100)</f>
        <v>6638413.8499999987</v>
      </c>
      <c r="E101" s="15" t="str">
        <f>" = L"&amp;A99&amp;" + L"&amp;A100&amp;""</f>
        <v xml:space="preserve"> = L93 + L94</v>
      </c>
      <c r="F101" s="14"/>
      <c r="G101" s="14"/>
      <c r="H101" s="14"/>
      <c r="I101" s="14"/>
      <c r="J101" s="14"/>
      <c r="K101" s="14"/>
    </row>
    <row r="102" spans="1:11">
      <c r="A102" s="120">
        <f t="shared" si="1"/>
        <v>96</v>
      </c>
      <c r="B102" s="1004"/>
      <c r="C102" s="517" t="s">
        <v>2111</v>
      </c>
      <c r="D102" s="1097">
        <f>D99/D101</f>
        <v>0.27532302652114354</v>
      </c>
      <c r="E102" s="15" t="str">
        <f>" = L"&amp;A99&amp;" / L"&amp;A101&amp;""</f>
        <v xml:space="preserve"> = L93 / L95</v>
      </c>
      <c r="F102" s="14"/>
      <c r="G102" s="14"/>
      <c r="H102" s="14"/>
      <c r="I102" s="14"/>
      <c r="J102" s="14"/>
      <c r="K102" s="14"/>
    </row>
    <row r="103" spans="1:11">
      <c r="A103" s="120">
        <f t="shared" si="1"/>
        <v>97</v>
      </c>
      <c r="B103" s="14"/>
      <c r="C103" s="14"/>
      <c r="D103" s="14"/>
      <c r="E103" s="14"/>
      <c r="F103" s="14"/>
      <c r="G103" s="14"/>
      <c r="H103" s="14"/>
      <c r="I103" s="14"/>
      <c r="J103" s="14"/>
      <c r="K103" s="14"/>
    </row>
    <row r="104" spans="1:11">
      <c r="A104" s="120">
        <f t="shared" si="1"/>
        <v>98</v>
      </c>
      <c r="B104" s="517" t="s">
        <v>2253</v>
      </c>
      <c r="C104" s="14"/>
      <c r="D104" s="134" t="s">
        <v>2061</v>
      </c>
      <c r="E104" s="134" t="s">
        <v>187</v>
      </c>
      <c r="F104" s="14"/>
      <c r="G104" s="611" t="s">
        <v>2062</v>
      </c>
      <c r="H104" s="14"/>
      <c r="I104" s="14"/>
      <c r="J104" s="14"/>
      <c r="K104" s="14"/>
    </row>
    <row r="105" spans="1:11">
      <c r="A105" s="120">
        <f t="shared" si="1"/>
        <v>99</v>
      </c>
      <c r="B105" s="1004"/>
      <c r="C105" s="517" t="s">
        <v>2112</v>
      </c>
      <c r="D105" s="107">
        <v>1343855.8501751106</v>
      </c>
      <c r="E105" s="134"/>
      <c r="F105" s="14"/>
      <c r="G105" s="1038" t="s">
        <v>1454</v>
      </c>
      <c r="H105" s="14"/>
      <c r="I105" s="14"/>
      <c r="J105" s="14"/>
      <c r="K105" s="14"/>
    </row>
    <row r="106" spans="1:11">
      <c r="A106" s="120">
        <f t="shared" si="1"/>
        <v>100</v>
      </c>
      <c r="B106" s="1004"/>
      <c r="C106" s="517" t="s">
        <v>2113</v>
      </c>
      <c r="D106" s="107">
        <v>1627077.7798248893</v>
      </c>
      <c r="E106" s="134"/>
      <c r="F106" s="14"/>
      <c r="G106" s="1038"/>
      <c r="H106" s="14"/>
      <c r="I106" s="14"/>
      <c r="J106" s="14"/>
      <c r="K106" s="14"/>
    </row>
    <row r="107" spans="1:11">
      <c r="A107" s="120">
        <f t="shared" si="1"/>
        <v>101</v>
      </c>
      <c r="B107" s="1004"/>
      <c r="C107" s="517" t="s">
        <v>2114</v>
      </c>
      <c r="D107" s="122">
        <f>SUM(D105:D106)</f>
        <v>2970933.63</v>
      </c>
      <c r="E107" s="15" t="str">
        <f>" = L"&amp;A105&amp;" + L"&amp;A106&amp;""</f>
        <v xml:space="preserve"> = L99 + L100</v>
      </c>
      <c r="F107" s="14"/>
      <c r="G107" s="14"/>
      <c r="H107" s="14"/>
      <c r="I107" s="14"/>
      <c r="J107" s="14"/>
      <c r="K107" s="14"/>
    </row>
    <row r="108" spans="1:11">
      <c r="A108" s="120">
        <f t="shared" si="1"/>
        <v>102</v>
      </c>
      <c r="B108" s="1004"/>
      <c r="C108" s="517" t="s">
        <v>2115</v>
      </c>
      <c r="D108" s="1097">
        <f>D105/D107</f>
        <v>0.45233452427380905</v>
      </c>
      <c r="E108" s="15" t="str">
        <f>" = L"&amp;A105&amp;" / L"&amp;A107&amp;""</f>
        <v xml:space="preserve"> = L99 / L101</v>
      </c>
      <c r="F108" s="14"/>
      <c r="G108" s="14"/>
      <c r="H108" s="14"/>
      <c r="I108" s="14"/>
      <c r="J108" s="14"/>
      <c r="K108" s="14"/>
    </row>
    <row r="109" spans="1:11">
      <c r="A109" s="120">
        <f t="shared" si="1"/>
        <v>103</v>
      </c>
      <c r="B109" s="14"/>
      <c r="C109" s="14"/>
      <c r="D109" s="14"/>
      <c r="E109" s="14"/>
      <c r="F109" s="14"/>
      <c r="G109" s="14"/>
      <c r="H109" s="14"/>
      <c r="I109" s="14"/>
      <c r="J109" s="14"/>
      <c r="K109" s="14"/>
    </row>
    <row r="110" spans="1:11">
      <c r="A110" s="120">
        <f t="shared" si="1"/>
        <v>104</v>
      </c>
      <c r="B110" s="517" t="s">
        <v>2254</v>
      </c>
      <c r="C110" s="14"/>
      <c r="D110" s="134" t="s">
        <v>2061</v>
      </c>
      <c r="E110" s="134" t="s">
        <v>187</v>
      </c>
      <c r="F110" s="14"/>
      <c r="G110" s="611" t="s">
        <v>2062</v>
      </c>
      <c r="H110" s="14"/>
      <c r="I110" s="14"/>
      <c r="J110" s="14"/>
      <c r="K110" s="14"/>
    </row>
    <row r="111" spans="1:11">
      <c r="A111" s="120">
        <f t="shared" si="1"/>
        <v>105</v>
      </c>
      <c r="B111" s="1004"/>
      <c r="C111" s="517" t="s">
        <v>2116</v>
      </c>
      <c r="D111" s="107">
        <v>0</v>
      </c>
      <c r="E111" s="134"/>
      <c r="F111" s="14"/>
      <c r="G111" s="1038" t="s">
        <v>1461</v>
      </c>
      <c r="H111" s="14"/>
      <c r="I111" s="14"/>
      <c r="J111" s="14"/>
      <c r="K111" s="14"/>
    </row>
    <row r="112" spans="1:11">
      <c r="A112" s="120">
        <f t="shared" si="1"/>
        <v>106</v>
      </c>
      <c r="B112" s="1004"/>
      <c r="C112" s="517" t="s">
        <v>2117</v>
      </c>
      <c r="D112" s="107">
        <v>1967</v>
      </c>
      <c r="E112" s="134"/>
      <c r="F112" s="14"/>
      <c r="G112" s="1038"/>
      <c r="H112" s="14"/>
      <c r="I112" s="14"/>
      <c r="J112" s="14"/>
      <c r="K112" s="14"/>
    </row>
    <row r="113" spans="1:11">
      <c r="A113" s="120">
        <f t="shared" si="1"/>
        <v>107</v>
      </c>
      <c r="B113" s="1004"/>
      <c r="C113" s="517" t="s">
        <v>2118</v>
      </c>
      <c r="D113" s="122">
        <f>SUM(D111:D112)</f>
        <v>1967</v>
      </c>
      <c r="E113" s="15" t="str">
        <f>" = L"&amp;A111&amp;" + L"&amp;A112&amp;""</f>
        <v xml:space="preserve"> = L105 + L106</v>
      </c>
      <c r="F113" s="14"/>
      <c r="G113" s="14"/>
      <c r="H113" s="14"/>
      <c r="I113" s="14"/>
      <c r="J113" s="14"/>
      <c r="K113" s="14"/>
    </row>
    <row r="114" spans="1:11">
      <c r="A114" s="120">
        <f t="shared" si="1"/>
        <v>108</v>
      </c>
      <c r="B114" s="1004"/>
      <c r="C114" s="517" t="s">
        <v>2119</v>
      </c>
      <c r="D114" s="1097">
        <f>D111/D113</f>
        <v>0</v>
      </c>
      <c r="E114" s="15" t="str">
        <f>" = L"&amp;A111&amp;" / L"&amp;A113&amp;""</f>
        <v xml:space="preserve"> = L105 / L107</v>
      </c>
      <c r="F114" s="14"/>
      <c r="G114" s="14"/>
      <c r="H114" s="14"/>
      <c r="I114" s="14"/>
      <c r="J114" s="14"/>
      <c r="K114" s="14"/>
    </row>
    <row r="115" spans="1:11">
      <c r="A115" s="120">
        <f t="shared" si="1"/>
        <v>109</v>
      </c>
      <c r="B115" s="14"/>
      <c r="C115" s="14"/>
      <c r="D115" s="14"/>
      <c r="E115" s="14"/>
      <c r="F115" s="14"/>
      <c r="G115" s="14"/>
      <c r="H115" s="14"/>
      <c r="I115" s="14"/>
      <c r="J115" s="14"/>
      <c r="K115" s="14"/>
    </row>
    <row r="116" spans="1:11">
      <c r="A116" s="120">
        <f t="shared" si="1"/>
        <v>110</v>
      </c>
      <c r="B116" s="517" t="s">
        <v>2255</v>
      </c>
      <c r="C116" s="14"/>
      <c r="D116" s="134" t="s">
        <v>2061</v>
      </c>
      <c r="E116" s="134" t="s">
        <v>187</v>
      </c>
      <c r="F116" s="14"/>
      <c r="G116" s="611" t="s">
        <v>2062</v>
      </c>
      <c r="H116" s="14"/>
      <c r="I116" s="14"/>
      <c r="J116" s="14"/>
      <c r="K116" s="14"/>
    </row>
    <row r="117" spans="1:11">
      <c r="A117" s="120">
        <f t="shared" si="1"/>
        <v>111</v>
      </c>
      <c r="B117" s="1004"/>
      <c r="C117" s="517" t="s">
        <v>2122</v>
      </c>
      <c r="D117" s="107">
        <v>0</v>
      </c>
      <c r="E117" s="134"/>
      <c r="F117" s="14"/>
      <c r="G117" s="1038" t="s">
        <v>1462</v>
      </c>
      <c r="H117" s="14"/>
      <c r="I117" s="14"/>
      <c r="J117" s="14"/>
      <c r="K117" s="14"/>
    </row>
    <row r="118" spans="1:11">
      <c r="A118" s="120">
        <f t="shared" si="1"/>
        <v>112</v>
      </c>
      <c r="B118" s="1004"/>
      <c r="C118" s="517" t="s">
        <v>2120</v>
      </c>
      <c r="D118" s="107">
        <v>8853</v>
      </c>
      <c r="E118" s="134"/>
      <c r="F118" s="14"/>
      <c r="G118" s="1038"/>
      <c r="H118" s="14"/>
      <c r="I118" s="14"/>
      <c r="J118" s="14"/>
      <c r="K118" s="14"/>
    </row>
    <row r="119" spans="1:11">
      <c r="A119" s="120">
        <f t="shared" si="1"/>
        <v>113</v>
      </c>
      <c r="B119" s="1004"/>
      <c r="C119" s="517" t="s">
        <v>2121</v>
      </c>
      <c r="D119" s="122">
        <f>SUM(D117:D118)</f>
        <v>8853</v>
      </c>
      <c r="E119" s="15" t="str">
        <f>" = L"&amp;A117&amp;" + L"&amp;A118&amp;""</f>
        <v xml:space="preserve"> = L111 + L112</v>
      </c>
      <c r="F119" s="14"/>
      <c r="G119" s="14"/>
      <c r="H119" s="14"/>
      <c r="I119" s="14"/>
      <c r="J119" s="14"/>
      <c r="K119" s="14"/>
    </row>
    <row r="120" spans="1:11">
      <c r="A120" s="120">
        <f t="shared" si="1"/>
        <v>114</v>
      </c>
      <c r="B120" s="1004"/>
      <c r="C120" s="517" t="s">
        <v>2123</v>
      </c>
      <c r="D120" s="1097">
        <f>D117/D119</f>
        <v>0</v>
      </c>
      <c r="E120" s="15" t="str">
        <f>" = L"&amp;A117&amp;" / L"&amp;A119&amp;""</f>
        <v xml:space="preserve"> = L111 / L113</v>
      </c>
      <c r="F120" s="14"/>
      <c r="G120" s="14"/>
      <c r="H120" s="14"/>
      <c r="I120" s="14"/>
      <c r="J120" s="14"/>
      <c r="K120" s="14"/>
    </row>
    <row r="121" spans="1:11">
      <c r="A121" s="120">
        <f t="shared" si="1"/>
        <v>115</v>
      </c>
      <c r="B121" s="14"/>
      <c r="C121" s="14"/>
      <c r="D121" s="14"/>
      <c r="E121" s="14"/>
      <c r="F121" s="14"/>
      <c r="G121" s="14"/>
      <c r="H121" s="14"/>
      <c r="I121" s="14"/>
      <c r="J121" s="14"/>
      <c r="K121" s="14"/>
    </row>
    <row r="122" spans="1:11">
      <c r="A122" s="120">
        <f t="shared" si="1"/>
        <v>116</v>
      </c>
      <c r="B122" s="517" t="s">
        <v>2256</v>
      </c>
      <c r="C122" s="14"/>
      <c r="D122" s="134" t="s">
        <v>2061</v>
      </c>
      <c r="E122" s="134" t="s">
        <v>187</v>
      </c>
      <c r="F122" s="14"/>
      <c r="G122" s="611" t="s">
        <v>2062</v>
      </c>
      <c r="H122" s="14"/>
      <c r="I122" s="14"/>
      <c r="J122" s="14"/>
      <c r="K122" s="14"/>
    </row>
    <row r="123" spans="1:11">
      <c r="A123" s="120">
        <f t="shared" si="1"/>
        <v>117</v>
      </c>
      <c r="B123" s="1004"/>
      <c r="C123" s="517" t="s">
        <v>2124</v>
      </c>
      <c r="D123" s="107">
        <v>0</v>
      </c>
      <c r="E123" s="134"/>
      <c r="F123" s="14"/>
      <c r="G123" s="1038" t="s">
        <v>1463</v>
      </c>
      <c r="H123" s="14"/>
      <c r="I123" s="14"/>
      <c r="J123" s="14"/>
      <c r="K123" s="14"/>
    </row>
    <row r="124" spans="1:11">
      <c r="A124" s="120">
        <f t="shared" si="1"/>
        <v>118</v>
      </c>
      <c r="B124" s="1004"/>
      <c r="C124" s="517" t="s">
        <v>2127</v>
      </c>
      <c r="D124" s="107">
        <v>2316</v>
      </c>
      <c r="E124" s="134"/>
      <c r="F124" s="14"/>
      <c r="G124" s="1038"/>
      <c r="H124" s="14"/>
      <c r="I124" s="14"/>
      <c r="J124" s="14"/>
      <c r="K124" s="14"/>
    </row>
    <row r="125" spans="1:11">
      <c r="A125" s="120">
        <f t="shared" ref="A125:A126" si="2">A124+1</f>
        <v>119</v>
      </c>
      <c r="B125" s="1004"/>
      <c r="C125" s="517" t="s">
        <v>2125</v>
      </c>
      <c r="D125" s="122">
        <f>SUM(D123:D124)</f>
        <v>2316</v>
      </c>
      <c r="E125" s="15" t="str">
        <f>" = L"&amp;A123&amp;" + L"&amp;A124&amp;""</f>
        <v xml:space="preserve"> = L117 + L118</v>
      </c>
      <c r="F125" s="14"/>
      <c r="G125" s="14"/>
      <c r="H125" s="14"/>
      <c r="I125" s="14"/>
      <c r="J125" s="14"/>
      <c r="K125" s="14"/>
    </row>
    <row r="126" spans="1:11">
      <c r="A126" s="120">
        <f t="shared" si="2"/>
        <v>120</v>
      </c>
      <c r="B126" s="1004"/>
      <c r="C126" s="517" t="s">
        <v>2126</v>
      </c>
      <c r="D126" s="1097">
        <f>D123/D125</f>
        <v>0</v>
      </c>
      <c r="E126" s="15" t="str">
        <f>" = L"&amp;A123&amp;" / L"&amp;A125&amp;""</f>
        <v xml:space="preserve"> = L117 / L119</v>
      </c>
      <c r="F126" s="14"/>
      <c r="G126" s="14"/>
      <c r="H126" s="14"/>
      <c r="I126" s="14"/>
      <c r="J126" s="14"/>
      <c r="K126" s="14"/>
    </row>
    <row r="127" spans="1:11">
      <c r="A127" s="635"/>
      <c r="E127" s="14"/>
      <c r="F127" s="14"/>
      <c r="G127" s="14"/>
      <c r="H127" s="14"/>
      <c r="I127" s="14"/>
      <c r="J127" s="14"/>
      <c r="K127" s="14"/>
    </row>
    <row r="128" spans="1:11">
      <c r="A128" s="635"/>
      <c r="E128" s="14"/>
      <c r="F128" s="14"/>
      <c r="G128" s="14"/>
      <c r="H128" s="14"/>
      <c r="I128" s="14"/>
      <c r="J128" s="14"/>
      <c r="K128" s="14"/>
    </row>
    <row r="129" spans="1:11">
      <c r="A129" s="635"/>
      <c r="E129" s="14"/>
      <c r="F129" s="14"/>
      <c r="G129" s="14"/>
      <c r="H129" s="14"/>
      <c r="I129" s="14"/>
      <c r="J129" s="14"/>
      <c r="K129" s="14"/>
    </row>
    <row r="130" spans="1:11">
      <c r="A130" s="635"/>
    </row>
    <row r="131" spans="1:11">
      <c r="A131" s="635"/>
    </row>
    <row r="132" spans="1:11">
      <c r="A132" s="635"/>
    </row>
    <row r="133" spans="1:11">
      <c r="A133" s="635"/>
    </row>
    <row r="134" spans="1:11">
      <c r="A134" s="635"/>
    </row>
    <row r="135" spans="1:11">
      <c r="A135" s="635"/>
    </row>
    <row r="136" spans="1:11">
      <c r="A136" s="635"/>
    </row>
    <row r="137" spans="1:11">
      <c r="A137" s="635"/>
    </row>
    <row r="138" spans="1:11">
      <c r="A138" s="635"/>
    </row>
  </sheetData>
  <phoneticPr fontId="23" type="noConversion"/>
  <pageMargins left="0.75" right="0.75" top="1" bottom="1" header="0.5" footer="0.5"/>
  <pageSetup scale="70" orientation="landscape" cellComments="asDisplayed" r:id="rId1"/>
  <headerFooter alignWithMargins="0">
    <oddHeader>&amp;CSchedule 27
Allocation Factors
&amp;RTO2019 Draft Annual Update
Attachment 5
TO13 True Up TRR</oddHeader>
    <oddFooter>&amp;R&amp;A</oddFooter>
  </headerFooter>
  <rowBreaks count="2" manualBreakCount="2">
    <brk id="49" max="16383" man="1"/>
    <brk id="103"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1856</v>
      </c>
    </row>
    <row r="3" spans="1:9">
      <c r="B3" s="1" t="s">
        <v>551</v>
      </c>
      <c r="I3" s="104" t="s">
        <v>17</v>
      </c>
    </row>
    <row r="4" spans="1:9">
      <c r="B4" s="1"/>
      <c r="I4" s="14"/>
    </row>
    <row r="5" spans="1:9">
      <c r="E5" s="120" t="s">
        <v>2228</v>
      </c>
    </row>
    <row r="6" spans="1:9">
      <c r="A6" s="53" t="s">
        <v>360</v>
      </c>
      <c r="C6" s="3" t="s">
        <v>258</v>
      </c>
      <c r="D6" s="3" t="s">
        <v>259</v>
      </c>
      <c r="E6" s="1098" t="s">
        <v>73</v>
      </c>
      <c r="G6" s="3" t="s">
        <v>260</v>
      </c>
      <c r="I6" s="53" t="s">
        <v>224</v>
      </c>
    </row>
    <row r="7" spans="1:9">
      <c r="A7" s="2">
        <v>1</v>
      </c>
      <c r="C7" s="161">
        <v>2017</v>
      </c>
      <c r="D7" s="525" t="s">
        <v>2860</v>
      </c>
      <c r="E7" s="104">
        <v>365</v>
      </c>
      <c r="G7" s="1172">
        <v>9.2057000000000007E-3</v>
      </c>
      <c r="I7" s="823" t="s">
        <v>2861</v>
      </c>
    </row>
    <row r="8" spans="1:9">
      <c r="A8" s="2">
        <v>2</v>
      </c>
      <c r="C8" s="104"/>
      <c r="D8" s="104"/>
      <c r="E8" s="104"/>
      <c r="G8" s="104"/>
      <c r="I8" s="125"/>
    </row>
    <row r="10" spans="1:9">
      <c r="B10" s="1" t="s">
        <v>1857</v>
      </c>
    </row>
    <row r="11" spans="1:9">
      <c r="B11" s="1"/>
    </row>
    <row r="12" spans="1:9">
      <c r="E12" s="120" t="s">
        <v>2228</v>
      </c>
    </row>
    <row r="13" spans="1:9">
      <c r="C13" s="3" t="s">
        <v>258</v>
      </c>
      <c r="D13" s="3" t="s">
        <v>259</v>
      </c>
      <c r="E13" s="1098" t="s">
        <v>73</v>
      </c>
      <c r="G13" s="3" t="s">
        <v>261</v>
      </c>
      <c r="I13" s="53" t="s">
        <v>224</v>
      </c>
    </row>
    <row r="14" spans="1:9">
      <c r="A14" s="2">
        <v>3</v>
      </c>
      <c r="C14" s="161">
        <v>2017</v>
      </c>
      <c r="D14" s="104" t="s">
        <v>2860</v>
      </c>
      <c r="E14" s="104">
        <v>365</v>
      </c>
      <c r="G14" s="95">
        <v>2.4076000000000002E-3</v>
      </c>
      <c r="I14" s="525" t="s">
        <v>2862</v>
      </c>
    </row>
    <row r="15" spans="1:9">
      <c r="A15" s="2">
        <v>4</v>
      </c>
      <c r="C15" s="161"/>
      <c r="D15" s="104"/>
      <c r="E15" s="104"/>
      <c r="G15" s="95"/>
      <c r="I15" s="125"/>
    </row>
    <row r="18" spans="1:9">
      <c r="B18" s="1" t="s">
        <v>550</v>
      </c>
    </row>
    <row r="19" spans="1:9">
      <c r="B19" s="1"/>
    </row>
    <row r="20" spans="1:9">
      <c r="C20" s="2" t="s">
        <v>443</v>
      </c>
      <c r="D20" s="2"/>
      <c r="E20" s="2"/>
    </row>
    <row r="21" spans="1:9">
      <c r="C21" s="3" t="s">
        <v>212</v>
      </c>
      <c r="D21" s="3" t="s">
        <v>260</v>
      </c>
      <c r="E21" s="3" t="s">
        <v>261</v>
      </c>
      <c r="I21" s="53" t="s">
        <v>187</v>
      </c>
    </row>
    <row r="22" spans="1:9">
      <c r="A22" s="2">
        <v>5</v>
      </c>
      <c r="C22" s="162">
        <v>2017</v>
      </c>
      <c r="D22" s="1099">
        <f>E41</f>
        <v>9.2057000000000007E-3</v>
      </c>
      <c r="E22" s="1099">
        <f>E42</f>
        <v>2.4076000000000002E-3</v>
      </c>
      <c r="F22" s="14"/>
      <c r="G22" s="14"/>
      <c r="H22" s="14"/>
      <c r="I22" s="517" t="s">
        <v>1975</v>
      </c>
    </row>
    <row r="24" spans="1:9">
      <c r="B24" s="1" t="s">
        <v>256</v>
      </c>
    </row>
    <row r="25" spans="1:9">
      <c r="B25" s="12" t="s">
        <v>605</v>
      </c>
    </row>
    <row r="26" spans="1:9">
      <c r="B26" s="12" t="s">
        <v>604</v>
      </c>
    </row>
    <row r="28" spans="1:9">
      <c r="B28" s="1" t="s">
        <v>417</v>
      </c>
    </row>
    <row r="29" spans="1:9">
      <c r="B29" s="517" t="s">
        <v>1977</v>
      </c>
      <c r="C29" s="14"/>
      <c r="D29" s="14"/>
      <c r="E29" s="14"/>
      <c r="F29" s="14"/>
      <c r="G29" s="14"/>
      <c r="H29" s="14"/>
      <c r="I29" s="14"/>
    </row>
    <row r="30" spans="1:9">
      <c r="B30" s="517" t="s">
        <v>1987</v>
      </c>
      <c r="C30" s="14"/>
      <c r="D30" s="14"/>
      <c r="E30" s="14"/>
      <c r="F30" s="14"/>
      <c r="G30" s="14"/>
      <c r="H30" s="14"/>
      <c r="I30" s="14"/>
    </row>
    <row r="31" spans="1:9">
      <c r="B31" s="517" t="s">
        <v>2233</v>
      </c>
      <c r="C31" s="14"/>
      <c r="D31" s="14"/>
      <c r="E31" s="14"/>
      <c r="F31" s="14"/>
      <c r="G31" s="14"/>
      <c r="H31" s="14"/>
      <c r="I31" s="14"/>
    </row>
    <row r="32" spans="1:9">
      <c r="B32" s="517" t="s">
        <v>2232</v>
      </c>
      <c r="C32" s="14"/>
      <c r="D32" s="14"/>
      <c r="E32" s="14"/>
      <c r="F32" s="14"/>
      <c r="G32" s="14"/>
      <c r="H32" s="14"/>
      <c r="I32" s="14"/>
    </row>
    <row r="33" spans="2:9">
      <c r="B33" s="517" t="s">
        <v>1972</v>
      </c>
      <c r="C33" s="14"/>
      <c r="D33" s="14"/>
      <c r="E33" s="14"/>
      <c r="F33" s="14"/>
      <c r="G33" s="14"/>
      <c r="H33" s="14"/>
      <c r="I33" s="14"/>
    </row>
    <row r="34" spans="2:9">
      <c r="B34" s="517" t="s">
        <v>1973</v>
      </c>
      <c r="C34" s="14"/>
      <c r="D34" s="14"/>
      <c r="E34" s="14"/>
      <c r="F34" s="14"/>
      <c r="G34" s="14"/>
      <c r="H34" s="14"/>
      <c r="I34" s="14"/>
    </row>
    <row r="35" spans="2:9">
      <c r="B35" s="517" t="s">
        <v>2474</v>
      </c>
      <c r="C35" s="14"/>
      <c r="D35" s="14"/>
      <c r="E35" s="14"/>
      <c r="F35" s="14"/>
      <c r="G35" s="14"/>
      <c r="H35" s="14"/>
      <c r="I35" s="14"/>
    </row>
    <row r="36" spans="2:9">
      <c r="B36" s="517" t="s">
        <v>1976</v>
      </c>
      <c r="C36" s="14"/>
      <c r="D36" s="14"/>
      <c r="E36" s="14"/>
      <c r="F36" s="14"/>
      <c r="G36" s="14"/>
      <c r="H36" s="14"/>
      <c r="I36" s="14"/>
    </row>
    <row r="37" spans="2:9">
      <c r="B37" s="517" t="s">
        <v>1974</v>
      </c>
      <c r="C37" s="14"/>
      <c r="D37" s="14"/>
      <c r="E37" s="14"/>
      <c r="F37" s="14"/>
      <c r="G37" s="14"/>
      <c r="H37" s="14"/>
      <c r="I37" s="14"/>
    </row>
    <row r="38" spans="2:9">
      <c r="B38" s="517" t="s">
        <v>2231</v>
      </c>
      <c r="C38" s="14"/>
      <c r="D38" s="14"/>
      <c r="E38" s="14"/>
      <c r="F38" s="14"/>
      <c r="G38" s="14"/>
      <c r="H38" s="14"/>
      <c r="I38" s="14"/>
    </row>
    <row r="39" spans="2:9">
      <c r="B39" s="14"/>
      <c r="C39" s="14"/>
      <c r="D39" s="14"/>
      <c r="E39" s="14"/>
      <c r="F39" s="14"/>
      <c r="G39" s="14"/>
      <c r="H39" s="14"/>
      <c r="I39" s="14"/>
    </row>
    <row r="40" spans="2:9">
      <c r="B40" s="14"/>
      <c r="C40" s="14"/>
      <c r="D40" s="14"/>
      <c r="E40" s="134" t="s">
        <v>1609</v>
      </c>
      <c r="F40" s="14"/>
      <c r="G40" s="998" t="s">
        <v>171</v>
      </c>
      <c r="H40" s="14"/>
      <c r="I40" s="14"/>
    </row>
    <row r="41" spans="2:9">
      <c r="B41" s="14"/>
      <c r="C41" s="14"/>
      <c r="D41" s="1008" t="s">
        <v>2229</v>
      </c>
      <c r="E41" s="1099">
        <f>((G7*E7) + (G8*E8))/365</f>
        <v>9.2057000000000007E-3</v>
      </c>
      <c r="F41" s="14"/>
      <c r="G41" s="661" t="s">
        <v>2234</v>
      </c>
      <c r="H41" s="14"/>
      <c r="I41" s="14"/>
    </row>
    <row r="42" spans="2:9">
      <c r="B42" s="14"/>
      <c r="C42" s="14"/>
      <c r="D42" s="1008" t="s">
        <v>2230</v>
      </c>
      <c r="E42" s="1099">
        <f>((G14*E14) + (G15*E15))/365</f>
        <v>2.4076000000000002E-3</v>
      </c>
      <c r="F42" s="14"/>
      <c r="G42" s="661" t="s">
        <v>2235</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&amp;RTO2019 Draft Annual Update
Attachment 5
TO13 True Up TRR</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1553</v>
      </c>
    </row>
    <row r="2" spans="1:10">
      <c r="G2" s="44" t="s">
        <v>17</v>
      </c>
      <c r="H2" s="44"/>
      <c r="I2" s="104"/>
    </row>
    <row r="3" spans="1:10">
      <c r="A3" s="3" t="s">
        <v>360</v>
      </c>
      <c r="B3" s="3" t="s">
        <v>93</v>
      </c>
      <c r="F3" s="53" t="s">
        <v>187</v>
      </c>
      <c r="G3" s="53" t="s">
        <v>198</v>
      </c>
      <c r="J3" s="53"/>
    </row>
    <row r="4" spans="1:10">
      <c r="A4" s="2">
        <v>1</v>
      </c>
      <c r="B4" s="48">
        <f>'1-BaseTRR'!K157</f>
        <v>1180511149.2425306</v>
      </c>
      <c r="C4" s="54" t="s">
        <v>144</v>
      </c>
      <c r="G4" s="15" t="str">
        <f>"1-BaseTRR, Line "&amp;'1-BaseTRR'!A157&amp;""</f>
        <v>1-BaseTRR, Line 89</v>
      </c>
      <c r="H4" s="14"/>
    </row>
    <row r="5" spans="1:10">
      <c r="A5" s="2">
        <f t="shared" ref="A5:A10" si="0">A4+1</f>
        <v>2</v>
      </c>
      <c r="B5" s="1238">
        <v>-121378713</v>
      </c>
      <c r="C5" s="54" t="s">
        <v>145</v>
      </c>
      <c r="F5" s="12" t="s">
        <v>392</v>
      </c>
      <c r="G5" s="1212" t="s">
        <v>2922</v>
      </c>
      <c r="H5" s="1229"/>
      <c r="I5" s="1212" t="s">
        <v>2923</v>
      </c>
    </row>
    <row r="6" spans="1:10">
      <c r="A6" s="2">
        <f t="shared" si="0"/>
        <v>3</v>
      </c>
      <c r="B6" s="1238">
        <v>-120967080</v>
      </c>
      <c r="C6" s="54" t="s">
        <v>146</v>
      </c>
      <c r="G6" s="1212" t="s">
        <v>2922</v>
      </c>
      <c r="H6" s="1229"/>
      <c r="I6" s="1212" t="s">
        <v>2923</v>
      </c>
    </row>
    <row r="7" spans="1:10">
      <c r="A7" s="2">
        <f t="shared" si="0"/>
        <v>4</v>
      </c>
      <c r="B7" s="1238">
        <v>-411633</v>
      </c>
      <c r="C7" s="54" t="s">
        <v>147</v>
      </c>
      <c r="G7" s="1212" t="s">
        <v>2922</v>
      </c>
      <c r="H7" s="1229"/>
      <c r="I7" s="1212" t="s">
        <v>2923</v>
      </c>
    </row>
    <row r="8" spans="1:10">
      <c r="A8" s="2">
        <f t="shared" si="0"/>
        <v>5</v>
      </c>
      <c r="B8" s="48">
        <f>-'33-RetailRates'!E61</f>
        <v>-8894864.4063432403</v>
      </c>
      <c r="C8" s="54" t="s">
        <v>148</v>
      </c>
      <c r="F8" t="s">
        <v>393</v>
      </c>
      <c r="G8" t="s">
        <v>92</v>
      </c>
    </row>
    <row r="9" spans="1:10">
      <c r="A9" s="2">
        <f t="shared" si="0"/>
        <v>6</v>
      </c>
      <c r="B9" s="8">
        <f>'31-HVLV'!C45</f>
        <v>0.96998092897342225</v>
      </c>
      <c r="C9" s="54" t="s">
        <v>91</v>
      </c>
      <c r="G9" s="15" t="str">
        <f>"31-HVLV, Line "&amp;'31-HVLV'!A45&amp;""</f>
        <v>31-HVLV, Line 37</v>
      </c>
      <c r="H9" s="14"/>
    </row>
    <row r="10" spans="1:10">
      <c r="A10" s="2">
        <f t="shared" si="0"/>
        <v>7</v>
      </c>
      <c r="B10" s="8">
        <f>'31-HVLV'!D45</f>
        <v>3.001907102657778E-2</v>
      </c>
      <c r="C10" s="54" t="s">
        <v>90</v>
      </c>
      <c r="G10" s="15" t="str">
        <f>"31-HVLV, Line "&amp;'31-HVLV'!A45&amp;""</f>
        <v>31-HVLV, Line 37</v>
      </c>
      <c r="H10" s="14"/>
    </row>
    <row r="11" spans="1:10">
      <c r="C11" s="37"/>
      <c r="D11" s="96"/>
      <c r="E11" s="96"/>
      <c r="F11" s="96"/>
      <c r="G11" s="96"/>
      <c r="H11" s="96"/>
      <c r="J11" s="96"/>
    </row>
    <row r="12" spans="1:10">
      <c r="B12" s="1" t="s">
        <v>1694</v>
      </c>
      <c r="C12" s="37"/>
      <c r="D12" s="96"/>
      <c r="E12" s="96"/>
      <c r="F12" s="96"/>
      <c r="G12" s="96"/>
      <c r="H12" s="96"/>
    </row>
    <row r="13" spans="1:10">
      <c r="B13" s="1"/>
      <c r="C13" s="37"/>
      <c r="D13" s="96"/>
      <c r="E13" s="96"/>
      <c r="F13" s="96"/>
      <c r="G13" s="96"/>
      <c r="H13" s="96"/>
    </row>
    <row r="14" spans="1:10">
      <c r="B14" s="1"/>
      <c r="C14" s="37"/>
      <c r="D14" s="91" t="s">
        <v>391</v>
      </c>
      <c r="E14" s="91" t="s">
        <v>375</v>
      </c>
      <c r="F14" s="91" t="s">
        <v>376</v>
      </c>
      <c r="G14" s="96"/>
      <c r="H14" s="96"/>
    </row>
    <row r="15" spans="1:10">
      <c r="B15" s="1"/>
      <c r="C15" s="37"/>
      <c r="F15" s="96"/>
      <c r="G15" s="96"/>
      <c r="H15" s="96"/>
    </row>
    <row r="16" spans="1:10">
      <c r="E16" s="2" t="s">
        <v>514</v>
      </c>
      <c r="F16" s="2" t="s">
        <v>515</v>
      </c>
    </row>
    <row r="17" spans="1:8">
      <c r="C17" s="37"/>
      <c r="D17" s="3" t="s">
        <v>149</v>
      </c>
      <c r="E17" s="3" t="s">
        <v>513</v>
      </c>
      <c r="F17" s="3" t="s">
        <v>513</v>
      </c>
      <c r="G17" s="3"/>
      <c r="H17" s="3" t="s">
        <v>198</v>
      </c>
    </row>
    <row r="18" spans="1:8">
      <c r="A18" s="2">
        <f>A10+1</f>
        <v>8</v>
      </c>
      <c r="B18" s="97"/>
      <c r="C18" s="74" t="s">
        <v>166</v>
      </c>
      <c r="D18" s="7">
        <f>B4</f>
        <v>1180511149.2425306</v>
      </c>
      <c r="E18" s="7">
        <f>D18*B9</f>
        <v>1145073301.2057521</v>
      </c>
      <c r="F18" s="7">
        <f>D18*B10</f>
        <v>35437848.036778487</v>
      </c>
      <c r="G18" s="7"/>
      <c r="H18" s="515" t="s">
        <v>311</v>
      </c>
    </row>
    <row r="19" spans="1:8">
      <c r="A19" s="541">
        <f>A18+1</f>
        <v>9</v>
      </c>
      <c r="B19" s="97"/>
      <c r="C19" s="74" t="s">
        <v>1692</v>
      </c>
      <c r="D19" s="7">
        <f>'24-CWIPTRR'!E145</f>
        <v>52673383.557677083</v>
      </c>
      <c r="E19" s="7">
        <f>'24-CWIPTRR'!E145</f>
        <v>52673383.557677083</v>
      </c>
      <c r="F19" s="7">
        <v>0</v>
      </c>
      <c r="G19" s="7"/>
      <c r="H19" s="515" t="s">
        <v>1042</v>
      </c>
    </row>
    <row r="20" spans="1:8">
      <c r="A20" s="541">
        <f>A19+1</f>
        <v>10</v>
      </c>
      <c r="B20" s="97"/>
      <c r="C20" s="74" t="s">
        <v>1693</v>
      </c>
      <c r="D20" s="7">
        <f>D18-D19</f>
        <v>1127837765.6848536</v>
      </c>
      <c r="E20" s="7">
        <f t="shared" ref="E20:F20" si="1">E18-E19</f>
        <v>1092399917.6480751</v>
      </c>
      <c r="F20" s="7">
        <f t="shared" si="1"/>
        <v>35437848.036778487</v>
      </c>
      <c r="G20" s="7"/>
      <c r="H20" s="515" t="s">
        <v>1043</v>
      </c>
    </row>
    <row r="21" spans="1:8">
      <c r="B21" s="97"/>
      <c r="C21" s="97"/>
      <c r="D21" s="7"/>
      <c r="E21" s="7"/>
      <c r="F21" s="7"/>
      <c r="G21" s="7"/>
    </row>
    <row r="22" spans="1:8">
      <c r="A22" s="2">
        <f>A20+1</f>
        <v>11</v>
      </c>
      <c r="B22" s="1"/>
      <c r="C22" s="74" t="s">
        <v>150</v>
      </c>
      <c r="D22" s="7">
        <f>B5</f>
        <v>-121378713</v>
      </c>
      <c r="E22" s="7">
        <f>B6</f>
        <v>-120967080</v>
      </c>
      <c r="F22" s="7">
        <f>B7</f>
        <v>-411633</v>
      </c>
      <c r="G22" s="7"/>
      <c r="H22" t="str">
        <f>"Lines "&amp;A5&amp;" to "&amp;A7&amp;""</f>
        <v>Lines 2 to 4</v>
      </c>
    </row>
    <row r="23" spans="1:8">
      <c r="B23" s="1"/>
      <c r="C23" s="74"/>
      <c r="D23" s="7"/>
      <c r="E23" s="7"/>
      <c r="F23" s="7"/>
      <c r="G23" s="7"/>
    </row>
    <row r="24" spans="1:8">
      <c r="A24" s="2">
        <f>A22+1</f>
        <v>12</v>
      </c>
      <c r="B24" s="1"/>
      <c r="C24" s="74" t="s">
        <v>1845</v>
      </c>
      <c r="D24" s="98">
        <f>$B$8</f>
        <v>-8894864.4063432403</v>
      </c>
      <c r="E24" s="98">
        <f>$B$8*$B$9</f>
        <v>-8627848.839957444</v>
      </c>
      <c r="F24" s="98">
        <f>$B$8*$B$10</f>
        <v>-267015.56638579635</v>
      </c>
      <c r="G24" s="98"/>
      <c r="H24" s="515" t="s">
        <v>580</v>
      </c>
    </row>
    <row r="25" spans="1:8">
      <c r="A25" s="608"/>
      <c r="B25" s="1"/>
      <c r="C25" s="74"/>
      <c r="D25" s="98"/>
      <c r="E25" s="98"/>
      <c r="F25" s="98"/>
      <c r="G25" s="98"/>
      <c r="H25" s="515"/>
    </row>
    <row r="26" spans="1:8">
      <c r="B26" s="1"/>
      <c r="C26" s="74" t="s">
        <v>1846</v>
      </c>
      <c r="D26" s="98"/>
      <c r="E26" s="98"/>
      <c r="F26" s="98"/>
      <c r="G26" s="98"/>
    </row>
    <row r="27" spans="1:8">
      <c r="A27" s="2">
        <f>A24+1</f>
        <v>13</v>
      </c>
      <c r="B27" s="1"/>
      <c r="C27" s="74" t="s">
        <v>1847</v>
      </c>
      <c r="D27" s="7">
        <f>D18+D22+D24</f>
        <v>1050237571.8361874</v>
      </c>
      <c r="E27" s="7">
        <f>E18+E22+E24</f>
        <v>1015478372.3657947</v>
      </c>
      <c r="F27" s="7">
        <f>F18+F22+F24</f>
        <v>34759199.470392689</v>
      </c>
      <c r="G27" s="7"/>
      <c r="H27" s="110" t="str">
        <f>"Sum of Lines "&amp;A18&amp;", "&amp;A22&amp;", and "&amp;A24&amp;""</f>
        <v>Sum of Lines 8, 11, and 12</v>
      </c>
    </row>
    <row r="28" spans="1:8">
      <c r="E28" s="7"/>
    </row>
    <row r="29" spans="1:8">
      <c r="B29" s="53" t="s">
        <v>256</v>
      </c>
    </row>
    <row r="30" spans="1:8">
      <c r="B30" s="12" t="s">
        <v>1584</v>
      </c>
    </row>
    <row r="31" spans="1:8">
      <c r="B31" s="515" t="s">
        <v>1858</v>
      </c>
    </row>
    <row r="32" spans="1:8">
      <c r="B32" s="12" t="s">
        <v>1585</v>
      </c>
    </row>
    <row r="33" spans="2:6">
      <c r="B33" s="517" t="s">
        <v>2043</v>
      </c>
      <c r="C33" s="14"/>
      <c r="D33" s="104" t="s">
        <v>2872</v>
      </c>
      <c r="E33" s="104"/>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&amp;RTO2019 Draft Annual Update
Attachment 5
TO13 True Up TRR</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1582</v>
      </c>
    </row>
    <row r="2" spans="1:9">
      <c r="B2" s="1"/>
    </row>
    <row r="3" spans="1:9">
      <c r="B3" s="12" t="s">
        <v>151</v>
      </c>
      <c r="E3" s="14"/>
      <c r="F3" s="123"/>
    </row>
    <row r="4" spans="1:9">
      <c r="B4" s="12"/>
    </row>
    <row r="5" spans="1:9">
      <c r="B5" s="13" t="s">
        <v>152</v>
      </c>
    </row>
    <row r="6" spans="1:9">
      <c r="B6" s="13" t="s">
        <v>153</v>
      </c>
    </row>
    <row r="7" spans="1:9">
      <c r="B7" s="13" t="s">
        <v>154</v>
      </c>
    </row>
    <row r="8" spans="1:9">
      <c r="B8" s="13" t="s">
        <v>155</v>
      </c>
    </row>
    <row r="9" spans="1:9">
      <c r="B9" s="13" t="s">
        <v>156</v>
      </c>
    </row>
    <row r="10" spans="1:9">
      <c r="B10" s="12"/>
    </row>
    <row r="11" spans="1:9">
      <c r="B11" s="12"/>
    </row>
    <row r="12" spans="1:9">
      <c r="B12" s="1" t="s">
        <v>157</v>
      </c>
    </row>
    <row r="13" spans="1:9">
      <c r="A13" s="3" t="s">
        <v>360</v>
      </c>
      <c r="G13" s="3" t="s">
        <v>198</v>
      </c>
    </row>
    <row r="14" spans="1:9">
      <c r="A14" s="2">
        <v>1</v>
      </c>
      <c r="D14" s="101" t="s">
        <v>1555</v>
      </c>
      <c r="E14" s="7">
        <f>'29-WholesaleTRRs'!F27</f>
        <v>34759199.470392689</v>
      </c>
      <c r="G14" s="47" t="str">
        <f>"29-WholesaleTRRs, Line "&amp;'29-WholesaleTRRs'!A27&amp;", C3"</f>
        <v>29-WholesaleTRRs, Line 13, C3</v>
      </c>
      <c r="H14" s="14"/>
      <c r="I14" s="14"/>
    </row>
    <row r="15" spans="1:9">
      <c r="A15" s="2">
        <f>A14+1</f>
        <v>2</v>
      </c>
      <c r="D15" s="101" t="s">
        <v>1554</v>
      </c>
      <c r="E15" s="122">
        <f>'32-GrossLoad'!F7</f>
        <v>86694873.390000001</v>
      </c>
      <c r="F15" s="13" t="s">
        <v>312</v>
      </c>
      <c r="G15" s="47" t="str">
        <f>"32-Gross Load, Line "&amp;'32-GrossLoad'!A7&amp;""</f>
        <v>32-Gross Load, Line 3</v>
      </c>
      <c r="H15" s="14"/>
      <c r="I15" s="14"/>
    </row>
    <row r="16" spans="1:9">
      <c r="A16" s="2">
        <f>A15+1</f>
        <v>3</v>
      </c>
      <c r="D16" s="101" t="s">
        <v>1556</v>
      </c>
      <c r="E16" s="99">
        <f>E14/(E15*1000)</f>
        <v>4.0093719629795388E-4</v>
      </c>
      <c r="F16" s="16" t="s">
        <v>158</v>
      </c>
      <c r="G16" s="123" t="str">
        <f>"Line "&amp;A14&amp;" / (Line "&amp;A15&amp;" * 1000)"</f>
        <v>Line 1 / (Line 2 * 1000)</v>
      </c>
      <c r="H16" s="14"/>
      <c r="I16" s="14"/>
    </row>
    <row r="17" spans="1:9">
      <c r="D17" s="37"/>
      <c r="E17" s="77"/>
      <c r="G17" s="14"/>
      <c r="H17" s="14"/>
      <c r="I17" s="14"/>
    </row>
    <row r="18" spans="1:9">
      <c r="B18" s="1" t="s">
        <v>159</v>
      </c>
      <c r="D18" s="37"/>
      <c r="E18" s="77"/>
      <c r="G18" s="14"/>
      <c r="H18" s="14"/>
      <c r="I18" s="14"/>
    </row>
    <row r="19" spans="1:9">
      <c r="D19" s="37"/>
      <c r="E19" s="77"/>
      <c r="G19" s="134" t="s">
        <v>198</v>
      </c>
      <c r="H19" s="14"/>
      <c r="I19" s="14"/>
    </row>
    <row r="20" spans="1:9">
      <c r="A20" s="2">
        <f>A16+1</f>
        <v>4</v>
      </c>
      <c r="D20" s="101" t="s">
        <v>1555</v>
      </c>
      <c r="E20" s="7">
        <f>'29-WholesaleTRRs'!F27</f>
        <v>34759199.470392689</v>
      </c>
      <c r="G20" s="47" t="str">
        <f>"29-WholesaleTRRs, Line "&amp;'29-WholesaleTRRs'!A27&amp;", C3"</f>
        <v>29-WholesaleTRRs, Line 13, C3</v>
      </c>
      <c r="H20" s="14"/>
      <c r="I20" s="14"/>
    </row>
    <row r="21" spans="1:9">
      <c r="A21" s="2">
        <f>A20+1</f>
        <v>5</v>
      </c>
      <c r="D21" s="101" t="s">
        <v>1554</v>
      </c>
      <c r="E21" s="122">
        <f>'32-GrossLoad'!F7</f>
        <v>86694873.390000001</v>
      </c>
      <c r="F21" s="13" t="s">
        <v>312</v>
      </c>
      <c r="G21" s="47" t="str">
        <f>"32-Gross Load, Line "&amp;'32-GrossLoad'!A7&amp;""</f>
        <v>32-Gross Load, Line 3</v>
      </c>
      <c r="H21" s="14"/>
      <c r="I21" s="14"/>
    </row>
    <row r="22" spans="1:9">
      <c r="A22" s="2">
        <f>A21+1</f>
        <v>6</v>
      </c>
      <c r="D22" s="101" t="s">
        <v>1557</v>
      </c>
      <c r="E22" s="99">
        <f>E20/(E21*1000)</f>
        <v>4.0093719629795388E-4</v>
      </c>
      <c r="F22" s="16" t="s">
        <v>158</v>
      </c>
      <c r="G22" s="123" t="str">
        <f>"Line "&amp;A20&amp;" / (Line "&amp;A21&amp;" * 1000)"</f>
        <v>Line 4 / (Line 5 * 1000)</v>
      </c>
      <c r="H22" s="14"/>
      <c r="I22" s="14"/>
    </row>
    <row r="23" spans="1:9">
      <c r="D23" s="37"/>
      <c r="G23" s="14"/>
      <c r="H23" s="14"/>
      <c r="I23" s="14"/>
    </row>
    <row r="24" spans="1:9">
      <c r="G24" s="14"/>
      <c r="H24" s="14"/>
      <c r="I24" s="14"/>
    </row>
    <row r="25" spans="1:9">
      <c r="B25" s="1" t="s">
        <v>160</v>
      </c>
      <c r="G25" s="14"/>
      <c r="H25" s="14"/>
      <c r="I25" s="14"/>
    </row>
    <row r="26" spans="1:9">
      <c r="C26" s="54" t="s">
        <v>161</v>
      </c>
      <c r="G26" s="14"/>
      <c r="H26" s="14"/>
      <c r="I26" s="14"/>
    </row>
    <row r="27" spans="1:9">
      <c r="G27" s="134" t="s">
        <v>198</v>
      </c>
      <c r="H27" s="14"/>
      <c r="I27" s="14"/>
    </row>
    <row r="28" spans="1:9">
      <c r="A28" s="2">
        <f>A22+1</f>
        <v>7</v>
      </c>
      <c r="D28" s="37" t="s">
        <v>162</v>
      </c>
      <c r="E28" s="7">
        <f>'29-WholesaleTRRs'!E27</f>
        <v>1015478372.3657947</v>
      </c>
      <c r="G28" s="47" t="str">
        <f>"29-WholesaleTRRs, Line "&amp;'29-WholesaleTRRs'!A27&amp;", C2"</f>
        <v>29-WholesaleTRRs, Line 13, C2</v>
      </c>
      <c r="H28" s="14"/>
      <c r="I28" s="14"/>
    </row>
    <row r="29" spans="1:9">
      <c r="A29" s="2">
        <f>A28+1</f>
        <v>8</v>
      </c>
      <c r="D29" s="101" t="s">
        <v>1554</v>
      </c>
      <c r="E29" s="122">
        <f>'32-GrossLoad'!F7</f>
        <v>86694873.390000001</v>
      </c>
      <c r="F29" s="13" t="s">
        <v>312</v>
      </c>
      <c r="G29" s="47" t="str">
        <f>"32-Gross Load, Line "&amp;'32-GrossLoad'!A7&amp;""</f>
        <v>32-Gross Load, Line 3</v>
      </c>
      <c r="H29" s="14"/>
      <c r="I29" s="14"/>
    </row>
    <row r="30" spans="1:9">
      <c r="A30" s="2">
        <f>A29+1</f>
        <v>9</v>
      </c>
      <c r="D30" s="101" t="s">
        <v>1558</v>
      </c>
      <c r="E30" s="100">
        <f>E28/(E29*1000)</f>
        <v>1.1713245923984787E-2</v>
      </c>
      <c r="F30" s="16" t="s">
        <v>158</v>
      </c>
      <c r="G30" s="123" t="str">
        <f>"Line "&amp;A28&amp;" / (Line "&amp;A29&amp;" * 1000)"</f>
        <v>Line 7 / (Line 8 * 1000)</v>
      </c>
      <c r="H30" s="14"/>
      <c r="I30" s="14"/>
    </row>
    <row r="31" spans="1:9">
      <c r="G31" s="14"/>
      <c r="H31" s="14"/>
      <c r="I31" s="14"/>
    </row>
    <row r="32" spans="1:9">
      <c r="B32" s="1" t="s">
        <v>163</v>
      </c>
      <c r="G32" s="14"/>
      <c r="H32" s="14"/>
      <c r="I32" s="14"/>
    </row>
    <row r="33" spans="1:9">
      <c r="G33" s="134" t="s">
        <v>198</v>
      </c>
      <c r="H33" s="14"/>
      <c r="I33" s="14"/>
    </row>
    <row r="34" spans="1:9">
      <c r="A34" s="2">
        <f>A30+1</f>
        <v>10</v>
      </c>
      <c r="D34" s="101" t="s">
        <v>1559</v>
      </c>
      <c r="E34" s="7">
        <f>'29-WholesaleTRRs'!E27</f>
        <v>1015478372.3657947</v>
      </c>
      <c r="G34" s="47" t="str">
        <f>"29-WholesaleTRRs, Line "&amp;'29-WholesaleTRRs'!A27&amp;", C2"</f>
        <v>29-WholesaleTRRs, Line 13, C2</v>
      </c>
      <c r="H34" s="14"/>
      <c r="I34" s="14"/>
    </row>
    <row r="35" spans="1:9">
      <c r="A35" s="2">
        <f>A34+1</f>
        <v>11</v>
      </c>
      <c r="D35" s="101" t="s">
        <v>1560</v>
      </c>
      <c r="E35" s="122">
        <f>'32-GrossLoad'!F10</f>
        <v>162441.60000000001</v>
      </c>
      <c r="F35" s="16" t="s">
        <v>164</v>
      </c>
      <c r="G35" s="47" t="str">
        <f>"32-Gross Load, Line "&amp;'32-GrossLoad'!A10&amp;""</f>
        <v>32-Gross Load, Line 4</v>
      </c>
      <c r="H35" s="14"/>
      <c r="I35" s="14"/>
    </row>
    <row r="36" spans="1:9">
      <c r="A36" s="2">
        <f>A35+1</f>
        <v>12</v>
      </c>
      <c r="D36" s="101" t="s">
        <v>1561</v>
      </c>
      <c r="E36" s="77">
        <f>ROUND((E34/(E35*1000)),2)</f>
        <v>6.25</v>
      </c>
      <c r="F36" s="13" t="s">
        <v>357</v>
      </c>
      <c r="G36" s="123" t="str">
        <f>"Line "&amp;A34&amp;" / (Line "&amp;A35&amp;" * 1000)"</f>
        <v>Line 10 / (Line 11 * 1000)</v>
      </c>
      <c r="H36" s="14"/>
      <c r="I36" s="14"/>
    </row>
    <row r="37" spans="1:9">
      <c r="G37" s="14"/>
      <c r="H37" s="14"/>
      <c r="I37" s="14"/>
    </row>
    <row r="38" spans="1:9">
      <c r="B38" s="1" t="s">
        <v>165</v>
      </c>
      <c r="G38" s="14"/>
      <c r="H38" s="14"/>
      <c r="I38" s="14"/>
    </row>
    <row r="39" spans="1:9">
      <c r="G39" s="134" t="s">
        <v>198</v>
      </c>
      <c r="H39" s="14"/>
      <c r="I39" s="14"/>
    </row>
    <row r="40" spans="1:9">
      <c r="A40" s="2">
        <f>A36+1</f>
        <v>13</v>
      </c>
      <c r="D40" s="101" t="s">
        <v>1562</v>
      </c>
      <c r="E40" s="7">
        <f>'29-WholesaleTRRs'!F27</f>
        <v>34759199.470392689</v>
      </c>
      <c r="G40" s="47" t="str">
        <f>"29-WholesaleTRRs, Line "&amp;'29-WholesaleTRRs'!A27&amp;", C3"</f>
        <v>29-WholesaleTRRs, Line 13, C3</v>
      </c>
      <c r="H40" s="14"/>
      <c r="I40" s="14"/>
    </row>
    <row r="41" spans="1:9">
      <c r="A41" s="2">
        <f>A40+1</f>
        <v>14</v>
      </c>
      <c r="D41" s="101" t="s">
        <v>1560</v>
      </c>
      <c r="E41" s="122">
        <f>'32-GrossLoad'!F10</f>
        <v>162441.60000000001</v>
      </c>
      <c r="F41" s="16" t="s">
        <v>164</v>
      </c>
      <c r="G41" s="47" t="str">
        <f>"32-Gross Load, Line "&amp;'32-GrossLoad'!A10&amp;""</f>
        <v>32-Gross Load, Line 4</v>
      </c>
      <c r="H41" s="14"/>
      <c r="I41" s="14"/>
    </row>
    <row r="42" spans="1:9">
      <c r="A42" s="2">
        <f>A41+1</f>
        <v>15</v>
      </c>
      <c r="D42" s="101" t="s">
        <v>1563</v>
      </c>
      <c r="E42" s="79">
        <f>ROUND((E40/(E41*1000)),2)</f>
        <v>0.21</v>
      </c>
      <c r="F42" s="13" t="s">
        <v>357</v>
      </c>
      <c r="G42" s="123" t="str">
        <f>"Line "&amp;A40&amp;" / (Line "&amp;A41&amp;" * 1000)"</f>
        <v>Line 13 / (Line 14 * 1000)</v>
      </c>
      <c r="H42" s="14"/>
      <c r="I42" s="14"/>
    </row>
    <row r="43" spans="1:9">
      <c r="G43" s="14"/>
      <c r="H43" s="14"/>
      <c r="I43" s="14"/>
    </row>
    <row r="45" spans="1:9">
      <c r="B45" s="53" t="s">
        <v>256</v>
      </c>
    </row>
    <row r="46" spans="1:9">
      <c r="B46" s="12" t="s">
        <v>1583</v>
      </c>
    </row>
    <row r="47" spans="1:9">
      <c r="B47" s="515" t="s">
        <v>2044</v>
      </c>
      <c r="D47" s="14"/>
    </row>
  </sheetData>
  <phoneticPr fontId="23" type="noConversion"/>
  <pageMargins left="0.75" right="0.75" top="1" bottom="1" header="0.5" footer="0.5"/>
  <pageSetup scale="84" orientation="portrait" cellComments="asDisplayed" r:id="rId1"/>
  <headerFooter alignWithMargins="0">
    <oddHeader>&amp;CSchedule 30
Wholesale Rates
&amp;RTO2019 Draft Annual Update
Attachment 5
TO13 True Up TRR</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50" customWidth="1"/>
    <col min="3" max="3" width="16.28515625" style="150" customWidth="1"/>
    <col min="4" max="4" width="14.7109375" style="150" customWidth="1"/>
    <col min="5" max="5" width="16" style="150" customWidth="1"/>
    <col min="6" max="6" width="3.42578125" style="150" bestFit="1" customWidth="1"/>
    <col min="7" max="8" width="14.7109375" style="150" customWidth="1"/>
    <col min="9" max="9" width="17.28515625" style="150" customWidth="1"/>
    <col min="10" max="11" width="14.7109375" style="150" customWidth="1"/>
  </cols>
  <sheetData>
    <row r="1" spans="1:11">
      <c r="A1" s="269" t="s">
        <v>502</v>
      </c>
      <c r="B1" s="17"/>
      <c r="C1" s="17"/>
      <c r="D1" s="17"/>
      <c r="E1" s="17"/>
      <c r="F1" s="17"/>
      <c r="G1" s="17"/>
      <c r="H1" s="17"/>
      <c r="I1" s="17"/>
      <c r="J1" s="17"/>
      <c r="K1" s="17"/>
    </row>
    <row r="2" spans="1:11">
      <c r="A2" s="17" t="s">
        <v>512</v>
      </c>
      <c r="B2" s="17"/>
      <c r="C2" s="17"/>
      <c r="D2" s="17"/>
      <c r="E2" s="17"/>
      <c r="F2" s="17"/>
      <c r="G2" s="17"/>
      <c r="H2" s="17"/>
      <c r="I2" s="270" t="s">
        <v>494</v>
      </c>
      <c r="J2" s="270"/>
      <c r="K2" s="17"/>
    </row>
    <row r="3" spans="1:11">
      <c r="A3" s="12"/>
      <c r="B3" s="17"/>
      <c r="C3" s="17"/>
      <c r="D3" s="17"/>
      <c r="E3" s="17"/>
      <c r="F3" s="17"/>
      <c r="G3" s="17"/>
      <c r="H3" s="17"/>
      <c r="I3" s="17"/>
      <c r="J3" s="17"/>
      <c r="K3" s="17"/>
    </row>
    <row r="4" spans="1:11">
      <c r="A4" s="12"/>
      <c r="B4" s="17"/>
      <c r="C4" s="17"/>
      <c r="D4" s="17"/>
      <c r="E4" s="17"/>
      <c r="F4" s="17"/>
      <c r="G4" s="526" t="s">
        <v>1979</v>
      </c>
      <c r="H4" s="526"/>
      <c r="I4" s="526"/>
      <c r="J4" s="526"/>
      <c r="K4" s="17"/>
    </row>
    <row r="5" spans="1:11">
      <c r="A5" s="12"/>
      <c r="B5" s="269" t="s">
        <v>524</v>
      </c>
      <c r="C5" s="17"/>
      <c r="D5" s="17"/>
      <c r="E5" s="17"/>
      <c r="F5" s="17"/>
      <c r="G5" s="526" t="s">
        <v>1980</v>
      </c>
      <c r="H5" s="526"/>
      <c r="I5" s="526"/>
      <c r="J5" s="526"/>
      <c r="K5" s="17"/>
    </row>
    <row r="6" spans="1:11">
      <c r="A6" s="12"/>
      <c r="B6" s="17"/>
      <c r="C6" s="26" t="s">
        <v>504</v>
      </c>
      <c r="D6" s="26"/>
      <c r="E6" s="26"/>
      <c r="F6" s="26"/>
      <c r="G6" s="26"/>
      <c r="H6" s="26"/>
      <c r="I6" s="26" t="s">
        <v>14</v>
      </c>
      <c r="J6" s="26" t="s">
        <v>15</v>
      </c>
      <c r="K6" s="26" t="s">
        <v>85</v>
      </c>
    </row>
    <row r="7" spans="1:11">
      <c r="A7" s="12"/>
      <c r="B7" s="269" t="s">
        <v>509</v>
      </c>
      <c r="C7" s="31" t="s">
        <v>505</v>
      </c>
      <c r="D7" s="31" t="s">
        <v>466</v>
      </c>
      <c r="E7" s="31" t="s">
        <v>499</v>
      </c>
      <c r="F7" s="31"/>
      <c r="G7" s="31" t="s">
        <v>506</v>
      </c>
      <c r="H7" s="31" t="s">
        <v>507</v>
      </c>
      <c r="I7" s="31" t="s">
        <v>499</v>
      </c>
      <c r="J7" s="31" t="s">
        <v>499</v>
      </c>
      <c r="K7" s="31" t="s">
        <v>508</v>
      </c>
    </row>
    <row r="8" spans="1:11">
      <c r="A8" s="3" t="s">
        <v>360</v>
      </c>
      <c r="B8" s="269"/>
      <c r="C8" s="31"/>
      <c r="D8" s="31"/>
      <c r="E8" s="31"/>
      <c r="F8" s="31"/>
      <c r="G8" s="31"/>
      <c r="H8" s="31"/>
      <c r="I8" s="31"/>
      <c r="J8" s="31"/>
      <c r="K8" s="31"/>
    </row>
    <row r="9" spans="1:11">
      <c r="A9" s="2">
        <v>1</v>
      </c>
      <c r="B9" s="271" t="s">
        <v>511</v>
      </c>
      <c r="C9" s="272"/>
      <c r="D9" s="273"/>
      <c r="E9" s="273"/>
      <c r="F9" s="274"/>
      <c r="G9" s="272"/>
      <c r="H9" s="275"/>
      <c r="I9" s="275"/>
      <c r="J9" s="275"/>
      <c r="K9" s="275"/>
    </row>
    <row r="10" spans="1:11">
      <c r="A10" s="2">
        <f>A9+1</f>
        <v>2</v>
      </c>
      <c r="B10" s="276" t="s">
        <v>1323</v>
      </c>
      <c r="C10" s="277">
        <f>SUM(D10:E10)</f>
        <v>4456571806.8405781</v>
      </c>
      <c r="D10" s="278">
        <f>G10+H10</f>
        <v>207303576.66310143</v>
      </c>
      <c r="E10" s="278">
        <f>I10+J10</f>
        <v>4249268230.1774769</v>
      </c>
      <c r="F10" s="279"/>
      <c r="G10" s="824">
        <v>207303576.66310143</v>
      </c>
      <c r="H10" s="824">
        <v>0</v>
      </c>
      <c r="I10" s="824">
        <v>4249268230.1774769</v>
      </c>
      <c r="J10" s="824">
        <v>0</v>
      </c>
      <c r="K10" s="824">
        <v>0</v>
      </c>
    </row>
    <row r="11" spans="1:11">
      <c r="A11" s="2">
        <f t="shared" ref="A11:A47" si="0">A10+1</f>
        <v>3</v>
      </c>
      <c r="B11" s="276" t="s">
        <v>503</v>
      </c>
      <c r="C11" s="280">
        <f>SUM(D11:E11)</f>
        <v>97777322.6793935</v>
      </c>
      <c r="D11" s="281">
        <f>G11+H11</f>
        <v>5523117.0762849972</v>
      </c>
      <c r="E11" s="281">
        <f>I11+J11</f>
        <v>92254205.603108495</v>
      </c>
      <c r="F11" s="282"/>
      <c r="G11" s="283">
        <v>0</v>
      </c>
      <c r="H11" s="283">
        <v>5523117.0762849972</v>
      </c>
      <c r="I11" s="283">
        <v>0</v>
      </c>
      <c r="J11" s="283">
        <v>92254205.603108495</v>
      </c>
      <c r="K11" s="283">
        <v>0</v>
      </c>
    </row>
    <row r="12" spans="1:11">
      <c r="A12" s="2">
        <f t="shared" si="0"/>
        <v>4</v>
      </c>
      <c r="B12" s="1100" t="s">
        <v>1978</v>
      </c>
      <c r="C12" s="284">
        <f>SUM(C10:C11)</f>
        <v>4554349129.5199718</v>
      </c>
      <c r="D12" s="284">
        <f t="shared" ref="D12:K12" si="1">SUM(D10:D11)</f>
        <v>212826693.73938644</v>
      </c>
      <c r="E12" s="284">
        <f t="shared" si="1"/>
        <v>4341522435.7805853</v>
      </c>
      <c r="F12" s="284"/>
      <c r="G12" s="284">
        <f t="shared" si="1"/>
        <v>207303576.66310143</v>
      </c>
      <c r="H12" s="284">
        <f t="shared" si="1"/>
        <v>5523117.0762849972</v>
      </c>
      <c r="I12" s="284">
        <f t="shared" si="1"/>
        <v>4249268230.1774769</v>
      </c>
      <c r="J12" s="284">
        <f t="shared" si="1"/>
        <v>92254205.603108495</v>
      </c>
      <c r="K12" s="284">
        <f t="shared" si="1"/>
        <v>0</v>
      </c>
    </row>
    <row r="13" spans="1:11">
      <c r="A13" s="2">
        <f t="shared" si="0"/>
        <v>5</v>
      </c>
      <c r="B13" s="285"/>
      <c r="C13" s="286"/>
      <c r="D13" s="286"/>
      <c r="E13" s="286"/>
      <c r="F13" s="287"/>
      <c r="G13" s="286"/>
      <c r="H13" s="288"/>
      <c r="I13" s="289"/>
      <c r="J13" s="288"/>
      <c r="K13" s="288"/>
    </row>
    <row r="14" spans="1:11">
      <c r="A14" s="2">
        <f t="shared" si="0"/>
        <v>6</v>
      </c>
      <c r="B14" s="290" t="s">
        <v>500</v>
      </c>
      <c r="C14" s="286"/>
      <c r="D14" s="286"/>
      <c r="E14" s="286"/>
      <c r="F14" s="287"/>
      <c r="G14" s="286"/>
      <c r="H14" s="288"/>
      <c r="I14" s="289"/>
      <c r="J14" s="288"/>
      <c r="K14" s="288"/>
    </row>
    <row r="15" spans="1:11">
      <c r="A15" s="2">
        <f t="shared" si="0"/>
        <v>7</v>
      </c>
      <c r="B15" s="291" t="s">
        <v>510</v>
      </c>
      <c r="C15" s="278">
        <f>SUM(D15:E15)</f>
        <v>3527998671.120451</v>
      </c>
      <c r="D15" s="278">
        <f>G15+H15</f>
        <v>39632448.522313528</v>
      </c>
      <c r="E15" s="278">
        <f>I15+J15</f>
        <v>3488366222.5981374</v>
      </c>
      <c r="F15" s="292"/>
      <c r="G15" s="825">
        <v>39632448.522313528</v>
      </c>
      <c r="H15" s="826">
        <v>0</v>
      </c>
      <c r="I15" s="825">
        <v>3488366222.5981374</v>
      </c>
      <c r="J15" s="826">
        <v>0</v>
      </c>
      <c r="K15" s="826">
        <v>0</v>
      </c>
    </row>
    <row r="16" spans="1:11">
      <c r="A16" s="2">
        <f t="shared" si="0"/>
        <v>8</v>
      </c>
      <c r="B16" s="996" t="s">
        <v>2679</v>
      </c>
      <c r="C16" s="286">
        <f>SUM(D16:E16)</f>
        <v>449562934.3716104</v>
      </c>
      <c r="D16" s="278">
        <f>G16+H16</f>
        <v>190904.55649879423</v>
      </c>
      <c r="E16" s="278">
        <f>I16+J16+K16</f>
        <v>449372029.81511164</v>
      </c>
      <c r="F16" s="287"/>
      <c r="G16" s="826">
        <v>110504.92212449294</v>
      </c>
      <c r="H16" s="826">
        <v>80399.634374301299</v>
      </c>
      <c r="I16" s="826">
        <v>267329959.43419534</v>
      </c>
      <c r="J16" s="826">
        <v>128270186.53408805</v>
      </c>
      <c r="K16" s="826">
        <v>53771883.846828237</v>
      </c>
    </row>
    <row r="17" spans="1:11" ht="15">
      <c r="A17" s="2">
        <f t="shared" si="0"/>
        <v>9</v>
      </c>
      <c r="B17" s="996" t="s">
        <v>2785</v>
      </c>
      <c r="C17" s="293">
        <f>SUM(D17:E17)</f>
        <v>41534818.091050737</v>
      </c>
      <c r="D17" s="281">
        <f>G17+H17</f>
        <v>127274.00001383394</v>
      </c>
      <c r="E17" s="294">
        <f>I17+J17</f>
        <v>41407544.091036901</v>
      </c>
      <c r="F17" s="295"/>
      <c r="G17" s="296">
        <v>0</v>
      </c>
      <c r="H17" s="827">
        <v>127274.00001383394</v>
      </c>
      <c r="I17" s="296">
        <v>0</v>
      </c>
      <c r="J17" s="827">
        <v>41407544.091036901</v>
      </c>
      <c r="K17" s="296">
        <v>0</v>
      </c>
    </row>
    <row r="18" spans="1:11">
      <c r="A18" s="2">
        <f t="shared" si="0"/>
        <v>10</v>
      </c>
      <c r="B18" s="1101" t="s">
        <v>2180</v>
      </c>
      <c r="C18" s="278">
        <f>SUM(C15:C17)</f>
        <v>4019096423.5831122</v>
      </c>
      <c r="D18" s="278">
        <f>SUM(D15:D17)</f>
        <v>39950627.078826159</v>
      </c>
      <c r="E18" s="278">
        <f>SUM(E15:E17)</f>
        <v>3979145796.5042858</v>
      </c>
      <c r="F18" s="297"/>
      <c r="G18" s="278">
        <f>SUM(G15:G17)</f>
        <v>39742953.444438018</v>
      </c>
      <c r="H18" s="278">
        <f>SUM(H15:H17)</f>
        <v>207673.63438813522</v>
      </c>
      <c r="I18" s="278">
        <f>SUM(I15:I17)</f>
        <v>3755696182.0323329</v>
      </c>
      <c r="J18" s="278">
        <f>SUM(J15:J17)</f>
        <v>169677730.62512493</v>
      </c>
      <c r="K18" s="278">
        <f>SUM(K15:K17)</f>
        <v>53771883.846828237</v>
      </c>
    </row>
    <row r="19" spans="1:11">
      <c r="A19" s="2">
        <f t="shared" si="0"/>
        <v>11</v>
      </c>
      <c r="B19" s="285"/>
      <c r="C19" s="1102"/>
      <c r="D19" s="1102"/>
      <c r="E19" s="1102"/>
      <c r="F19" s="299"/>
      <c r="G19" s="298"/>
      <c r="H19" s="298"/>
      <c r="I19" s="298"/>
      <c r="J19" s="298"/>
      <c r="K19" s="298"/>
    </row>
    <row r="20" spans="1:11">
      <c r="A20" s="2">
        <f t="shared" si="0"/>
        <v>12</v>
      </c>
      <c r="B20" s="1101" t="s">
        <v>501</v>
      </c>
      <c r="C20" s="1103">
        <f>C12+C18</f>
        <v>8573445553.1030846</v>
      </c>
      <c r="D20" s="1103">
        <f t="shared" ref="D20:K20" si="2">D12+D18</f>
        <v>252777320.8182126</v>
      </c>
      <c r="E20" s="1103">
        <f>E12+E18</f>
        <v>8320668232.2848711</v>
      </c>
      <c r="F20" s="300"/>
      <c r="G20" s="300">
        <f t="shared" si="2"/>
        <v>247046530.10753945</v>
      </c>
      <c r="H20" s="300">
        <f t="shared" si="2"/>
        <v>5730790.710673132</v>
      </c>
      <c r="I20" s="300">
        <f t="shared" si="2"/>
        <v>8004964412.2098103</v>
      </c>
      <c r="J20" s="300">
        <f t="shared" si="2"/>
        <v>261931936.22823343</v>
      </c>
      <c r="K20" s="300">
        <f t="shared" si="2"/>
        <v>53771883.846828237</v>
      </c>
    </row>
    <row r="21" spans="1:11">
      <c r="A21" s="2">
        <f t="shared" si="0"/>
        <v>13</v>
      </c>
      <c r="B21" s="17"/>
      <c r="C21" s="301"/>
      <c r="D21" s="302"/>
      <c r="E21" s="301"/>
      <c r="F21" s="17"/>
      <c r="G21" s="301"/>
      <c r="H21" s="301"/>
      <c r="I21" s="301"/>
      <c r="J21" s="301"/>
      <c r="K21" s="301"/>
    </row>
    <row r="22" spans="1:11">
      <c r="A22" s="2">
        <f t="shared" si="0"/>
        <v>14</v>
      </c>
      <c r="B22" s="17"/>
      <c r="C22" s="301"/>
      <c r="D22" s="302"/>
      <c r="E22" s="301"/>
      <c r="F22" s="17"/>
      <c r="G22" s="301"/>
      <c r="H22" s="301"/>
      <c r="I22" s="301"/>
      <c r="J22" s="301"/>
      <c r="K22" s="301"/>
    </row>
    <row r="23" spans="1:11">
      <c r="A23" s="2">
        <f t="shared" si="0"/>
        <v>15</v>
      </c>
      <c r="B23" s="528" t="s">
        <v>2686</v>
      </c>
      <c r="C23" s="301"/>
      <c r="D23" s="302"/>
      <c r="E23" s="301"/>
      <c r="F23" s="17"/>
      <c r="G23" s="301"/>
      <c r="H23" s="301"/>
      <c r="I23" s="301"/>
      <c r="J23" s="301"/>
      <c r="K23" s="301"/>
    </row>
    <row r="24" spans="1:11">
      <c r="A24" s="2">
        <f t="shared" si="0"/>
        <v>16</v>
      </c>
      <c r="B24" s="17"/>
      <c r="C24" s="303" t="s">
        <v>514</v>
      </c>
      <c r="D24" s="26" t="s">
        <v>515</v>
      </c>
      <c r="E24" s="26"/>
      <c r="F24" s="17"/>
      <c r="G24" s="17"/>
      <c r="H24" s="17"/>
      <c r="I24" s="17"/>
      <c r="J24" s="17"/>
      <c r="K24" s="17"/>
    </row>
    <row r="25" spans="1:11">
      <c r="A25" s="2">
        <f t="shared" si="0"/>
        <v>17</v>
      </c>
      <c r="B25" s="17" t="s">
        <v>359</v>
      </c>
      <c r="C25" s="31" t="s">
        <v>513</v>
      </c>
      <c r="D25" s="31" t="s">
        <v>513</v>
      </c>
      <c r="E25" s="31" t="s">
        <v>215</v>
      </c>
      <c r="F25" s="17"/>
      <c r="G25" s="304" t="s">
        <v>256</v>
      </c>
      <c r="H25" s="17"/>
      <c r="I25" s="17"/>
      <c r="J25" s="17"/>
      <c r="K25" s="17"/>
    </row>
    <row r="26" spans="1:11">
      <c r="A26" s="2">
        <f t="shared" si="0"/>
        <v>18</v>
      </c>
      <c r="B26" s="84" t="s">
        <v>466</v>
      </c>
      <c r="C26" s="300">
        <f>G20</f>
        <v>247046530.10753945</v>
      </c>
      <c r="D26" s="300">
        <f>H20</f>
        <v>5730790.710673132</v>
      </c>
      <c r="E26" s="305">
        <f>SUM(C26:D26)</f>
        <v>252777320.81821257</v>
      </c>
      <c r="F26" s="17"/>
      <c r="G26" s="17" t="s">
        <v>519</v>
      </c>
      <c r="H26" s="17"/>
      <c r="I26" s="17"/>
      <c r="J26" s="17"/>
      <c r="K26" s="17"/>
    </row>
    <row r="27" spans="1:11">
      <c r="A27" s="2">
        <f t="shared" si="0"/>
        <v>19</v>
      </c>
      <c r="B27" s="84" t="s">
        <v>499</v>
      </c>
      <c r="C27" s="300">
        <f>I20</f>
        <v>8004964412.2098103</v>
      </c>
      <c r="D27" s="300">
        <f>J20</f>
        <v>261931936.22823343</v>
      </c>
      <c r="E27" s="305">
        <f>SUM(C27:D27)</f>
        <v>8266896348.4380436</v>
      </c>
      <c r="F27" s="17"/>
      <c r="G27" s="17" t="s">
        <v>519</v>
      </c>
      <c r="H27" s="17"/>
      <c r="I27" s="17"/>
      <c r="J27" s="17"/>
      <c r="K27" s="17"/>
    </row>
    <row r="28" spans="1:11">
      <c r="A28" s="2">
        <f t="shared" si="0"/>
        <v>20</v>
      </c>
      <c r="B28" s="32" t="s">
        <v>517</v>
      </c>
      <c r="C28" s="300">
        <f>SUM(C26:C27)</f>
        <v>8252010942.3173494</v>
      </c>
      <c r="D28" s="300">
        <f>SUM(D26:D27)</f>
        <v>267662726.93890655</v>
      </c>
      <c r="E28" s="300">
        <f>SUM(C28:D28)</f>
        <v>8519673669.2562561</v>
      </c>
      <c r="F28" s="17"/>
      <c r="G28" s="17" t="s">
        <v>520</v>
      </c>
      <c r="H28" s="17"/>
      <c r="I28" s="17"/>
      <c r="J28" s="17"/>
      <c r="K28" s="17"/>
    </row>
    <row r="29" spans="1:11">
      <c r="A29" s="120">
        <f t="shared" si="0"/>
        <v>21</v>
      </c>
      <c r="B29" s="306" t="s">
        <v>516</v>
      </c>
      <c r="C29" s="307">
        <f>C28/E28</f>
        <v>0.96858298365290874</v>
      </c>
      <c r="D29" s="307">
        <f>D28/E28</f>
        <v>3.1417016347091237E-2</v>
      </c>
      <c r="E29" s="308"/>
      <c r="F29" s="1104"/>
      <c r="G29" s="1105" t="s">
        <v>521</v>
      </c>
      <c r="H29" s="285"/>
      <c r="I29" s="285"/>
      <c r="J29" s="285"/>
      <c r="K29" s="1104"/>
    </row>
    <row r="30" spans="1:11">
      <c r="A30" s="120">
        <f t="shared" si="0"/>
        <v>22</v>
      </c>
      <c r="B30" s="309"/>
      <c r="C30" s="310"/>
      <c r="D30" s="310"/>
      <c r="E30" s="310"/>
      <c r="F30" s="309"/>
      <c r="G30" s="309"/>
      <c r="H30" s="309"/>
      <c r="I30" s="309"/>
      <c r="J30" s="309"/>
      <c r="K30" s="309"/>
    </row>
    <row r="31" spans="1:11">
      <c r="A31" s="120">
        <f t="shared" si="0"/>
        <v>23</v>
      </c>
      <c r="B31" s="285" t="s">
        <v>518</v>
      </c>
      <c r="C31" s="1106">
        <f>K20*C29</f>
        <v>52082531.692998543</v>
      </c>
      <c r="D31" s="1106">
        <f>K20*D29</f>
        <v>1689352.153829694</v>
      </c>
      <c r="E31" s="1106">
        <f>K20</f>
        <v>53771883.846828237</v>
      </c>
      <c r="F31" s="285"/>
      <c r="G31" s="526" t="str">
        <f>"Straddling Transformers split by Gross Plant Percentages on Line "&amp;A29&amp;""</f>
        <v>Straddling Transformers split by Gross Plant Percentages on Line 21</v>
      </c>
      <c r="H31" s="285"/>
      <c r="I31" s="285"/>
      <c r="J31" s="285"/>
      <c r="K31" s="285"/>
    </row>
    <row r="32" spans="1:11">
      <c r="A32" s="120">
        <f t="shared" si="0"/>
        <v>24</v>
      </c>
      <c r="B32" s="682" t="s">
        <v>1914</v>
      </c>
      <c r="C32" s="1107">
        <v>0</v>
      </c>
      <c r="D32" s="1107">
        <v>0</v>
      </c>
      <c r="E32" s="1107">
        <f>SUM(C32:D32)</f>
        <v>0</v>
      </c>
      <c r="F32" s="682"/>
      <c r="G32" s="682" t="s">
        <v>1915</v>
      </c>
      <c r="H32" s="1108"/>
      <c r="I32" s="285"/>
      <c r="J32" s="285"/>
      <c r="K32" s="285"/>
    </row>
    <row r="33" spans="1:11">
      <c r="A33" s="120">
        <f t="shared" si="0"/>
        <v>25</v>
      </c>
      <c r="B33" s="285" t="s">
        <v>522</v>
      </c>
      <c r="C33" s="278">
        <f>C28+C31+C32</f>
        <v>8304093474.0103483</v>
      </c>
      <c r="D33" s="278">
        <f>D28+D31+D32</f>
        <v>269352079.09273624</v>
      </c>
      <c r="E33" s="278">
        <f>E28+E31+E32</f>
        <v>8573445553.1030846</v>
      </c>
      <c r="F33" s="285"/>
      <c r="G33" s="682" t="str">
        <f>"Line "&amp;A28&amp;" + Line "&amp;A31&amp;" + Line "&amp;A32&amp;""</f>
        <v>Line 20 + Line 23 + Line 24</v>
      </c>
      <c r="H33" s="682"/>
      <c r="I33" s="285"/>
      <c r="J33" s="285"/>
      <c r="K33" s="285"/>
    </row>
    <row r="34" spans="1:11">
      <c r="A34" s="120">
        <f t="shared" si="0"/>
        <v>26</v>
      </c>
      <c r="B34" s="285"/>
      <c r="C34" s="311"/>
      <c r="D34" s="311"/>
      <c r="E34" s="1109"/>
      <c r="F34" s="285"/>
      <c r="G34" s="285"/>
      <c r="H34" s="285"/>
      <c r="I34" s="285"/>
      <c r="J34" s="285"/>
      <c r="K34" s="285"/>
    </row>
    <row r="35" spans="1:11">
      <c r="A35" s="120">
        <f t="shared" si="0"/>
        <v>27</v>
      </c>
      <c r="B35" s="285"/>
      <c r="C35" s="1110"/>
      <c r="D35" s="1110"/>
      <c r="E35" s="285"/>
      <c r="F35" s="285"/>
      <c r="G35" s="1110"/>
      <c r="H35" s="1110"/>
      <c r="I35" s="1110"/>
      <c r="J35" s="285"/>
      <c r="K35" s="285"/>
    </row>
    <row r="36" spans="1:11">
      <c r="A36" s="120">
        <f t="shared" si="0"/>
        <v>28</v>
      </c>
      <c r="B36" s="290" t="s">
        <v>525</v>
      </c>
      <c r="C36" s="285"/>
      <c r="D36" s="285"/>
      <c r="E36" s="285"/>
      <c r="F36" s="285"/>
      <c r="G36" s="285"/>
      <c r="H36" s="285"/>
      <c r="I36" s="285"/>
      <c r="J36" s="285"/>
      <c r="K36" s="285"/>
    </row>
    <row r="37" spans="1:11">
      <c r="A37" s="120">
        <f t="shared" si="0"/>
        <v>29</v>
      </c>
      <c r="B37" s="290"/>
      <c r="C37" s="285"/>
      <c r="D37" s="285"/>
      <c r="E37" s="285"/>
      <c r="F37" s="285"/>
      <c r="G37" s="285"/>
      <c r="H37" s="285"/>
      <c r="I37" s="285"/>
      <c r="J37" s="285"/>
      <c r="K37" s="285"/>
    </row>
    <row r="38" spans="1:11">
      <c r="A38" s="120">
        <f t="shared" si="0"/>
        <v>30</v>
      </c>
      <c r="B38" s="290"/>
      <c r="C38" s="1111" t="s">
        <v>514</v>
      </c>
      <c r="D38" s="452" t="s">
        <v>515</v>
      </c>
      <c r="E38" s="452"/>
      <c r="F38" s="285"/>
      <c r="G38" s="285"/>
      <c r="H38" s="285"/>
      <c r="I38" s="285"/>
      <c r="J38" s="285"/>
      <c r="K38" s="285"/>
    </row>
    <row r="39" spans="1:11">
      <c r="A39" s="120">
        <f t="shared" si="0"/>
        <v>31</v>
      </c>
      <c r="B39" s="290"/>
      <c r="C39" s="503" t="s">
        <v>513</v>
      </c>
      <c r="D39" s="503" t="s">
        <v>513</v>
      </c>
      <c r="E39" s="503" t="s">
        <v>215</v>
      </c>
      <c r="F39" s="285"/>
      <c r="G39" s="1112" t="s">
        <v>256</v>
      </c>
      <c r="H39" s="285"/>
      <c r="I39" s="285"/>
      <c r="J39" s="285"/>
      <c r="K39" s="285"/>
    </row>
    <row r="40" spans="1:11">
      <c r="A40" s="120">
        <f t="shared" si="0"/>
        <v>32</v>
      </c>
      <c r="B40" s="285" t="s">
        <v>522</v>
      </c>
      <c r="C40" s="292">
        <f>C33</f>
        <v>8304093474.0103483</v>
      </c>
      <c r="D40" s="292">
        <f>D33</f>
        <v>269352079.09273624</v>
      </c>
      <c r="E40" s="292">
        <f>E33</f>
        <v>8573445553.1030846</v>
      </c>
      <c r="F40" s="285"/>
      <c r="G40" s="285" t="str">
        <f>"Line "&amp;A33&amp;""</f>
        <v>Line 25</v>
      </c>
      <c r="H40" s="285"/>
      <c r="I40" s="285"/>
      <c r="J40" s="285"/>
      <c r="K40" s="285"/>
    </row>
    <row r="41" spans="1:11">
      <c r="A41" s="120">
        <f t="shared" si="0"/>
        <v>33</v>
      </c>
      <c r="B41" s="526" t="s">
        <v>1819</v>
      </c>
      <c r="C41" s="292">
        <f>'16-PlantAdditions'!K37-'16-PlantAdditions'!P37</f>
        <v>508628193.74837041</v>
      </c>
      <c r="D41" s="292">
        <f>'16-PlantAdditions'!P37</f>
        <v>12714511.833981665</v>
      </c>
      <c r="E41" s="1113">
        <f>SUM(C41:D41)</f>
        <v>521342705.5823521</v>
      </c>
      <c r="F41" s="285"/>
      <c r="G41" s="285" t="str">
        <f>"13-Month Average: 16-PlantAdditions, Line "&amp;'16-PlantAdditions'!A37&amp;", Cols 7  (for Total) and 12 (for LV).  HV = C7 - C12."</f>
        <v>13-Month Average: 16-PlantAdditions, Line 25, Cols 7  (for Total) and 12 (for LV).  HV = C7 - C12.</v>
      </c>
      <c r="H41" s="285"/>
      <c r="I41" s="285"/>
      <c r="J41" s="285"/>
      <c r="K41" s="285"/>
    </row>
    <row r="42" spans="1:11">
      <c r="A42" s="120">
        <f t="shared" si="0"/>
        <v>34</v>
      </c>
      <c r="B42" s="526" t="s">
        <v>1818</v>
      </c>
      <c r="C42" s="603">
        <f>'10-CWIP'!K79</f>
        <v>301458236.65036392</v>
      </c>
      <c r="D42" s="603">
        <v>0</v>
      </c>
      <c r="E42" s="603">
        <f>SUM(C42:D42)</f>
        <v>301458236.65036392</v>
      </c>
      <c r="F42" s="285"/>
      <c r="G42" s="285" t="str">
        <f>"13 Month Average: 10-CWIP, Line "&amp;'10-CWIP'!A79&amp;", Col. 8"</f>
        <v>13 Month Average: 10-CWIP, Line 54, Col. 8</v>
      </c>
      <c r="H42" s="285"/>
      <c r="I42" s="285"/>
      <c r="J42" s="285"/>
      <c r="K42" s="285"/>
    </row>
    <row r="43" spans="1:11">
      <c r="A43" s="120">
        <f t="shared" si="0"/>
        <v>35</v>
      </c>
      <c r="B43" s="285" t="s">
        <v>523</v>
      </c>
      <c r="C43" s="292">
        <f>SUM(C40:C42)</f>
        <v>9114179904.4090824</v>
      </c>
      <c r="D43" s="292">
        <f t="shared" ref="D43:E43" si="3">SUM(D40:D42)</f>
        <v>282066590.92671794</v>
      </c>
      <c r="E43" s="292">
        <f t="shared" si="3"/>
        <v>9396246495.3358002</v>
      </c>
      <c r="F43" s="285"/>
      <c r="G43" s="285" t="str">
        <f>"Line "&amp;A40&amp;" + Line "&amp;A41&amp;" + Line "&amp;A42&amp;""</f>
        <v>Line 32 + Line 33 + Line 34</v>
      </c>
      <c r="H43" s="285"/>
      <c r="I43" s="285"/>
      <c r="J43" s="285"/>
      <c r="K43" s="285"/>
    </row>
    <row r="44" spans="1:11">
      <c r="A44" s="120">
        <f t="shared" si="0"/>
        <v>36</v>
      </c>
      <c r="B44" s="285"/>
      <c r="C44" s="285"/>
      <c r="D44" s="285"/>
      <c r="E44" s="285"/>
      <c r="F44" s="285"/>
      <c r="G44" s="285"/>
      <c r="H44" s="285"/>
      <c r="I44" s="285"/>
      <c r="J44" s="285"/>
      <c r="K44" s="285"/>
    </row>
    <row r="45" spans="1:11">
      <c r="A45" s="120">
        <f t="shared" si="0"/>
        <v>37</v>
      </c>
      <c r="B45" s="285" t="s">
        <v>1246</v>
      </c>
      <c r="C45" s="1114">
        <f>C43/E43</f>
        <v>0.96998092897342225</v>
      </c>
      <c r="D45" s="1114">
        <f>D43/E43</f>
        <v>3.001907102657778E-2</v>
      </c>
      <c r="E45" s="285"/>
      <c r="F45" s="285"/>
      <c r="G45" s="1115" t="str">
        <f>"Percent of Total on Line "&amp;A43&amp;""</f>
        <v>Percent of Total on Line 35</v>
      </c>
      <c r="H45" s="285"/>
      <c r="I45" s="285"/>
      <c r="J45" s="285"/>
      <c r="K45" s="285"/>
    </row>
    <row r="46" spans="1:11">
      <c r="A46" s="120">
        <f t="shared" si="0"/>
        <v>38</v>
      </c>
      <c r="B46" s="1053" t="s">
        <v>1642</v>
      </c>
      <c r="C46" s="285"/>
      <c r="D46" s="285"/>
      <c r="E46" s="285"/>
      <c r="F46" s="285"/>
      <c r="G46" s="285"/>
      <c r="H46" s="285"/>
      <c r="I46" s="285"/>
      <c r="J46" s="285"/>
      <c r="K46" s="285"/>
    </row>
    <row r="47" spans="1:11">
      <c r="A47" s="120">
        <f t="shared" si="0"/>
        <v>39</v>
      </c>
      <c r="B47" s="526" t="s">
        <v>1822</v>
      </c>
      <c r="C47" s="285"/>
      <c r="D47" s="285"/>
      <c r="E47" s="285"/>
      <c r="F47" s="285"/>
      <c r="G47" s="285"/>
      <c r="H47" s="285"/>
      <c r="I47" s="285"/>
      <c r="J47" s="285"/>
      <c r="K47" s="285"/>
    </row>
    <row r="48" spans="1:11">
      <c r="A48" s="15"/>
      <c r="B48" s="45"/>
      <c r="C48" s="285"/>
      <c r="D48" s="285"/>
      <c r="E48" s="285"/>
      <c r="F48" s="285"/>
      <c r="G48" s="285"/>
      <c r="H48" s="285"/>
      <c r="I48" s="285"/>
      <c r="J48" s="285"/>
      <c r="K48" s="285"/>
    </row>
    <row r="49" spans="1:11">
      <c r="A49" s="15"/>
      <c r="B49" s="45" t="s">
        <v>256</v>
      </c>
      <c r="C49" s="682"/>
      <c r="D49" s="682"/>
      <c r="E49" s="682"/>
      <c r="F49" s="682"/>
      <c r="G49" s="682"/>
      <c r="H49" s="682"/>
      <c r="I49" s="285"/>
      <c r="J49" s="285"/>
      <c r="K49" s="285"/>
    </row>
    <row r="50" spans="1:11">
      <c r="A50" s="15"/>
      <c r="B50" s="682" t="s">
        <v>1916</v>
      </c>
      <c r="C50" s="682"/>
      <c r="D50" s="682"/>
      <c r="E50" s="682"/>
      <c r="F50" s="682"/>
      <c r="G50" s="682"/>
      <c r="H50" s="682"/>
      <c r="I50" s="285"/>
      <c r="J50" s="285"/>
      <c r="K50" s="285"/>
    </row>
    <row r="51" spans="1:11">
      <c r="A51" s="14"/>
      <c r="B51" s="682" t="s">
        <v>1917</v>
      </c>
      <c r="C51" s="1108"/>
      <c r="D51" s="1108"/>
      <c r="E51" s="1108"/>
      <c r="F51" s="1108"/>
      <c r="G51" s="1108"/>
      <c r="H51" s="1108"/>
      <c r="I51" s="1116"/>
      <c r="J51" s="1116"/>
      <c r="K51" s="1116"/>
    </row>
  </sheetData>
  <pageMargins left="0.7" right="0.7" top="0.75" bottom="0.75" header="0.3" footer="0.3"/>
  <pageSetup scale="70" orientation="landscape" cellComments="asDisplayed" r:id="rId1"/>
  <headerFooter>
    <oddHeader>&amp;CSchedule 31
High and Low Voltage Gross Plant
&amp;RTO2019 Draft Annual Update
Attachment 5
TO13 True Up TRR</oddHeader>
    <oddFooter>&amp;R31-HVLV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1838</v>
      </c>
    </row>
    <row r="3" spans="1:8">
      <c r="G3" s="2"/>
    </row>
    <row r="4" spans="1:8">
      <c r="A4" s="3" t="s">
        <v>360</v>
      </c>
      <c r="F4" s="3" t="s">
        <v>312</v>
      </c>
      <c r="G4" s="3" t="s">
        <v>171</v>
      </c>
      <c r="H4" s="53" t="s">
        <v>198</v>
      </c>
    </row>
    <row r="5" spans="1:8">
      <c r="A5" s="2">
        <v>1</v>
      </c>
      <c r="B5" s="515" t="s">
        <v>366</v>
      </c>
      <c r="F5" s="107">
        <v>86680005.390000001</v>
      </c>
      <c r="G5" s="16"/>
      <c r="H5" t="s">
        <v>392</v>
      </c>
    </row>
    <row r="6" spans="1:8">
      <c r="A6" s="2">
        <v>2</v>
      </c>
      <c r="B6" s="12" t="s">
        <v>367</v>
      </c>
      <c r="F6" s="1349">
        <v>14868</v>
      </c>
      <c r="G6" s="16"/>
      <c r="H6" t="s">
        <v>393</v>
      </c>
    </row>
    <row r="7" spans="1:8">
      <c r="A7" s="2">
        <v>3</v>
      </c>
      <c r="B7" s="52" t="s">
        <v>355</v>
      </c>
      <c r="F7" s="108">
        <f>SUM(F5:F6)</f>
        <v>86694873.390000001</v>
      </c>
      <c r="G7" s="13" t="s">
        <v>368</v>
      </c>
      <c r="H7" s="12" t="s">
        <v>356</v>
      </c>
    </row>
    <row r="8" spans="1:8">
      <c r="A8" s="2"/>
      <c r="G8" s="16"/>
    </row>
    <row r="9" spans="1:8">
      <c r="A9" s="2"/>
      <c r="G9" s="16"/>
    </row>
    <row r="10" spans="1:8">
      <c r="A10" s="2">
        <v>4</v>
      </c>
      <c r="B10" s="517" t="s">
        <v>2670</v>
      </c>
      <c r="C10" s="14"/>
      <c r="D10" s="14"/>
      <c r="E10" s="37"/>
      <c r="F10" s="1369">
        <v>162441.60000000001</v>
      </c>
      <c r="G10" s="16"/>
      <c r="H10" s="12" t="s">
        <v>392</v>
      </c>
    </row>
    <row r="11" spans="1:8">
      <c r="B11" s="14"/>
      <c r="C11" s="14"/>
      <c r="D11" s="14"/>
    </row>
    <row r="12" spans="1:8">
      <c r="B12" s="14"/>
      <c r="C12" s="14"/>
      <c r="D12" s="14"/>
    </row>
    <row r="13" spans="1:8">
      <c r="B13" s="998" t="s">
        <v>256</v>
      </c>
      <c r="C13" s="14"/>
      <c r="D13" s="14"/>
    </row>
    <row r="14" spans="1:8">
      <c r="B14" s="15" t="s">
        <v>1355</v>
      </c>
      <c r="C14" s="14"/>
      <c r="D14" s="14"/>
    </row>
    <row r="15" spans="1:8">
      <c r="B15" s="15" t="s">
        <v>1356</v>
      </c>
      <c r="C15" s="14"/>
      <c r="D15" s="14"/>
    </row>
    <row r="16" spans="1:8">
      <c r="B16" s="517" t="s">
        <v>2200</v>
      </c>
      <c r="C16" s="14"/>
      <c r="D16" s="14"/>
      <c r="E16" s="14"/>
      <c r="F16" s="14"/>
      <c r="G16" s="14"/>
      <c r="H16" s="14"/>
    </row>
    <row r="18" spans="2:2" ht="15.75">
      <c r="B18" s="665"/>
    </row>
  </sheetData>
  <pageMargins left="0.7" right="0.7" top="0.75" bottom="0.75" header="0.3" footer="0.3"/>
  <pageSetup orientation="landscape" cellComments="asDisplayed" r:id="rId1"/>
  <headerFooter>
    <oddHeader>&amp;CSchedule 32 
Gross Load
&amp;RTO2019 Draft Annual Update
Attachment 5
TO13 True Up TRR</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Normal="100" zoomScalePageLayoutView="75" workbookViewId="0"/>
  </sheetViews>
  <sheetFormatPr defaultColWidth="9.140625" defaultRowHeight="12.75"/>
  <cols>
    <col min="1" max="1" width="5.42578125" style="832" customWidth="1"/>
    <col min="2" max="2" width="18.5703125" style="832" customWidth="1"/>
    <col min="3" max="12" width="15.7109375" style="832" customWidth="1"/>
    <col min="13" max="13" width="16.85546875" style="831" bestFit="1" customWidth="1"/>
    <col min="14" max="14" width="15.7109375" style="832" customWidth="1"/>
    <col min="15" max="16384" width="9.140625" style="832"/>
  </cols>
  <sheetData>
    <row r="1" spans="1:16" ht="15.75">
      <c r="A1" s="828" t="s">
        <v>409</v>
      </c>
      <c r="B1" s="829"/>
      <c r="C1" s="829"/>
      <c r="D1" s="829"/>
      <c r="E1" s="829"/>
      <c r="F1" s="829"/>
      <c r="G1" s="829"/>
      <c r="H1" s="829"/>
      <c r="I1" s="829"/>
      <c r="J1" s="829"/>
      <c r="K1" s="830"/>
      <c r="L1" s="830"/>
    </row>
    <row r="2" spans="1:16" ht="14.25" customHeight="1">
      <c r="A2" s="828"/>
      <c r="B2" s="829"/>
      <c r="C2" s="829"/>
      <c r="D2" s="829"/>
      <c r="E2" s="829"/>
      <c r="F2" s="829"/>
      <c r="G2" s="829"/>
      <c r="H2" s="829"/>
      <c r="I2" s="829"/>
      <c r="J2" s="829"/>
      <c r="K2" s="830"/>
      <c r="L2" s="830"/>
    </row>
    <row r="3" spans="1:16">
      <c r="E3" s="833" t="s">
        <v>198</v>
      </c>
      <c r="K3" s="834"/>
      <c r="L3" s="834"/>
    </row>
    <row r="4" spans="1:16">
      <c r="C4" s="835" t="s">
        <v>1278</v>
      </c>
      <c r="D4" s="836">
        <f>'1-BaseTRR'!K152</f>
        <v>1186534699.5962589</v>
      </c>
      <c r="E4" s="837" t="s">
        <v>2659</v>
      </c>
      <c r="G4" s="838" t="s">
        <v>494</v>
      </c>
      <c r="H4" s="839"/>
      <c r="J4" s="840"/>
      <c r="K4" s="834"/>
      <c r="L4" s="834"/>
    </row>
    <row r="5" spans="1:16">
      <c r="C5" s="835"/>
      <c r="D5" s="841"/>
      <c r="E5" s="837"/>
      <c r="K5" s="834"/>
      <c r="L5" s="834"/>
    </row>
    <row r="6" spans="1:16" ht="15.75">
      <c r="B6" s="828" t="s">
        <v>1279</v>
      </c>
      <c r="D6" s="835"/>
      <c r="E6" s="841"/>
      <c r="F6" s="837"/>
      <c r="K6" s="834"/>
      <c r="L6" s="834"/>
    </row>
    <row r="7" spans="1:16">
      <c r="C7" s="842" t="s">
        <v>391</v>
      </c>
      <c r="D7" s="842" t="s">
        <v>375</v>
      </c>
      <c r="E7" s="842" t="s">
        <v>376</v>
      </c>
      <c r="F7" s="925" t="s">
        <v>377</v>
      </c>
      <c r="G7" s="925" t="s">
        <v>378</v>
      </c>
      <c r="H7" s="925" t="s">
        <v>379</v>
      </c>
      <c r="I7" s="925" t="s">
        <v>380</v>
      </c>
      <c r="J7" s="925" t="s">
        <v>593</v>
      </c>
      <c r="K7" s="925" t="s">
        <v>1040</v>
      </c>
      <c r="L7" s="925" t="s">
        <v>1056</v>
      </c>
      <c r="M7" s="925" t="s">
        <v>1059</v>
      </c>
      <c r="N7" s="833" t="s">
        <v>1077</v>
      </c>
      <c r="O7" s="833" t="s">
        <v>1651</v>
      </c>
      <c r="P7" s="833" t="s">
        <v>1652</v>
      </c>
    </row>
    <row r="8" spans="1:16">
      <c r="C8" s="901" t="s">
        <v>392</v>
      </c>
      <c r="D8" s="840"/>
      <c r="E8" s="901" t="s">
        <v>393</v>
      </c>
      <c r="F8" s="901" t="s">
        <v>1280</v>
      </c>
      <c r="G8" s="901" t="s">
        <v>1295</v>
      </c>
      <c r="H8" s="901" t="s">
        <v>1297</v>
      </c>
      <c r="I8" s="901" t="s">
        <v>1298</v>
      </c>
      <c r="J8" s="901" t="s">
        <v>1299</v>
      </c>
      <c r="K8" s="840"/>
      <c r="L8" s="840"/>
    </row>
    <row r="9" spans="1:16" s="846" customFormat="1">
      <c r="A9" s="844"/>
      <c r="B9" s="844"/>
      <c r="C9" s="842"/>
      <c r="D9" s="845"/>
      <c r="E9" s="1436" t="s">
        <v>2585</v>
      </c>
      <c r="F9" s="1437"/>
      <c r="G9" s="1437"/>
      <c r="H9" s="1438"/>
      <c r="I9" s="1439"/>
      <c r="J9" s="1252"/>
      <c r="K9" s="1252"/>
      <c r="L9" s="901" t="s">
        <v>2806</v>
      </c>
      <c r="M9" s="901" t="s">
        <v>2806</v>
      </c>
      <c r="N9" s="901" t="s">
        <v>2806</v>
      </c>
    </row>
    <row r="10" spans="1:16" s="851" customFormat="1" ht="102" customHeight="1">
      <c r="A10" s="847"/>
      <c r="B10" s="847"/>
      <c r="C10" s="848"/>
      <c r="D10" s="1253" t="s">
        <v>2586</v>
      </c>
      <c r="E10" s="1254" t="s">
        <v>2807</v>
      </c>
      <c r="F10" s="1254" t="s">
        <v>2808</v>
      </c>
      <c r="G10" s="1255" t="s">
        <v>2795</v>
      </c>
      <c r="H10" s="1254" t="s">
        <v>2587</v>
      </c>
      <c r="I10" s="1254" t="s">
        <v>2588</v>
      </c>
      <c r="J10" s="1256" t="s">
        <v>2809</v>
      </c>
      <c r="K10" s="849" t="s">
        <v>2810</v>
      </c>
      <c r="L10" s="849" t="s">
        <v>2811</v>
      </c>
      <c r="M10" s="1268" t="s">
        <v>2589</v>
      </c>
      <c r="N10" s="1269"/>
      <c r="O10" s="1270"/>
      <c r="P10" s="850"/>
    </row>
    <row r="11" spans="1:16" s="846" customFormat="1" ht="55.15" customHeight="1">
      <c r="A11" s="833" t="s">
        <v>350</v>
      </c>
      <c r="B11" s="852" t="s">
        <v>1281</v>
      </c>
      <c r="C11" s="853" t="s">
        <v>1282</v>
      </c>
      <c r="D11" s="854" t="s">
        <v>1283</v>
      </c>
      <c r="E11" s="852" t="s">
        <v>2812</v>
      </c>
      <c r="F11" s="936" t="s">
        <v>2813</v>
      </c>
      <c r="G11" s="1273" t="s">
        <v>2796</v>
      </c>
      <c r="H11" s="852" t="s">
        <v>2591</v>
      </c>
      <c r="I11" s="852" t="s">
        <v>2592</v>
      </c>
      <c r="J11" s="852" t="s">
        <v>2797</v>
      </c>
      <c r="K11" s="856" t="s">
        <v>2593</v>
      </c>
      <c r="L11" s="857" t="s">
        <v>2594</v>
      </c>
      <c r="M11" s="855" t="s">
        <v>2590</v>
      </c>
      <c r="N11" s="852" t="s">
        <v>2591</v>
      </c>
      <c r="O11" s="852" t="s">
        <v>2592</v>
      </c>
      <c r="P11" s="852" t="s">
        <v>187</v>
      </c>
    </row>
    <row r="12" spans="1:16" s="840" customFormat="1">
      <c r="A12" s="858" t="s">
        <v>635</v>
      </c>
      <c r="B12" s="520" t="s">
        <v>2570</v>
      </c>
      <c r="C12" s="859">
        <f>M113</f>
        <v>0.41715756295892231</v>
      </c>
      <c r="D12" s="841">
        <f>$D$4*C12</f>
        <v>494971923.64977235</v>
      </c>
      <c r="E12" s="1382">
        <v>28442.665725131195</v>
      </c>
      <c r="F12" s="1383"/>
      <c r="G12" s="1383">
        <v>1431.1169319999999</v>
      </c>
      <c r="H12" s="1384">
        <v>0</v>
      </c>
      <c r="I12" s="1385">
        <v>1.2E-2</v>
      </c>
      <c r="J12" s="884">
        <f>(E12+F12)-G12</f>
        <v>27011.548793131195</v>
      </c>
      <c r="K12" s="860">
        <f>D12/(J12*10^6)</f>
        <v>1.8324455492742402E-2</v>
      </c>
      <c r="L12" s="861"/>
      <c r="N12" s="834"/>
      <c r="O12" s="832"/>
      <c r="P12" s="831"/>
    </row>
    <row r="13" spans="1:16" s="840" customFormat="1" ht="13.5" thickBot="1">
      <c r="A13" s="858" t="s">
        <v>637</v>
      </c>
      <c r="B13" s="520" t="s">
        <v>2571</v>
      </c>
      <c r="C13" s="859">
        <f>M114</f>
        <v>7.7722971549576289E-2</v>
      </c>
      <c r="D13" s="841">
        <f t="shared" ref="D13:D26" si="0">$D$4*C13</f>
        <v>92221002.699305072</v>
      </c>
      <c r="E13" s="1382">
        <v>5910.7051936480202</v>
      </c>
      <c r="F13" s="1383"/>
      <c r="G13" s="1383">
        <v>10.965268999999999</v>
      </c>
      <c r="H13" s="1384">
        <v>0</v>
      </c>
      <c r="I13" s="1385">
        <v>0</v>
      </c>
      <c r="J13" s="884">
        <f t="shared" ref="J13:J27" si="1">(E13+F13)-G13</f>
        <v>5899.73992464802</v>
      </c>
      <c r="K13" s="860">
        <f>D13/(J13*10^6)</f>
        <v>1.5631367463169489E-2</v>
      </c>
      <c r="L13" s="861"/>
      <c r="M13" s="1140">
        <v>5942.3050000000003</v>
      </c>
      <c r="N13" s="1141">
        <v>29137</v>
      </c>
      <c r="O13" s="1142">
        <v>0</v>
      </c>
      <c r="P13" s="831"/>
    </row>
    <row r="14" spans="1:16" s="840" customFormat="1" ht="15" thickBot="1">
      <c r="A14" s="858" t="s">
        <v>2595</v>
      </c>
      <c r="B14" s="520" t="s">
        <v>2572</v>
      </c>
      <c r="C14" s="862"/>
      <c r="D14" s="862"/>
      <c r="E14" s="1386">
        <v>0</v>
      </c>
      <c r="F14" s="1383"/>
      <c r="G14" s="1387"/>
      <c r="H14" s="1386"/>
      <c r="I14" s="1386"/>
      <c r="J14" s="884">
        <f t="shared" si="1"/>
        <v>0</v>
      </c>
      <c r="K14" s="863"/>
      <c r="L14" s="864">
        <f>N14</f>
        <v>3.1879175286827528</v>
      </c>
      <c r="M14" s="865">
        <f>K13*M13*10^6</f>
        <v>92886353.033229366</v>
      </c>
      <c r="N14" s="1271">
        <f>M14/((N13+O13)*10^3)</f>
        <v>3.1879175286827528</v>
      </c>
      <c r="O14" s="1272"/>
      <c r="P14" s="1257" t="s">
        <v>2814</v>
      </c>
    </row>
    <row r="15" spans="1:16" s="840" customFormat="1">
      <c r="A15" s="858" t="s">
        <v>640</v>
      </c>
      <c r="B15" s="520" t="s">
        <v>2573</v>
      </c>
      <c r="C15" s="859">
        <f t="shared" ref="C15:C26" si="2">M115</f>
        <v>4.8821729011409675E-4</v>
      </c>
      <c r="D15" s="841">
        <f t="shared" si="0"/>
        <v>579286.75566322939</v>
      </c>
      <c r="E15" s="1382">
        <v>57.65441525896685</v>
      </c>
      <c r="F15" s="1383"/>
      <c r="G15" s="1387"/>
      <c r="H15" s="1384">
        <v>0</v>
      </c>
      <c r="I15" s="1385"/>
      <c r="J15" s="884">
        <f t="shared" si="1"/>
        <v>57.65441525896685</v>
      </c>
      <c r="K15" s="860">
        <f>D15/(J15*10^6)</f>
        <v>1.0047569697155751E-2</v>
      </c>
      <c r="L15" s="861"/>
      <c r="N15" s="834"/>
      <c r="O15" s="832"/>
      <c r="P15" s="831"/>
    </row>
    <row r="16" spans="1:16" s="840" customFormat="1">
      <c r="A16" s="858" t="s">
        <v>1284</v>
      </c>
      <c r="B16" s="520" t="s">
        <v>2574</v>
      </c>
      <c r="C16" s="859">
        <f t="shared" si="2"/>
        <v>0.16512300329148344</v>
      </c>
      <c r="D16" s="841">
        <f t="shared" si="0"/>
        <v>195924173.10689238</v>
      </c>
      <c r="E16" s="1382">
        <v>13099.623737986469</v>
      </c>
      <c r="F16" s="1383"/>
      <c r="G16" s="1387">
        <v>60.681649</v>
      </c>
      <c r="H16" s="1384">
        <v>44897.048691843833</v>
      </c>
      <c r="I16" s="1385">
        <v>36</v>
      </c>
      <c r="J16" s="884">
        <f t="shared" si="1"/>
        <v>13038.942088986469</v>
      </c>
      <c r="K16" s="861"/>
      <c r="L16" s="866">
        <f t="shared" ref="L16:L25" si="3">D16/((I16+H16)*10^3)</f>
        <v>4.3603578838053823</v>
      </c>
      <c r="N16" s="834"/>
      <c r="O16" s="867"/>
      <c r="P16" s="831"/>
    </row>
    <row r="17" spans="1:16" s="840" customFormat="1">
      <c r="A17" s="858" t="s">
        <v>1285</v>
      </c>
      <c r="B17" s="520" t="s">
        <v>2575</v>
      </c>
      <c r="C17" s="859">
        <f t="shared" si="2"/>
        <v>9.1109534503765688E-2</v>
      </c>
      <c r="D17" s="841">
        <f t="shared" si="0"/>
        <v>108104624.15278061</v>
      </c>
      <c r="E17" s="1382">
        <v>7839.7227893620366</v>
      </c>
      <c r="F17" s="1383"/>
      <c r="G17" s="1387">
        <v>67.631294999999994</v>
      </c>
      <c r="H17" s="1384">
        <v>22682.823241736238</v>
      </c>
      <c r="I17" s="1385">
        <v>70</v>
      </c>
      <c r="J17" s="884">
        <f t="shared" si="1"/>
        <v>7772.0914943620364</v>
      </c>
      <c r="K17" s="861"/>
      <c r="L17" s="866">
        <f t="shared" si="3"/>
        <v>4.7512619864457442</v>
      </c>
      <c r="N17" s="834"/>
      <c r="O17" s="867"/>
      <c r="P17" s="831"/>
    </row>
    <row r="18" spans="1:16" s="840" customFormat="1">
      <c r="A18" s="858" t="s">
        <v>1286</v>
      </c>
      <c r="B18" s="520" t="s">
        <v>2576</v>
      </c>
      <c r="C18" s="859">
        <f t="shared" si="2"/>
        <v>8.786516797636329E-2</v>
      </c>
      <c r="D18" s="841">
        <f t="shared" si="0"/>
        <v>104255070.68980904</v>
      </c>
      <c r="E18" s="1388">
        <v>8054.7949481649785</v>
      </c>
      <c r="F18" s="1383"/>
      <c r="G18" s="1387">
        <v>36.841942000000003</v>
      </c>
      <c r="H18" s="1389">
        <v>20531.249905383705</v>
      </c>
      <c r="I18" s="1390"/>
      <c r="J18" s="884">
        <f t="shared" si="1"/>
        <v>8017.9530061649784</v>
      </c>
      <c r="K18" s="861"/>
      <c r="L18" s="866">
        <f t="shared" si="3"/>
        <v>5.0778725684144179</v>
      </c>
      <c r="N18" s="834"/>
      <c r="O18" s="867"/>
      <c r="P18" s="831"/>
    </row>
    <row r="19" spans="1:16" s="840" customFormat="1">
      <c r="A19" s="858" t="s">
        <v>1287</v>
      </c>
      <c r="B19" s="520" t="s">
        <v>2577</v>
      </c>
      <c r="C19" s="859">
        <f t="shared" si="2"/>
        <v>5.8332062030947623E-2</v>
      </c>
      <c r="D19" s="841">
        <f t="shared" si="0"/>
        <v>69213015.698720783</v>
      </c>
      <c r="E19" s="1388">
        <v>5509.0234073804368</v>
      </c>
      <c r="F19" s="1383"/>
      <c r="G19" s="1387">
        <v>23.47401</v>
      </c>
      <c r="H19" s="1389">
        <v>12816.540281423206</v>
      </c>
      <c r="I19" s="1390"/>
      <c r="J19" s="884">
        <f t="shared" si="1"/>
        <v>5485.5493973804369</v>
      </c>
      <c r="K19" s="861"/>
      <c r="L19" s="866">
        <f t="shared" si="3"/>
        <v>5.400288547373493</v>
      </c>
      <c r="N19" s="834"/>
      <c r="O19" s="867"/>
      <c r="P19" s="831"/>
    </row>
    <row r="20" spans="1:16" s="840" customFormat="1">
      <c r="A20" s="858" t="s">
        <v>1288</v>
      </c>
      <c r="B20" s="520" t="s">
        <v>2578</v>
      </c>
      <c r="C20" s="859">
        <f t="shared" si="2"/>
        <v>6.3225171793126492E-2</v>
      </c>
      <c r="D20" s="841">
        <f t="shared" si="0"/>
        <v>75018860.220479205</v>
      </c>
      <c r="E20" s="1388">
        <v>5868.347711666559</v>
      </c>
      <c r="F20" s="1383"/>
      <c r="G20" s="1387">
        <v>0.34428500000000001</v>
      </c>
      <c r="H20" s="1389">
        <v>11893.803925166892</v>
      </c>
      <c r="I20" s="1390"/>
      <c r="J20" s="884">
        <f t="shared" si="1"/>
        <v>5868.0034266665589</v>
      </c>
      <c r="K20" s="861"/>
      <c r="L20" s="866">
        <f t="shared" si="3"/>
        <v>6.3073900236190878</v>
      </c>
      <c r="N20" s="868"/>
      <c r="O20" s="869"/>
      <c r="P20" s="831"/>
    </row>
    <row r="21" spans="1:16" s="840" customFormat="1">
      <c r="A21" s="858" t="s">
        <v>1289</v>
      </c>
      <c r="B21" s="520" t="s">
        <v>2579</v>
      </c>
      <c r="C21" s="859">
        <f t="shared" si="2"/>
        <v>9.4129449672762362E-4</v>
      </c>
      <c r="D21" s="841">
        <f t="shared" si="0"/>
        <v>1116878.5829063226</v>
      </c>
      <c r="E21" s="1389">
        <v>113.334082</v>
      </c>
      <c r="F21" s="1389">
        <v>96.768373999999994</v>
      </c>
      <c r="G21" s="1387"/>
      <c r="H21" s="1389">
        <v>324.75900000000001</v>
      </c>
      <c r="I21" s="1390">
        <v>284.89100000000002</v>
      </c>
      <c r="J21" s="884">
        <f t="shared" si="1"/>
        <v>210.10245599999999</v>
      </c>
      <c r="K21" s="861"/>
      <c r="L21" s="866">
        <f t="shared" si="3"/>
        <v>1.8319996439044079</v>
      </c>
      <c r="N21" s="870"/>
      <c r="O21" s="871"/>
      <c r="P21" s="831"/>
    </row>
    <row r="22" spans="1:16" s="840" customFormat="1">
      <c r="A22" s="858" t="s">
        <v>1290</v>
      </c>
      <c r="B22" s="520" t="s">
        <v>2580</v>
      </c>
      <c r="C22" s="859">
        <f t="shared" si="2"/>
        <v>2.0312693233991161E-3</v>
      </c>
      <c r="D22" s="841">
        <f t="shared" si="0"/>
        <v>2410171.536438466</v>
      </c>
      <c r="E22" s="1389">
        <v>534.32201499999996</v>
      </c>
      <c r="F22" s="1389">
        <v>243.32826499999999</v>
      </c>
      <c r="G22" s="1387"/>
      <c r="H22" s="1389">
        <v>1309.7729999999999</v>
      </c>
      <c r="I22" s="1390">
        <v>1372.845</v>
      </c>
      <c r="J22" s="884">
        <f t="shared" si="1"/>
        <v>777.65027999999995</v>
      </c>
      <c r="K22" s="861"/>
      <c r="L22" s="866">
        <f t="shared" si="3"/>
        <v>0.89844008220270877</v>
      </c>
      <c r="N22" s="870"/>
      <c r="O22" s="871"/>
      <c r="P22" s="831"/>
    </row>
    <row r="23" spans="1:16" s="840" customFormat="1">
      <c r="A23" s="858" t="s">
        <v>1291</v>
      </c>
      <c r="B23" s="520" t="s">
        <v>2581</v>
      </c>
      <c r="C23" s="859">
        <f t="shared" si="2"/>
        <v>4.1530365638655139E-3</v>
      </c>
      <c r="D23" s="841">
        <f t="shared" si="0"/>
        <v>4927721.9917184468</v>
      </c>
      <c r="E23" s="1389">
        <v>1671.8327079999999</v>
      </c>
      <c r="F23" s="1389">
        <v>559.65611000000001</v>
      </c>
      <c r="G23" s="1387"/>
      <c r="H23" s="1389">
        <v>3308.7579999999998</v>
      </c>
      <c r="I23" s="1390">
        <v>8393.759</v>
      </c>
      <c r="J23" s="884">
        <f t="shared" si="1"/>
        <v>2231.4888179999998</v>
      </c>
      <c r="K23" s="861"/>
      <c r="L23" s="866">
        <f t="shared" si="3"/>
        <v>0.42108223313996868</v>
      </c>
      <c r="N23" s="868"/>
      <c r="O23" s="869"/>
      <c r="P23" s="831"/>
    </row>
    <row r="24" spans="1:16" s="840" customFormat="1">
      <c r="A24" s="858" t="s">
        <v>1292</v>
      </c>
      <c r="B24" s="520" t="s">
        <v>2582</v>
      </c>
      <c r="C24" s="859">
        <f t="shared" si="2"/>
        <v>1.5693804876949012E-2</v>
      </c>
      <c r="D24" s="841">
        <f t="shared" si="0"/>
        <v>18621244.055193</v>
      </c>
      <c r="E24" s="1382">
        <v>1816.152596448351</v>
      </c>
      <c r="F24" s="1387"/>
      <c r="G24" s="1387">
        <v>6.0771559999999996</v>
      </c>
      <c r="H24" s="1382">
        <v>8121.2567213684442</v>
      </c>
      <c r="I24" s="1382">
        <v>0.51600000000000001</v>
      </c>
      <c r="J24" s="884">
        <f t="shared" si="1"/>
        <v>1810.0754404483509</v>
      </c>
      <c r="K24" s="861"/>
      <c r="L24" s="866">
        <f t="shared" si="3"/>
        <v>2.2927561129850837</v>
      </c>
      <c r="N24" s="872"/>
      <c r="O24" s="872"/>
      <c r="P24" s="873"/>
    </row>
    <row r="25" spans="1:16" s="840" customFormat="1">
      <c r="A25" s="858" t="s">
        <v>1293</v>
      </c>
      <c r="B25" s="520" t="s">
        <v>2583</v>
      </c>
      <c r="C25" s="859">
        <f t="shared" si="2"/>
        <v>1.1853497445840093E-2</v>
      </c>
      <c r="D25" s="841">
        <f t="shared" si="0"/>
        <v>14064586.031064898</v>
      </c>
      <c r="E25" s="1382">
        <v>1453.6399206185063</v>
      </c>
      <c r="F25" s="1387"/>
      <c r="G25" s="1387">
        <v>16.064630000000001</v>
      </c>
      <c r="H25" s="1382">
        <v>4933.4076605278942</v>
      </c>
      <c r="I25" s="1382">
        <v>8.2040000000000006</v>
      </c>
      <c r="J25" s="884">
        <f t="shared" si="1"/>
        <v>1437.5752906185062</v>
      </c>
      <c r="K25" s="861"/>
      <c r="L25" s="866">
        <f t="shared" si="3"/>
        <v>2.8461536432351768</v>
      </c>
      <c r="M25" s="867"/>
      <c r="N25" s="832"/>
      <c r="O25" s="874"/>
      <c r="P25" s="831"/>
    </row>
    <row r="26" spans="1:16" s="840" customFormat="1">
      <c r="A26" s="858" t="s">
        <v>1294</v>
      </c>
      <c r="B26" s="520" t="s">
        <v>2584</v>
      </c>
      <c r="C26" s="859">
        <f t="shared" si="2"/>
        <v>4.3034058989195444E-3</v>
      </c>
      <c r="D26" s="875">
        <f t="shared" si="0"/>
        <v>5106140.4255152699</v>
      </c>
      <c r="E26" s="1382">
        <v>698.31266766750207</v>
      </c>
      <c r="F26" s="1387"/>
      <c r="G26" s="1387"/>
      <c r="H26" s="1384">
        <v>0</v>
      </c>
      <c r="I26" s="1385"/>
      <c r="J26" s="884">
        <f t="shared" si="1"/>
        <v>698.31266766750207</v>
      </c>
      <c r="K26" s="860">
        <f>D26/(J26*10^6)</f>
        <v>7.3121119835485096E-3</v>
      </c>
      <c r="L26" s="861"/>
      <c r="M26" s="832"/>
      <c r="N26" s="832"/>
      <c r="O26" s="874"/>
      <c r="P26" s="831"/>
    </row>
    <row r="27" spans="1:16" s="840" customFormat="1">
      <c r="A27" s="858" t="s">
        <v>1296</v>
      </c>
      <c r="B27" s="876" t="s">
        <v>86</v>
      </c>
      <c r="C27" s="859"/>
      <c r="D27" s="875"/>
      <c r="E27" s="877"/>
      <c r="F27" s="923"/>
      <c r="G27" s="1313"/>
      <c r="H27" s="878"/>
      <c r="I27" s="879"/>
      <c r="J27" s="884">
        <f t="shared" si="1"/>
        <v>0</v>
      </c>
      <c r="K27" s="860"/>
      <c r="L27" s="861"/>
      <c r="M27" s="832"/>
      <c r="N27" s="832"/>
      <c r="O27" s="874"/>
      <c r="P27" s="831"/>
    </row>
    <row r="28" spans="1:16" s="840" customFormat="1">
      <c r="A28" s="858">
        <v>2</v>
      </c>
      <c r="B28" s="523" t="s">
        <v>216</v>
      </c>
      <c r="C28" s="880">
        <f t="shared" ref="C28:E28" si="4">SUM(C12:C27)</f>
        <v>1.0000000000000002</v>
      </c>
      <c r="D28" s="881">
        <f t="shared" si="4"/>
        <v>1186534699.5962591</v>
      </c>
      <c r="E28" s="882">
        <f t="shared" si="4"/>
        <v>81070.131918333005</v>
      </c>
      <c r="F28" s="1274">
        <f>SUM(F12:F27)</f>
        <v>899.75274899999999</v>
      </c>
      <c r="G28" s="1314">
        <f>SUM(G12:G27)</f>
        <v>1653.1971679999999</v>
      </c>
      <c r="H28" s="882">
        <f>SUM(H12:H27)</f>
        <v>130819.42042745023</v>
      </c>
      <c r="I28" s="882">
        <f>SUM(I12:I27)</f>
        <v>10166.226999999999</v>
      </c>
      <c r="J28" s="1258">
        <f>SUM(J12:J27)</f>
        <v>80316.687499333013</v>
      </c>
      <c r="K28" s="883"/>
      <c r="L28" s="832"/>
      <c r="M28" s="832"/>
      <c r="N28" s="832"/>
      <c r="O28" s="832"/>
      <c r="P28" s="831"/>
    </row>
    <row r="29" spans="1:16" s="840" customFormat="1">
      <c r="A29" s="858">
        <f>A28+1</f>
        <v>3</v>
      </c>
      <c r="B29" s="832"/>
      <c r="C29" s="832"/>
      <c r="D29" s="832"/>
      <c r="E29" s="832"/>
      <c r="F29" s="832"/>
      <c r="G29" s="832"/>
      <c r="H29" s="832"/>
      <c r="I29" s="832"/>
      <c r="J29" s="884"/>
      <c r="K29" s="884"/>
      <c r="M29" s="831"/>
    </row>
    <row r="30" spans="1:16" s="840" customFormat="1">
      <c r="A30" s="858">
        <f t="shared" ref="A30:A34" si="5">A29+1</f>
        <v>4</v>
      </c>
      <c r="B30" s="832"/>
      <c r="C30" s="832"/>
      <c r="D30" s="832"/>
      <c r="E30" s="832"/>
      <c r="G30" s="1259"/>
      <c r="I30" s="925"/>
      <c r="J30" s="885"/>
      <c r="K30" s="885"/>
      <c r="L30" s="885"/>
      <c r="M30" s="831"/>
    </row>
    <row r="31" spans="1:16" s="840" customFormat="1" ht="15.75">
      <c r="A31" s="858">
        <f t="shared" si="5"/>
        <v>5</v>
      </c>
      <c r="B31" s="1275" t="s">
        <v>2815</v>
      </c>
      <c r="C31" s="832"/>
      <c r="D31" s="832"/>
      <c r="E31" s="832"/>
      <c r="F31" s="832"/>
      <c r="G31" s="832"/>
      <c r="H31" s="832"/>
      <c r="I31" s="832"/>
      <c r="J31" s="832"/>
      <c r="K31" s="832"/>
      <c r="L31" s="832"/>
      <c r="M31" s="831"/>
    </row>
    <row r="32" spans="1:16" s="840" customFormat="1">
      <c r="A32" s="858">
        <f t="shared" si="5"/>
        <v>6</v>
      </c>
      <c r="B32" s="832"/>
      <c r="C32" s="842" t="s">
        <v>391</v>
      </c>
      <c r="D32" s="842" t="s">
        <v>375</v>
      </c>
      <c r="E32" s="842" t="s">
        <v>376</v>
      </c>
      <c r="F32" s="842" t="s">
        <v>377</v>
      </c>
      <c r="G32" s="842" t="s">
        <v>378</v>
      </c>
      <c r="H32" s="842" t="s">
        <v>379</v>
      </c>
      <c r="I32" s="842" t="s">
        <v>380</v>
      </c>
      <c r="J32" s="842" t="s">
        <v>593</v>
      </c>
      <c r="K32" s="832"/>
      <c r="M32" s="831"/>
    </row>
    <row r="33" spans="1:13" s="851" customFormat="1" ht="25.5">
      <c r="A33" s="858">
        <f t="shared" si="5"/>
        <v>7</v>
      </c>
      <c r="B33" s="847"/>
      <c r="C33" s="886" t="s">
        <v>2596</v>
      </c>
      <c r="D33" s="887" t="s">
        <v>2816</v>
      </c>
      <c r="E33" s="887" t="s">
        <v>2817</v>
      </c>
      <c r="F33" s="1276"/>
      <c r="H33" s="1277" t="s">
        <v>2596</v>
      </c>
      <c r="I33" s="1255" t="s">
        <v>1301</v>
      </c>
      <c r="J33" s="1278" t="s">
        <v>2818</v>
      </c>
      <c r="K33" s="1279"/>
      <c r="L33" s="1279"/>
      <c r="M33" s="1279"/>
    </row>
    <row r="34" spans="1:13" s="840" customFormat="1">
      <c r="A34" s="858">
        <f t="shared" si="5"/>
        <v>8</v>
      </c>
      <c r="B34" s="832"/>
      <c r="C34" s="842"/>
      <c r="D34" s="842"/>
      <c r="E34" s="842"/>
      <c r="F34" s="1280"/>
      <c r="K34" s="1280"/>
      <c r="L34" s="1280"/>
      <c r="M34" s="1281"/>
    </row>
    <row r="35" spans="1:13" s="892" customFormat="1" ht="51">
      <c r="A35" s="858">
        <v>9</v>
      </c>
      <c r="B35" s="889" t="s">
        <v>1281</v>
      </c>
      <c r="C35" s="857" t="s">
        <v>2819</v>
      </c>
      <c r="D35" s="890" t="s">
        <v>2820</v>
      </c>
      <c r="E35" s="890" t="s">
        <v>2821</v>
      </c>
      <c r="F35" s="1282"/>
      <c r="G35" s="1283" t="s">
        <v>1281</v>
      </c>
      <c r="H35" s="890" t="s">
        <v>2822</v>
      </c>
      <c r="I35" s="890" t="s">
        <v>2823</v>
      </c>
      <c r="J35" s="890" t="s">
        <v>2824</v>
      </c>
      <c r="K35" s="1282"/>
      <c r="L35" s="1284"/>
      <c r="M35" s="1284"/>
    </row>
    <row r="36" spans="1:13" s="896" customFormat="1" ht="15">
      <c r="A36" s="893" t="s">
        <v>2597</v>
      </c>
      <c r="B36" s="894" t="s">
        <v>2579</v>
      </c>
      <c r="C36" s="1285">
        <f>D21</f>
        <v>1116878.5829063226</v>
      </c>
      <c r="D36" s="1286">
        <f>I21</f>
        <v>284.89100000000002</v>
      </c>
      <c r="E36" s="1287">
        <f>C36/D36/10^3</f>
        <v>3.9203715909113397</v>
      </c>
      <c r="F36" s="1288"/>
      <c r="G36" s="894" t="s">
        <v>2576</v>
      </c>
      <c r="H36" s="875">
        <f>D18</f>
        <v>104255070.68980904</v>
      </c>
      <c r="I36" s="1267">
        <f>H18+H21</f>
        <v>20856.008905383707</v>
      </c>
      <c r="J36" s="896">
        <f>H36/(I36*10^3)</f>
        <v>4.9988025591462497</v>
      </c>
      <c r="K36" s="1289"/>
      <c r="L36" s="1290"/>
      <c r="M36" s="1288"/>
    </row>
    <row r="37" spans="1:13" s="896" customFormat="1" ht="15">
      <c r="A37" s="893" t="s">
        <v>2598</v>
      </c>
      <c r="B37" s="894" t="s">
        <v>2580</v>
      </c>
      <c r="C37" s="1285">
        <f>D22</f>
        <v>2410171.536438466</v>
      </c>
      <c r="D37" s="1286">
        <f>I22</f>
        <v>1372.845</v>
      </c>
      <c r="E37" s="1287">
        <f t="shared" ref="E37:E38" si="6">C37/D37/10^3</f>
        <v>1.7556035360426459</v>
      </c>
      <c r="F37" s="1288"/>
      <c r="G37" s="894" t="s">
        <v>2577</v>
      </c>
      <c r="H37" s="875">
        <f t="shared" ref="H37:H38" si="7">D19</f>
        <v>69213015.698720783</v>
      </c>
      <c r="I37" s="1267">
        <f t="shared" ref="I37:I38" si="8">H19+H22</f>
        <v>14126.313281423205</v>
      </c>
      <c r="J37" s="896">
        <f t="shared" ref="J37:J38" si="9">H37/(I37*10^3)</f>
        <v>4.8995809677914544</v>
      </c>
      <c r="K37" s="1289"/>
      <c r="L37" s="1290"/>
      <c r="M37" s="1288"/>
    </row>
    <row r="38" spans="1:13" s="896" customFormat="1" ht="15">
      <c r="A38" s="893" t="s">
        <v>2599</v>
      </c>
      <c r="B38" s="894" t="s">
        <v>2581</v>
      </c>
      <c r="C38" s="1285">
        <f>D23</f>
        <v>4927721.9917184468</v>
      </c>
      <c r="D38" s="1286">
        <f>I23</f>
        <v>8393.759</v>
      </c>
      <c r="E38" s="1287">
        <f t="shared" si="6"/>
        <v>0.58706974928854239</v>
      </c>
      <c r="F38" s="1288"/>
      <c r="G38" s="894" t="s">
        <v>2578</v>
      </c>
      <c r="H38" s="875">
        <f t="shared" si="7"/>
        <v>75018860.220479205</v>
      </c>
      <c r="I38" s="1267">
        <f t="shared" si="8"/>
        <v>15202.561925166892</v>
      </c>
      <c r="J38" s="896">
        <f t="shared" si="9"/>
        <v>4.9346196114676015</v>
      </c>
      <c r="K38" s="1289"/>
      <c r="L38" s="1290"/>
      <c r="M38" s="1288"/>
    </row>
    <row r="39" spans="1:13" s="840" customFormat="1">
      <c r="A39" s="893" t="s">
        <v>2600</v>
      </c>
      <c r="B39" s="876" t="s">
        <v>86</v>
      </c>
      <c r="C39" s="842"/>
      <c r="D39" s="842"/>
      <c r="E39" s="842"/>
      <c r="F39" s="842"/>
      <c r="G39" s="876" t="s">
        <v>86</v>
      </c>
      <c r="H39" s="842"/>
      <c r="I39" s="888"/>
      <c r="K39" s="832"/>
      <c r="M39" s="831"/>
    </row>
    <row r="40" spans="1:13" s="840" customFormat="1">
      <c r="A40" s="858">
        <v>10</v>
      </c>
      <c r="B40" s="832"/>
      <c r="C40" s="842"/>
      <c r="D40" s="842"/>
      <c r="E40" s="842"/>
      <c r="F40" s="842"/>
      <c r="G40" s="842"/>
      <c r="H40" s="842"/>
      <c r="I40" s="888"/>
      <c r="K40" s="832"/>
      <c r="M40" s="831"/>
    </row>
    <row r="41" spans="1:13" s="840" customFormat="1" ht="15.75">
      <c r="A41" s="858">
        <v>11</v>
      </c>
      <c r="B41" s="898" t="s">
        <v>1848</v>
      </c>
      <c r="C41" s="832"/>
      <c r="D41" s="832"/>
      <c r="E41" s="832"/>
      <c r="G41" s="832"/>
      <c r="H41" s="832"/>
      <c r="I41" s="832"/>
      <c r="J41" s="832"/>
      <c r="K41" s="832"/>
      <c r="L41" s="832"/>
      <c r="M41" s="831"/>
    </row>
    <row r="42" spans="1:13" s="840" customFormat="1">
      <c r="A42" s="858">
        <v>12</v>
      </c>
      <c r="B42" s="832"/>
      <c r="C42" s="842" t="s">
        <v>391</v>
      </c>
      <c r="D42" s="842" t="s">
        <v>375</v>
      </c>
      <c r="E42" s="842" t="s">
        <v>376</v>
      </c>
      <c r="F42" s="842" t="s">
        <v>377</v>
      </c>
      <c r="G42" s="842" t="s">
        <v>378</v>
      </c>
      <c r="H42" s="842" t="s">
        <v>379</v>
      </c>
      <c r="I42" s="842" t="s">
        <v>380</v>
      </c>
      <c r="J42" s="842" t="s">
        <v>593</v>
      </c>
      <c r="K42" s="842" t="s">
        <v>1040</v>
      </c>
      <c r="L42" s="842" t="s">
        <v>1056</v>
      </c>
      <c r="M42" s="831"/>
    </row>
    <row r="43" spans="1:13" s="851" customFormat="1" ht="38.25">
      <c r="A43" s="899">
        <v>13</v>
      </c>
      <c r="B43" s="847"/>
      <c r="C43" s="887" t="s">
        <v>2825</v>
      </c>
      <c r="D43" s="887" t="s">
        <v>2826</v>
      </c>
      <c r="E43" s="1260" t="s">
        <v>2827</v>
      </c>
      <c r="G43" s="1260" t="s">
        <v>2828</v>
      </c>
      <c r="H43" s="1260" t="s">
        <v>2829</v>
      </c>
      <c r="I43" s="1260" t="s">
        <v>2830</v>
      </c>
      <c r="J43" s="1260" t="s">
        <v>2601</v>
      </c>
      <c r="K43" s="1260" t="s">
        <v>2602</v>
      </c>
      <c r="L43" s="848"/>
      <c r="M43" s="848"/>
    </row>
    <row r="44" spans="1:13" s="840" customFormat="1">
      <c r="A44" s="858">
        <v>14</v>
      </c>
      <c r="B44" s="832"/>
      <c r="C44" s="843"/>
      <c r="D44" s="900" t="s">
        <v>2798</v>
      </c>
      <c r="E44" s="1261"/>
      <c r="G44" s="883"/>
      <c r="H44" s="901" t="s">
        <v>2799</v>
      </c>
      <c r="I44" s="901" t="s">
        <v>2831</v>
      </c>
      <c r="J44" s="901"/>
      <c r="K44" s="901"/>
      <c r="L44" s="843"/>
      <c r="M44" s="883"/>
    </row>
    <row r="45" spans="1:13" s="846" customFormat="1" ht="63.75">
      <c r="A45" s="858">
        <v>15</v>
      </c>
      <c r="B45" s="855" t="str">
        <f>B11</f>
        <v>CPUC Rate Group</v>
      </c>
      <c r="C45" s="857" t="s">
        <v>2832</v>
      </c>
      <c r="D45" s="857" t="s">
        <v>2603</v>
      </c>
      <c r="E45" s="857" t="s">
        <v>2604</v>
      </c>
      <c r="G45" s="857" t="s">
        <v>1302</v>
      </c>
      <c r="H45" s="857" t="s">
        <v>2605</v>
      </c>
      <c r="I45" s="891" t="s">
        <v>2606</v>
      </c>
      <c r="J45" s="857" t="s">
        <v>2607</v>
      </c>
      <c r="K45" s="891" t="s">
        <v>2608</v>
      </c>
      <c r="L45" s="902" t="s">
        <v>187</v>
      </c>
      <c r="M45" s="831"/>
    </row>
    <row r="46" spans="1:13" s="840" customFormat="1" ht="13.5" thickBot="1">
      <c r="A46" s="858" t="s">
        <v>2609</v>
      </c>
      <c r="B46" s="520" t="str">
        <f>B12</f>
        <v>Domestic</v>
      </c>
      <c r="C46" s="1285">
        <f>D46+E46</f>
        <v>494971923.64977235</v>
      </c>
      <c r="D46" s="1285">
        <f>D12-E46</f>
        <v>494971923.64977235</v>
      </c>
      <c r="E46" s="903"/>
      <c r="G46" s="903">
        <f>D46/(J12*10^6)</f>
        <v>1.8324455492742402E-2</v>
      </c>
      <c r="H46" s="903"/>
      <c r="I46" s="904"/>
      <c r="J46" s="905"/>
      <c r="K46" s="903"/>
      <c r="L46" s="903"/>
      <c r="M46" s="883"/>
    </row>
    <row r="47" spans="1:13" s="840" customFormat="1" ht="13.5" thickBot="1">
      <c r="A47" s="858" t="s">
        <v>2610</v>
      </c>
      <c r="B47" s="520" t="str">
        <f>B13</f>
        <v>GS-1</v>
      </c>
      <c r="C47" s="1285">
        <f t="shared" ref="C47:C59" si="10">D47+E47</f>
        <v>92221002.699305072</v>
      </c>
      <c r="D47" s="1285">
        <f t="shared" ref="D47" si="11">D13-E47</f>
        <v>92221002.699305072</v>
      </c>
      <c r="E47" s="895">
        <f>I47*I13*10^3</f>
        <v>0</v>
      </c>
      <c r="G47" s="903">
        <f>D47/(J13*10^6)</f>
        <v>1.5631367463169489E-2</v>
      </c>
      <c r="H47" s="906">
        <f>(M14-E47)/N13/10^3</f>
        <v>3.1879175286827528</v>
      </c>
      <c r="I47" s="907">
        <f>MIN($I$54,L14)</f>
        <v>3.1879175286827528</v>
      </c>
      <c r="J47" s="907"/>
      <c r="K47" s="907"/>
      <c r="L47" s="1257" t="s">
        <v>2833</v>
      </c>
      <c r="M47" s="883"/>
    </row>
    <row r="48" spans="1:13" s="840" customFormat="1">
      <c r="A48" s="858" t="s">
        <v>2611</v>
      </c>
      <c r="B48" s="520" t="str">
        <f t="shared" ref="B48:B59" si="12">B15</f>
        <v>TC-1</v>
      </c>
      <c r="C48" s="1285">
        <f t="shared" si="10"/>
        <v>579286.75566322939</v>
      </c>
      <c r="D48" s="1285">
        <f>D15-E48</f>
        <v>579286.75566322939</v>
      </c>
      <c r="E48" s="903"/>
      <c r="G48" s="903">
        <f>D48/(J15*10^6)</f>
        <v>1.0047569697155751E-2</v>
      </c>
      <c r="H48" s="903"/>
      <c r="I48" s="904"/>
      <c r="J48" s="905"/>
      <c r="K48" s="903"/>
      <c r="L48" s="903"/>
      <c r="M48" s="883"/>
    </row>
    <row r="49" spans="1:13" s="840" customFormat="1">
      <c r="A49" s="858" t="s">
        <v>2612</v>
      </c>
      <c r="B49" s="520" t="str">
        <f t="shared" si="12"/>
        <v>GS-2</v>
      </c>
      <c r="C49" s="1285">
        <f t="shared" si="10"/>
        <v>195924173.10689238</v>
      </c>
      <c r="D49" s="1285">
        <f t="shared" ref="D49:D50" si="13">D16-E49</f>
        <v>195783039.72961956</v>
      </c>
      <c r="E49" s="895">
        <f>I49*I16*10^3</f>
        <v>141133.37727280823</v>
      </c>
      <c r="G49" s="895"/>
      <c r="H49" s="908">
        <f t="shared" ref="H49:H58" si="14">D49/H16/10^3</f>
        <v>4.3607106799691762</v>
      </c>
      <c r="I49" s="909">
        <f>MIN($I$54,L16)</f>
        <v>3.9203715909113397</v>
      </c>
      <c r="J49" s="905"/>
      <c r="K49" s="903"/>
      <c r="L49" s="903"/>
      <c r="M49" s="883"/>
    </row>
    <row r="50" spans="1:13" s="840" customFormat="1">
      <c r="A50" s="858" t="s">
        <v>2613</v>
      </c>
      <c r="B50" s="520" t="str">
        <f t="shared" si="12"/>
        <v>TOU-GS-3</v>
      </c>
      <c r="C50" s="1285">
        <f t="shared" si="10"/>
        <v>108104624.15278061</v>
      </c>
      <c r="D50" s="1285">
        <f t="shared" si="13"/>
        <v>107830198.14141682</v>
      </c>
      <c r="E50" s="895">
        <f>I50*I17*10^3</f>
        <v>274426.0113637938</v>
      </c>
      <c r="G50" s="895"/>
      <c r="H50" s="908">
        <f t="shared" si="14"/>
        <v>4.7538261437848703</v>
      </c>
      <c r="I50" s="909">
        <f>MIN($I$54,L17)</f>
        <v>3.9203715909113397</v>
      </c>
      <c r="J50" s="905"/>
      <c r="K50" s="903"/>
      <c r="L50" s="903"/>
      <c r="M50" s="883"/>
    </row>
    <row r="51" spans="1:13" s="840" customFormat="1">
      <c r="A51" s="858" t="s">
        <v>2614</v>
      </c>
      <c r="B51" s="520" t="str">
        <f t="shared" si="12"/>
        <v>TOU-8-SEC</v>
      </c>
      <c r="C51" s="1285">
        <f t="shared" si="10"/>
        <v>102631664.56950326</v>
      </c>
      <c r="D51" s="1285">
        <f>J36*H18*1000</f>
        <v>102631664.56950326</v>
      </c>
      <c r="E51" s="903"/>
      <c r="G51" s="895"/>
      <c r="H51" s="908">
        <f t="shared" si="14"/>
        <v>4.9988025591462488</v>
      </c>
      <c r="I51" s="904"/>
      <c r="J51" s="905"/>
      <c r="K51" s="903"/>
      <c r="L51" s="903"/>
      <c r="M51" s="883"/>
    </row>
    <row r="52" spans="1:13" s="840" customFormat="1">
      <c r="A52" s="858" t="s">
        <v>2615</v>
      </c>
      <c r="B52" s="520" t="str">
        <f t="shared" si="12"/>
        <v>TOU-8-PRI</v>
      </c>
      <c r="C52" s="1285">
        <f t="shared" si="10"/>
        <v>62795676.835793667</v>
      </c>
      <c r="D52" s="1285">
        <f t="shared" ref="D52:D53" si="15">J37*H19*1000</f>
        <v>62795676.835793667</v>
      </c>
      <c r="E52" s="903"/>
      <c r="G52" s="895"/>
      <c r="H52" s="908">
        <f t="shared" si="14"/>
        <v>4.8995809677914544</v>
      </c>
      <c r="I52" s="904"/>
      <c r="J52" s="905"/>
      <c r="K52" s="903"/>
      <c r="L52" s="903"/>
      <c r="M52" s="883"/>
    </row>
    <row r="53" spans="1:13" s="840" customFormat="1">
      <c r="A53" s="858" t="s">
        <v>2616</v>
      </c>
      <c r="B53" s="520" t="str">
        <f t="shared" si="12"/>
        <v>TOU-8-SUB</v>
      </c>
      <c r="C53" s="1285">
        <f t="shared" si="10"/>
        <v>58691398.104078889</v>
      </c>
      <c r="D53" s="1285">
        <f t="shared" si="15"/>
        <v>58691398.104078889</v>
      </c>
      <c r="E53" s="903"/>
      <c r="G53" s="895"/>
      <c r="H53" s="908">
        <f t="shared" si="14"/>
        <v>4.9346196114676024</v>
      </c>
      <c r="I53" s="904"/>
      <c r="J53" s="910"/>
      <c r="K53" s="911"/>
      <c r="L53" s="911"/>
      <c r="M53" s="883"/>
    </row>
    <row r="54" spans="1:13" s="840" customFormat="1">
      <c r="A54" s="858" t="s">
        <v>2617</v>
      </c>
      <c r="B54" s="520" t="str">
        <f t="shared" si="12"/>
        <v>TOU-8-Standby-SEC</v>
      </c>
      <c r="C54" s="1285">
        <f t="shared" si="10"/>
        <v>2740284.7032120996</v>
      </c>
      <c r="D54" s="1285">
        <f>J36*H21*1000</f>
        <v>1623406.1203057771</v>
      </c>
      <c r="E54" s="895">
        <f>I54*I21*10^3</f>
        <v>1116878.5829063226</v>
      </c>
      <c r="G54" s="895"/>
      <c r="H54" s="1291">
        <f>J36</f>
        <v>4.9988025591462497</v>
      </c>
      <c r="I54" s="1292">
        <f>E36</f>
        <v>3.9203715909113397</v>
      </c>
      <c r="J54" s="910"/>
      <c r="K54" s="909"/>
      <c r="L54" s="911"/>
      <c r="M54" s="883"/>
    </row>
    <row r="55" spans="1:13" s="840" customFormat="1">
      <c r="A55" s="858" t="s">
        <v>2618</v>
      </c>
      <c r="B55" s="520" t="str">
        <f t="shared" si="12"/>
        <v>TOU-8-Standby-PRI</v>
      </c>
      <c r="C55" s="1285">
        <f t="shared" si="10"/>
        <v>8827510.3993655816</v>
      </c>
      <c r="D55" s="1285">
        <f t="shared" ref="D55:D56" si="16">J37*H22*1000</f>
        <v>6417338.8629271155</v>
      </c>
      <c r="E55" s="895">
        <f>I55*I22*10^3</f>
        <v>2410171.5364384665</v>
      </c>
      <c r="G55" s="895"/>
      <c r="H55" s="1291">
        <f>J37</f>
        <v>4.8995809677914544</v>
      </c>
      <c r="I55" s="1292">
        <f>E37</f>
        <v>1.7556035360426459</v>
      </c>
      <c r="J55" s="910"/>
      <c r="K55" s="911"/>
      <c r="L55" s="911"/>
      <c r="M55" s="883"/>
    </row>
    <row r="56" spans="1:13" s="840" customFormat="1" ht="13.5" thickBot="1">
      <c r="A56" s="858" t="s">
        <v>2619</v>
      </c>
      <c r="B56" s="520" t="str">
        <f t="shared" si="12"/>
        <v>TOU-8-Standby-SUB</v>
      </c>
      <c r="C56" s="1285">
        <f t="shared" si="10"/>
        <v>21255184.108118765</v>
      </c>
      <c r="D56" s="1285">
        <f t="shared" si="16"/>
        <v>16327462.116400316</v>
      </c>
      <c r="E56" s="895">
        <f>I56*I23*10^3</f>
        <v>4927721.9917184468</v>
      </c>
      <c r="G56" s="895"/>
      <c r="H56" s="1291">
        <f>J38</f>
        <v>4.9346196114676015</v>
      </c>
      <c r="I56" s="1292">
        <f>E38</f>
        <v>0.58706974928854239</v>
      </c>
      <c r="J56" s="910"/>
      <c r="K56" s="911"/>
      <c r="L56" s="911"/>
      <c r="M56" s="883"/>
    </row>
    <row r="57" spans="1:13" s="840" customFormat="1" ht="13.5" thickBot="1">
      <c r="A57" s="858" t="s">
        <v>2620</v>
      </c>
      <c r="B57" s="520" t="str">
        <f t="shared" si="12"/>
        <v>TOU-PA-2</v>
      </c>
      <c r="C57" s="1285">
        <f t="shared" si="10"/>
        <v>18621244.055193</v>
      </c>
      <c r="D57" s="1285">
        <f t="shared" ref="D57:D59" si="17">D24-E57</f>
        <v>18620060.993038699</v>
      </c>
      <c r="E57" s="895">
        <f>I57*I24*10^3</f>
        <v>1183.0621543003033</v>
      </c>
      <c r="G57" s="895"/>
      <c r="H57" s="1291">
        <f t="shared" si="14"/>
        <v>2.2927561129850837</v>
      </c>
      <c r="I57" s="1292">
        <f>MIN($I$54,L24)</f>
        <v>2.2927561129850837</v>
      </c>
      <c r="J57" s="912">
        <f>H57*0.746</f>
        <v>1.7103960602868724</v>
      </c>
      <c r="K57" s="907">
        <f>I57*0.746</f>
        <v>1.7103960602868724</v>
      </c>
      <c r="L57" s="1257" t="s">
        <v>2834</v>
      </c>
      <c r="M57" s="843"/>
    </row>
    <row r="58" spans="1:13" s="840" customFormat="1">
      <c r="A58" s="858" t="s">
        <v>2621</v>
      </c>
      <c r="B58" s="520" t="str">
        <f t="shared" si="12"/>
        <v>TOU-PA-3</v>
      </c>
      <c r="C58" s="1285">
        <f t="shared" si="10"/>
        <v>14064586.031064898</v>
      </c>
      <c r="D58" s="1285">
        <f t="shared" si="17"/>
        <v>14041236.186575796</v>
      </c>
      <c r="E58" s="895">
        <f>I58*I25*10^3</f>
        <v>23349.844489101393</v>
      </c>
      <c r="G58" s="895"/>
      <c r="H58" s="908">
        <f t="shared" si="14"/>
        <v>2.8461536432351768</v>
      </c>
      <c r="I58" s="909">
        <f>MIN($I$54,L25)</f>
        <v>2.8461536432351768</v>
      </c>
      <c r="J58" s="905"/>
      <c r="K58" s="903"/>
      <c r="L58" s="903"/>
      <c r="M58" s="843"/>
    </row>
    <row r="59" spans="1:13" s="840" customFormat="1">
      <c r="A59" s="858" t="s">
        <v>2622</v>
      </c>
      <c r="B59" s="520" t="str">
        <f t="shared" si="12"/>
        <v>Street Lighting</v>
      </c>
      <c r="C59" s="1285">
        <f t="shared" si="10"/>
        <v>5106140.4255152699</v>
      </c>
      <c r="D59" s="1285">
        <f t="shared" si="17"/>
        <v>5106140.4255152699</v>
      </c>
      <c r="E59" s="903"/>
      <c r="G59" s="903">
        <f>D59/(J26*10^6)</f>
        <v>7.3121119835485096E-3</v>
      </c>
      <c r="H59" s="903"/>
      <c r="I59" s="904"/>
      <c r="J59" s="905"/>
      <c r="K59" s="903"/>
      <c r="L59" s="903"/>
      <c r="M59" s="843"/>
    </row>
    <row r="60" spans="1:13" s="840" customFormat="1">
      <c r="A60" s="858" t="s">
        <v>2623</v>
      </c>
      <c r="B60" s="876" t="s">
        <v>86</v>
      </c>
      <c r="C60" s="1285"/>
      <c r="D60" s="1285"/>
      <c r="E60" s="903"/>
      <c r="G60" s="903"/>
      <c r="H60" s="903"/>
      <c r="I60" s="904"/>
      <c r="J60" s="905"/>
      <c r="K60" s="903"/>
      <c r="L60" s="903"/>
      <c r="M60" s="843"/>
    </row>
    <row r="61" spans="1:13" s="840" customFormat="1">
      <c r="A61" s="858">
        <v>17</v>
      </c>
      <c r="B61" s="521" t="s">
        <v>216</v>
      </c>
      <c r="C61" s="1293">
        <f>SUM(C46:C60)</f>
        <v>1186534699.5962591</v>
      </c>
      <c r="D61" s="1293">
        <f>SUM(D46:D60)</f>
        <v>1177639835.1899159</v>
      </c>
      <c r="E61" s="881">
        <f>SUM(E46:E59)</f>
        <v>8894864.4063432403</v>
      </c>
      <c r="G61" s="913"/>
      <c r="H61" s="913"/>
      <c r="I61" s="913"/>
      <c r="J61" s="913"/>
      <c r="K61" s="829"/>
      <c r="L61" s="829"/>
      <c r="M61" s="843"/>
    </row>
    <row r="62" spans="1:13" s="840" customFormat="1">
      <c r="A62" s="858">
        <v>18</v>
      </c>
      <c r="B62" s="832"/>
      <c r="C62" s="832"/>
      <c r="D62" s="832"/>
      <c r="E62" s="832"/>
      <c r="F62" s="832"/>
      <c r="G62" s="832"/>
      <c r="H62" s="832"/>
      <c r="I62" s="829"/>
      <c r="J62" s="829"/>
      <c r="K62" s="829"/>
      <c r="L62" s="829"/>
      <c r="M62" s="831"/>
    </row>
    <row r="63" spans="1:13" s="840" customFormat="1">
      <c r="A63" s="858">
        <v>19</v>
      </c>
      <c r="B63" s="914" t="s">
        <v>256</v>
      </c>
      <c r="C63" s="832"/>
      <c r="D63" s="832"/>
      <c r="E63" s="832"/>
      <c r="F63" s="832"/>
      <c r="G63" s="832"/>
      <c r="H63" s="832"/>
      <c r="I63" s="829"/>
      <c r="J63" s="829"/>
      <c r="K63" s="829"/>
      <c r="L63" s="829"/>
      <c r="M63" s="831"/>
    </row>
    <row r="64" spans="1:13" s="840" customFormat="1">
      <c r="A64" s="832"/>
      <c r="B64" s="915" t="s">
        <v>2624</v>
      </c>
      <c r="I64" s="915"/>
      <c r="J64" s="915"/>
      <c r="K64" s="915"/>
      <c r="L64" s="915"/>
      <c r="M64" s="831"/>
    </row>
    <row r="65" spans="1:13" s="840" customFormat="1">
      <c r="A65" s="832"/>
      <c r="B65" s="915" t="s">
        <v>2800</v>
      </c>
      <c r="I65" s="915"/>
      <c r="J65" s="915"/>
      <c r="K65" s="915"/>
      <c r="L65" s="915"/>
      <c r="M65" s="831"/>
    </row>
    <row r="66" spans="1:13" s="840" customFormat="1">
      <c r="A66" s="832"/>
      <c r="B66" s="915" t="s">
        <v>2835</v>
      </c>
      <c r="I66" s="915"/>
      <c r="J66" s="915"/>
      <c r="K66" s="915"/>
      <c r="L66" s="915"/>
      <c r="M66" s="831"/>
    </row>
    <row r="67" spans="1:13" s="840" customFormat="1">
      <c r="A67" s="832"/>
      <c r="B67" s="1262" t="s">
        <v>2836</v>
      </c>
      <c r="C67" s="915"/>
      <c r="D67" s="915"/>
      <c r="E67" s="915"/>
      <c r="F67" s="915"/>
      <c r="G67" s="915"/>
      <c r="I67" s="915"/>
      <c r="J67" s="915"/>
      <c r="K67" s="915"/>
      <c r="L67" s="915"/>
      <c r="M67" s="831"/>
    </row>
    <row r="68" spans="1:13" s="840" customFormat="1">
      <c r="A68" s="832"/>
      <c r="B68" s="1262" t="s">
        <v>2837</v>
      </c>
      <c r="C68" s="915"/>
      <c r="D68" s="915"/>
      <c r="E68" s="915"/>
      <c r="F68" s="915"/>
      <c r="G68" s="915"/>
      <c r="I68" s="915"/>
      <c r="J68" s="915"/>
      <c r="K68" s="915"/>
      <c r="L68" s="915"/>
      <c r="M68" s="831"/>
    </row>
    <row r="69" spans="1:13" s="840" customFormat="1">
      <c r="A69" s="832"/>
      <c r="B69" s="1294" t="s">
        <v>2838</v>
      </c>
      <c r="I69" s="915"/>
      <c r="J69" s="915"/>
      <c r="K69" s="915"/>
      <c r="L69" s="915"/>
      <c r="M69" s="831"/>
    </row>
    <row r="70" spans="1:13" s="840" customFormat="1">
      <c r="A70" s="832"/>
      <c r="B70" s="915" t="s">
        <v>2839</v>
      </c>
      <c r="I70" s="915"/>
      <c r="J70" s="915"/>
      <c r="K70" s="915"/>
      <c r="L70" s="915"/>
      <c r="M70" s="831"/>
    </row>
    <row r="71" spans="1:13" s="840" customFormat="1">
      <c r="A71" s="832"/>
      <c r="B71" s="915" t="s">
        <v>2840</v>
      </c>
      <c r="I71" s="915"/>
      <c r="J71" s="915"/>
      <c r="K71" s="915"/>
      <c r="L71" s="915"/>
      <c r="M71" s="831"/>
    </row>
    <row r="72" spans="1:13" s="840" customFormat="1">
      <c r="A72" s="832"/>
      <c r="B72" s="915" t="s">
        <v>2841</v>
      </c>
      <c r="I72" s="915"/>
      <c r="J72" s="915"/>
      <c r="K72" s="915"/>
      <c r="L72" s="915"/>
      <c r="M72" s="831"/>
    </row>
    <row r="73" spans="1:13" s="840" customFormat="1">
      <c r="A73" s="832"/>
      <c r="B73" s="915" t="s">
        <v>2842</v>
      </c>
      <c r="I73" s="915"/>
      <c r="J73" s="915"/>
      <c r="K73" s="915"/>
      <c r="L73" s="915"/>
      <c r="M73" s="831"/>
    </row>
    <row r="74" spans="1:13" s="840" customFormat="1">
      <c r="A74" s="832"/>
      <c r="B74" s="915" t="s">
        <v>2843</v>
      </c>
      <c r="I74" s="915"/>
      <c r="J74" s="915"/>
      <c r="K74" s="915"/>
      <c r="L74" s="915"/>
      <c r="M74" s="831"/>
    </row>
    <row r="75" spans="1:13" s="840" customFormat="1">
      <c r="A75" s="832"/>
      <c r="B75" s="1262" t="s">
        <v>2844</v>
      </c>
      <c r="I75" s="915"/>
      <c r="J75" s="915"/>
      <c r="K75" s="915"/>
      <c r="L75" s="915"/>
      <c r="M75" s="831"/>
    </row>
    <row r="76" spans="1:13" s="840" customFormat="1">
      <c r="A76" s="832"/>
      <c r="B76" s="1262" t="s">
        <v>2845</v>
      </c>
      <c r="I76" s="915"/>
      <c r="J76" s="915"/>
      <c r="K76" s="915"/>
      <c r="L76" s="915"/>
      <c r="M76" s="831"/>
    </row>
    <row r="77" spans="1:13" s="840" customFormat="1">
      <c r="A77" s="832"/>
      <c r="B77" s="1262" t="s">
        <v>2846</v>
      </c>
      <c r="I77" s="915"/>
      <c r="J77" s="915"/>
      <c r="K77" s="915"/>
      <c r="L77" s="915"/>
      <c r="M77" s="831"/>
    </row>
    <row r="78" spans="1:13" s="840" customFormat="1" ht="15.75">
      <c r="A78" s="832"/>
      <c r="B78" s="915" t="s">
        <v>2847</v>
      </c>
      <c r="I78" s="915"/>
      <c r="J78" s="915"/>
      <c r="K78" s="915"/>
      <c r="L78" s="915"/>
      <c r="M78" s="831"/>
    </row>
    <row r="79" spans="1:13" s="840" customFormat="1">
      <c r="A79" s="832"/>
      <c r="B79" s="915" t="s">
        <v>2848</v>
      </c>
      <c r="I79" s="915"/>
      <c r="J79" s="915"/>
      <c r="K79" s="915"/>
      <c r="L79" s="915"/>
      <c r="M79" s="831"/>
    </row>
    <row r="80" spans="1:13" s="840" customFormat="1">
      <c r="A80" s="832"/>
      <c r="B80" s="915" t="s">
        <v>2849</v>
      </c>
      <c r="I80" s="915"/>
      <c r="J80" s="915"/>
      <c r="K80" s="915"/>
      <c r="L80" s="915"/>
      <c r="M80" s="831"/>
    </row>
    <row r="81" spans="1:13" s="840" customFormat="1">
      <c r="A81" s="832"/>
      <c r="B81" s="915" t="s">
        <v>2850</v>
      </c>
      <c r="I81" s="915"/>
      <c r="J81" s="915"/>
      <c r="K81" s="915"/>
      <c r="L81" s="915"/>
      <c r="M81" s="831"/>
    </row>
    <row r="82" spans="1:13" s="840" customFormat="1">
      <c r="A82" s="832"/>
      <c r="B82" s="915" t="s">
        <v>2851</v>
      </c>
      <c r="I82" s="915"/>
      <c r="J82" s="915"/>
      <c r="K82" s="915"/>
      <c r="L82" s="915"/>
      <c r="M82" s="831"/>
    </row>
    <row r="83" spans="1:13">
      <c r="A83" s="858">
        <v>20</v>
      </c>
    </row>
    <row r="84" spans="1:13" s="840" customFormat="1">
      <c r="A84" s="858">
        <v>21</v>
      </c>
      <c r="B84" s="916"/>
      <c r="C84" s="832"/>
      <c r="D84" s="832"/>
      <c r="M84" s="831"/>
    </row>
    <row r="85" spans="1:13" s="840" customFormat="1" ht="15.75">
      <c r="A85" s="858">
        <v>22</v>
      </c>
      <c r="B85" s="828" t="s">
        <v>1303</v>
      </c>
      <c r="C85" s="832"/>
      <c r="D85" s="832"/>
      <c r="E85" s="832"/>
      <c r="F85" s="832"/>
      <c r="G85" s="832"/>
      <c r="H85" s="832"/>
      <c r="I85" s="832"/>
      <c r="J85" s="832"/>
      <c r="K85" s="832"/>
      <c r="L85" s="832"/>
      <c r="M85" s="831"/>
    </row>
    <row r="86" spans="1:13">
      <c r="A86" s="858">
        <v>23</v>
      </c>
    </row>
    <row r="87" spans="1:13">
      <c r="A87" s="858">
        <v>24</v>
      </c>
    </row>
    <row r="88" spans="1:13" s="840" customFormat="1" ht="25.5" customHeight="1">
      <c r="A88" s="858">
        <v>25</v>
      </c>
      <c r="B88" s="855" t="str">
        <f>B11</f>
        <v>CPUC Rate Group</v>
      </c>
      <c r="C88" s="917" t="s">
        <v>1304</v>
      </c>
      <c r="D88" s="918"/>
      <c r="E88" s="918"/>
      <c r="F88" s="918"/>
      <c r="G88" s="918"/>
      <c r="H88" s="918"/>
      <c r="I88" s="918"/>
      <c r="J88" s="919"/>
      <c r="K88" s="832"/>
      <c r="L88" s="832"/>
      <c r="M88" s="831"/>
    </row>
    <row r="89" spans="1:13" s="840" customFormat="1">
      <c r="A89" s="858" t="s">
        <v>2625</v>
      </c>
      <c r="B89" s="920" t="s">
        <v>2570</v>
      </c>
      <c r="C89" s="921" t="s">
        <v>2712</v>
      </c>
      <c r="D89" s="922"/>
      <c r="E89" s="922"/>
      <c r="F89" s="922"/>
      <c r="G89" s="922"/>
      <c r="H89" s="922"/>
      <c r="I89" s="923"/>
      <c r="J89" s="923"/>
      <c r="K89" s="832"/>
      <c r="L89" s="832"/>
      <c r="M89" s="831"/>
    </row>
    <row r="90" spans="1:13" s="840" customFormat="1">
      <c r="A90" s="858"/>
      <c r="B90" s="1263" t="s">
        <v>2801</v>
      </c>
      <c r="C90" s="1264"/>
      <c r="D90" s="1264" t="s">
        <v>2802</v>
      </c>
      <c r="E90" s="1265"/>
      <c r="F90" s="1265"/>
      <c r="G90" s="1265"/>
      <c r="H90" s="1265"/>
      <c r="I90" s="923"/>
      <c r="J90" s="923"/>
      <c r="K90" s="832"/>
      <c r="L90" s="832"/>
      <c r="M90" s="831"/>
    </row>
    <row r="91" spans="1:13" s="840" customFormat="1">
      <c r="A91" s="858" t="s">
        <v>2626</v>
      </c>
      <c r="B91" s="920" t="s">
        <v>2571</v>
      </c>
      <c r="C91" s="921" t="s">
        <v>2722</v>
      </c>
      <c r="D91" s="922"/>
      <c r="E91" s="922"/>
      <c r="F91" s="922"/>
      <c r="G91" s="922"/>
      <c r="H91" s="922"/>
      <c r="I91" s="923"/>
      <c r="J91" s="920"/>
      <c r="K91" s="832"/>
      <c r="L91" s="832"/>
      <c r="M91" s="831"/>
    </row>
    <row r="92" spans="1:13" s="840" customFormat="1">
      <c r="A92" s="858" t="s">
        <v>2627</v>
      </c>
      <c r="B92" s="920" t="s">
        <v>2573</v>
      </c>
      <c r="C92" s="921" t="s">
        <v>2713</v>
      </c>
      <c r="D92" s="922"/>
      <c r="E92" s="922"/>
      <c r="F92" s="922"/>
      <c r="G92" s="922"/>
      <c r="H92" s="922"/>
      <c r="I92" s="923"/>
      <c r="J92" s="920"/>
      <c r="K92" s="832"/>
      <c r="L92" s="832"/>
      <c r="M92" s="831"/>
    </row>
    <row r="93" spans="1:13" s="840" customFormat="1">
      <c r="A93" s="858" t="s">
        <v>2628</v>
      </c>
      <c r="B93" s="920" t="s">
        <v>2574</v>
      </c>
      <c r="C93" s="921" t="s">
        <v>2723</v>
      </c>
      <c r="D93" s="922"/>
      <c r="E93" s="922"/>
      <c r="F93" s="922"/>
      <c r="G93" s="922"/>
      <c r="H93" s="922"/>
      <c r="I93" s="923"/>
      <c r="J93" s="920"/>
      <c r="K93" s="832"/>
      <c r="L93" s="832"/>
      <c r="M93" s="831"/>
    </row>
    <row r="94" spans="1:13" s="840" customFormat="1">
      <c r="A94" s="858" t="s">
        <v>2629</v>
      </c>
      <c r="B94" s="920" t="s">
        <v>2575</v>
      </c>
      <c r="C94" s="921" t="s">
        <v>2724</v>
      </c>
      <c r="D94" s="922"/>
      <c r="E94" s="922"/>
      <c r="F94" s="922"/>
      <c r="G94" s="922"/>
      <c r="H94" s="922"/>
      <c r="I94" s="923"/>
      <c r="J94" s="920"/>
      <c r="K94" s="832"/>
      <c r="L94" s="832"/>
      <c r="M94" s="831"/>
    </row>
    <row r="95" spans="1:13" s="840" customFormat="1">
      <c r="A95" s="858" t="s">
        <v>2630</v>
      </c>
      <c r="B95" s="1263" t="s">
        <v>2576</v>
      </c>
      <c r="C95" s="1264" t="s">
        <v>2803</v>
      </c>
      <c r="D95" s="1265"/>
      <c r="E95" s="1265"/>
      <c r="F95" s="1265"/>
      <c r="G95" s="1265"/>
      <c r="H95" s="1265"/>
      <c r="I95" s="1265"/>
      <c r="J95" s="1263"/>
      <c r="K95" s="832"/>
      <c r="L95" s="832"/>
      <c r="M95" s="831"/>
    </row>
    <row r="96" spans="1:13">
      <c r="A96" s="858" t="s">
        <v>2631</v>
      </c>
      <c r="B96" s="1263" t="s">
        <v>2577</v>
      </c>
      <c r="C96" s="1264" t="s">
        <v>2803</v>
      </c>
      <c r="D96" s="1265"/>
      <c r="E96" s="1265"/>
      <c r="F96" s="1265"/>
      <c r="G96" s="1265"/>
      <c r="H96" s="1265"/>
      <c r="I96" s="1265"/>
      <c r="J96" s="1263"/>
    </row>
    <row r="97" spans="1:13">
      <c r="A97" s="858" t="s">
        <v>2632</v>
      </c>
      <c r="B97" s="1263" t="s">
        <v>2578</v>
      </c>
      <c r="C97" s="1264" t="s">
        <v>2803</v>
      </c>
      <c r="D97" s="1265"/>
      <c r="E97" s="1265"/>
      <c r="F97" s="1265"/>
      <c r="G97" s="1265"/>
      <c r="H97" s="1265"/>
      <c r="I97" s="1265"/>
      <c r="J97" s="1263"/>
    </row>
    <row r="98" spans="1:13">
      <c r="A98" s="858" t="s">
        <v>2633</v>
      </c>
      <c r="B98" s="1263" t="s">
        <v>2579</v>
      </c>
      <c r="C98" s="1264" t="s">
        <v>2725</v>
      </c>
      <c r="D98" s="1265"/>
      <c r="E98" s="1265"/>
      <c r="F98" s="1265"/>
      <c r="G98" s="1265"/>
      <c r="H98" s="1265"/>
      <c r="I98" s="1266"/>
      <c r="J98" s="1263"/>
    </row>
    <row r="99" spans="1:13">
      <c r="A99" s="858" t="s">
        <v>2634</v>
      </c>
      <c r="B99" s="1263" t="s">
        <v>2580</v>
      </c>
      <c r="C99" s="1264" t="s">
        <v>2804</v>
      </c>
      <c r="D99" s="1265"/>
      <c r="E99" s="1265"/>
      <c r="F99" s="1265"/>
      <c r="G99" s="1265"/>
      <c r="H99" s="1265"/>
      <c r="I99" s="1266"/>
      <c r="J99" s="1263"/>
    </row>
    <row r="100" spans="1:13">
      <c r="A100" s="858" t="s">
        <v>2635</v>
      </c>
      <c r="B100" s="1263" t="s">
        <v>2581</v>
      </c>
      <c r="C100" s="1264" t="s">
        <v>2804</v>
      </c>
      <c r="D100" s="1265"/>
      <c r="E100" s="1265"/>
      <c r="F100" s="1265"/>
      <c r="G100" s="1265"/>
      <c r="H100" s="1265"/>
      <c r="I100" s="1266"/>
      <c r="J100" s="1263"/>
    </row>
    <row r="101" spans="1:13">
      <c r="A101" s="858" t="s">
        <v>2636</v>
      </c>
      <c r="B101" s="920" t="s">
        <v>2582</v>
      </c>
      <c r="C101" s="921" t="s">
        <v>2714</v>
      </c>
      <c r="D101" s="922"/>
      <c r="E101" s="922"/>
      <c r="F101" s="922"/>
      <c r="G101" s="922"/>
      <c r="H101" s="922"/>
      <c r="I101" s="923"/>
      <c r="J101" s="920"/>
    </row>
    <row r="102" spans="1:13">
      <c r="A102" s="858" t="s">
        <v>2637</v>
      </c>
      <c r="B102" s="920" t="s">
        <v>2583</v>
      </c>
      <c r="C102" s="921" t="s">
        <v>2715</v>
      </c>
      <c r="D102" s="922"/>
      <c r="E102" s="922"/>
      <c r="F102" s="922"/>
      <c r="G102" s="922"/>
      <c r="H102" s="922"/>
      <c r="I102" s="923"/>
      <c r="J102" s="920"/>
    </row>
    <row r="103" spans="1:13">
      <c r="A103" s="858" t="s">
        <v>2638</v>
      </c>
      <c r="B103" s="920" t="s">
        <v>2584</v>
      </c>
      <c r="C103" s="921" t="s">
        <v>2805</v>
      </c>
      <c r="D103" s="922"/>
      <c r="E103" s="922"/>
      <c r="F103" s="922"/>
      <c r="G103" s="922"/>
      <c r="H103" s="922"/>
      <c r="I103" s="923"/>
      <c r="J103" s="920"/>
    </row>
    <row r="104" spans="1:13">
      <c r="A104" s="858" t="s">
        <v>2639</v>
      </c>
      <c r="B104" s="924" t="s">
        <v>86</v>
      </c>
      <c r="C104" s="921"/>
      <c r="D104" s="922"/>
      <c r="E104" s="922"/>
      <c r="F104" s="922"/>
      <c r="G104" s="922"/>
      <c r="H104" s="922"/>
      <c r="I104" s="923"/>
      <c r="J104" s="920"/>
    </row>
    <row r="105" spans="1:13">
      <c r="A105" s="858">
        <v>27</v>
      </c>
    </row>
    <row r="106" spans="1:13">
      <c r="A106" s="858">
        <f t="shared" ref="A106:A112" si="18">A105+1</f>
        <v>28</v>
      </c>
    </row>
    <row r="107" spans="1:13" ht="15.75">
      <c r="A107" s="858">
        <f t="shared" si="18"/>
        <v>29</v>
      </c>
      <c r="B107" s="828" t="s">
        <v>1305</v>
      </c>
    </row>
    <row r="108" spans="1:13">
      <c r="A108" s="858">
        <f t="shared" si="18"/>
        <v>30</v>
      </c>
      <c r="C108" s="842" t="s">
        <v>391</v>
      </c>
      <c r="D108" s="842" t="s">
        <v>375</v>
      </c>
      <c r="E108" s="842" t="s">
        <v>376</v>
      </c>
      <c r="F108" s="842" t="s">
        <v>377</v>
      </c>
      <c r="G108" s="925" t="s">
        <v>378</v>
      </c>
      <c r="H108" s="925" t="s">
        <v>379</v>
      </c>
      <c r="I108" s="925" t="s">
        <v>380</v>
      </c>
      <c r="J108" s="925" t="s">
        <v>593</v>
      </c>
      <c r="K108" s="925" t="s">
        <v>1040</v>
      </c>
      <c r="L108" s="925" t="s">
        <v>1056</v>
      </c>
      <c r="M108" s="925" t="s">
        <v>1059</v>
      </c>
    </row>
    <row r="109" spans="1:13" s="847" customFormat="1" ht="38.25">
      <c r="A109" s="926">
        <f t="shared" si="18"/>
        <v>31</v>
      </c>
      <c r="C109" s="848"/>
      <c r="D109" s="848"/>
      <c r="E109" s="848"/>
      <c r="F109" s="887" t="s">
        <v>2640</v>
      </c>
      <c r="G109" s="927"/>
      <c r="H109" s="887"/>
      <c r="I109" s="1295" t="s">
        <v>2641</v>
      </c>
      <c r="J109" s="1295" t="s">
        <v>2852</v>
      </c>
      <c r="K109" s="1295" t="s">
        <v>2853</v>
      </c>
      <c r="L109" s="1295" t="s">
        <v>2854</v>
      </c>
      <c r="M109" s="1295" t="s">
        <v>2855</v>
      </c>
    </row>
    <row r="110" spans="1:13" s="928" customFormat="1">
      <c r="A110" s="858">
        <f t="shared" si="18"/>
        <v>32</v>
      </c>
      <c r="C110" s="929"/>
      <c r="D110" s="929"/>
      <c r="E110" s="929"/>
      <c r="F110" s="930"/>
      <c r="G110" s="931"/>
      <c r="H110" s="930"/>
      <c r="I110" s="1277" t="s">
        <v>2856</v>
      </c>
      <c r="J110" s="1296"/>
      <c r="K110" s="930"/>
      <c r="L110" s="930"/>
      <c r="M110" s="930"/>
    </row>
    <row r="111" spans="1:13" ht="21.75" customHeight="1">
      <c r="A111" s="858">
        <f t="shared" si="18"/>
        <v>33</v>
      </c>
      <c r="B111" s="932"/>
      <c r="C111" s="1436" t="s">
        <v>1635</v>
      </c>
      <c r="D111" s="1437"/>
      <c r="E111" s="1437"/>
      <c r="F111" s="1440"/>
      <c r="G111" s="932"/>
      <c r="H111" s="933"/>
      <c r="I111" s="934"/>
      <c r="J111" s="934"/>
      <c r="K111" s="932"/>
      <c r="L111" s="934"/>
      <c r="M111" s="935"/>
    </row>
    <row r="112" spans="1:13" s="883" customFormat="1" ht="51.75" customHeight="1">
      <c r="A112" s="858">
        <f t="shared" si="18"/>
        <v>34</v>
      </c>
      <c r="B112" s="936" t="str">
        <f>B11</f>
        <v>CPUC Rate Group</v>
      </c>
      <c r="C112" s="937">
        <v>2014</v>
      </c>
      <c r="D112" s="938">
        <v>2015</v>
      </c>
      <c r="E112" s="938">
        <v>2016</v>
      </c>
      <c r="F112" s="936" t="s">
        <v>2642</v>
      </c>
      <c r="G112" s="936" t="s">
        <v>1306</v>
      </c>
      <c r="H112" s="939" t="s">
        <v>2857</v>
      </c>
      <c r="I112" s="1297" t="s">
        <v>2858</v>
      </c>
      <c r="J112" s="936" t="s">
        <v>2813</v>
      </c>
      <c r="K112" s="936" t="s">
        <v>2859</v>
      </c>
      <c r="L112" s="936" t="s">
        <v>1636</v>
      </c>
      <c r="M112" s="936" t="s">
        <v>2643</v>
      </c>
    </row>
    <row r="113" spans="1:13">
      <c r="A113" s="858" t="s">
        <v>2644</v>
      </c>
      <c r="B113" s="520" t="str">
        <f>B12</f>
        <v>Domestic</v>
      </c>
      <c r="C113" s="1298">
        <v>68996.84</v>
      </c>
      <c r="D113" s="1298">
        <v>70774.77</v>
      </c>
      <c r="E113" s="1298">
        <v>70601.36</v>
      </c>
      <c r="F113" s="940">
        <f>(C113+D113+E113)/3</f>
        <v>70124.323333333319</v>
      </c>
      <c r="G113" s="941">
        <v>1.0905</v>
      </c>
      <c r="H113" s="1136">
        <v>29556.667926666665</v>
      </c>
      <c r="I113" s="1267">
        <f>E12</f>
        <v>28442.665725131195</v>
      </c>
      <c r="J113" s="1267">
        <f>F12</f>
        <v>0</v>
      </c>
      <c r="K113" s="884">
        <f>I113+J113</f>
        <v>28442.665725131195</v>
      </c>
      <c r="L113" s="940">
        <f>(F113*G113)*(K113/H113)</f>
        <v>73588.369176484135</v>
      </c>
      <c r="M113" s="1299">
        <f t="shared" ref="M113:M126" si="19">L113/$L$128</f>
        <v>0.41715756295892231</v>
      </c>
    </row>
    <row r="114" spans="1:13">
      <c r="A114" s="858" t="s">
        <v>2645</v>
      </c>
      <c r="B114" s="520" t="str">
        <f>B13</f>
        <v>GS-1</v>
      </c>
      <c r="C114" s="1298">
        <v>12145.16</v>
      </c>
      <c r="D114" s="1298">
        <v>12888.83</v>
      </c>
      <c r="E114" s="1298">
        <v>12483.47</v>
      </c>
      <c r="F114" s="940">
        <f t="shared" ref="F114:F126" si="20">(C114+D114+E114)/3</f>
        <v>12505.82</v>
      </c>
      <c r="G114" s="941">
        <v>1.0909</v>
      </c>
      <c r="H114" s="1136">
        <v>5881.3626699999995</v>
      </c>
      <c r="I114" s="1267">
        <f t="shared" ref="I114" si="21">E13</f>
        <v>5910.7051936480202</v>
      </c>
      <c r="J114" s="1267">
        <f>F13</f>
        <v>0</v>
      </c>
      <c r="K114" s="884">
        <f t="shared" ref="K114:K126" si="22">I114+J114</f>
        <v>5910.7051936480202</v>
      </c>
      <c r="L114" s="940">
        <f t="shared" ref="L114:L126" si="23">(F114*G114)*(K114/H114)</f>
        <v>13710.66290471832</v>
      </c>
      <c r="M114" s="1299">
        <f t="shared" si="19"/>
        <v>7.7722971549576289E-2</v>
      </c>
    </row>
    <row r="115" spans="1:13">
      <c r="A115" s="858" t="s">
        <v>2646</v>
      </c>
      <c r="B115" s="520" t="str">
        <f t="shared" ref="B115:B126" si="24">B15</f>
        <v>TC-1</v>
      </c>
      <c r="C115" s="1298">
        <v>85.18</v>
      </c>
      <c r="D115" s="1298">
        <v>83.21</v>
      </c>
      <c r="E115" s="1298">
        <v>81.87</v>
      </c>
      <c r="F115" s="940">
        <f t="shared" si="20"/>
        <v>83.42</v>
      </c>
      <c r="G115" s="941">
        <v>1.0916999999999999</v>
      </c>
      <c r="H115" s="1136">
        <v>60.96546</v>
      </c>
      <c r="I115" s="1267">
        <f t="shared" ref="I115:J126" si="25">E15</f>
        <v>57.65441525896685</v>
      </c>
      <c r="J115" s="1267">
        <f t="shared" si="25"/>
        <v>0</v>
      </c>
      <c r="K115" s="884">
        <f t="shared" si="22"/>
        <v>57.65441525896685</v>
      </c>
      <c r="L115" s="940">
        <f t="shared" si="23"/>
        <v>86.123607416885235</v>
      </c>
      <c r="M115" s="1299">
        <f t="shared" si="19"/>
        <v>4.8821729011409675E-4</v>
      </c>
    </row>
    <row r="116" spans="1:13">
      <c r="A116" s="858" t="s">
        <v>2647</v>
      </c>
      <c r="B116" s="520" t="str">
        <f t="shared" si="24"/>
        <v>GS-2</v>
      </c>
      <c r="C116" s="1298">
        <v>30524.12</v>
      </c>
      <c r="D116" s="1298">
        <v>30626.46</v>
      </c>
      <c r="E116" s="1298">
        <v>29451.81</v>
      </c>
      <c r="F116" s="940">
        <f t="shared" si="20"/>
        <v>30200.796666666665</v>
      </c>
      <c r="G116" s="941">
        <v>1.0905</v>
      </c>
      <c r="H116" s="1136">
        <v>14811.063876666667</v>
      </c>
      <c r="I116" s="1267">
        <f t="shared" si="25"/>
        <v>13099.623737986469</v>
      </c>
      <c r="J116" s="1267">
        <f t="shared" si="25"/>
        <v>0</v>
      </c>
      <c r="K116" s="884">
        <f t="shared" si="22"/>
        <v>13099.623737986469</v>
      </c>
      <c r="L116" s="940">
        <f t="shared" si="23"/>
        <v>29128.400404765085</v>
      </c>
      <c r="M116" s="1299">
        <f t="shared" si="19"/>
        <v>0.16512300329148344</v>
      </c>
    </row>
    <row r="117" spans="1:13">
      <c r="A117" s="858" t="s">
        <v>2648</v>
      </c>
      <c r="B117" s="520" t="str">
        <f t="shared" si="24"/>
        <v>TOU-GS-3</v>
      </c>
      <c r="C117" s="1298">
        <v>16197.25</v>
      </c>
      <c r="D117" s="1298">
        <v>16184.27</v>
      </c>
      <c r="E117" s="1298">
        <v>15946.69</v>
      </c>
      <c r="F117" s="940">
        <f t="shared" si="20"/>
        <v>16109.403333333334</v>
      </c>
      <c r="G117" s="941">
        <v>1.0900000000000001</v>
      </c>
      <c r="H117" s="1136">
        <v>8565.12637</v>
      </c>
      <c r="I117" s="1267">
        <f t="shared" si="25"/>
        <v>7839.7227893620366</v>
      </c>
      <c r="J117" s="1267">
        <f t="shared" si="25"/>
        <v>0</v>
      </c>
      <c r="K117" s="884">
        <f t="shared" si="22"/>
        <v>7839.7227893620366</v>
      </c>
      <c r="L117" s="940">
        <f t="shared" si="23"/>
        <v>16072.109571751751</v>
      </c>
      <c r="M117" s="1299">
        <f t="shared" si="19"/>
        <v>9.1109534503765688E-2</v>
      </c>
    </row>
    <row r="118" spans="1:13">
      <c r="A118" s="858" t="s">
        <v>2649</v>
      </c>
      <c r="B118" s="520" t="str">
        <f t="shared" si="24"/>
        <v>TOU-8-SEC</v>
      </c>
      <c r="C118" s="1298">
        <v>15190.25</v>
      </c>
      <c r="D118" s="1298">
        <v>14907.32</v>
      </c>
      <c r="E118" s="1298">
        <v>14707.02</v>
      </c>
      <c r="F118" s="940">
        <f t="shared" si="20"/>
        <v>14934.863333333333</v>
      </c>
      <c r="G118" s="941">
        <v>1.0909</v>
      </c>
      <c r="H118" s="1137">
        <v>8585.843809647542</v>
      </c>
      <c r="I118" s="1267">
        <f>E18+E21</f>
        <v>8168.1290301649788</v>
      </c>
      <c r="J118" s="1267">
        <f t="shared" si="25"/>
        <v>0</v>
      </c>
      <c r="K118" s="884">
        <f>I118+J118</f>
        <v>8168.1290301649788</v>
      </c>
      <c r="L118" s="940">
        <f t="shared" si="23"/>
        <v>15499.789511032091</v>
      </c>
      <c r="M118" s="1299">
        <f t="shared" si="19"/>
        <v>8.786516797636329E-2</v>
      </c>
    </row>
    <row r="119" spans="1:13">
      <c r="A119" s="858" t="s">
        <v>2650</v>
      </c>
      <c r="B119" s="520" t="str">
        <f t="shared" si="24"/>
        <v>TOU-8-PRI</v>
      </c>
      <c r="C119" s="1298">
        <v>9948.57</v>
      </c>
      <c r="D119" s="1298">
        <v>9881.76</v>
      </c>
      <c r="E119" s="1298">
        <v>9683.99</v>
      </c>
      <c r="F119" s="940">
        <f t="shared" si="20"/>
        <v>9838.1066666666666</v>
      </c>
      <c r="G119" s="941">
        <v>1.0644</v>
      </c>
      <c r="H119" s="1137">
        <v>6150.0327036823846</v>
      </c>
      <c r="I119" s="1267">
        <f>E19+E22</f>
        <v>6043.3454223804365</v>
      </c>
      <c r="J119" s="1267">
        <f t="shared" si="25"/>
        <v>0</v>
      </c>
      <c r="K119" s="884">
        <f t="shared" si="22"/>
        <v>6043.3454223804365</v>
      </c>
      <c r="L119" s="940">
        <f t="shared" si="23"/>
        <v>10290.023954286158</v>
      </c>
      <c r="M119" s="1299">
        <f t="shared" si="19"/>
        <v>5.8332062030947623E-2</v>
      </c>
    </row>
    <row r="120" spans="1:13">
      <c r="A120" s="858" t="s">
        <v>2651</v>
      </c>
      <c r="B120" s="520" t="str">
        <f t="shared" si="24"/>
        <v>TOU-8-SUB</v>
      </c>
      <c r="C120" s="1298">
        <v>11843.23</v>
      </c>
      <c r="D120" s="1298">
        <v>10984.46</v>
      </c>
      <c r="E120" s="1298">
        <v>11021.36</v>
      </c>
      <c r="F120" s="940">
        <f t="shared" si="20"/>
        <v>11283.016666666668</v>
      </c>
      <c r="G120" s="941">
        <v>1.0315000000000001</v>
      </c>
      <c r="H120" s="1137">
        <v>7868.2314182368382</v>
      </c>
      <c r="I120" s="1267">
        <f>E20+E23</f>
        <v>7540.1804196665589</v>
      </c>
      <c r="J120" s="1267">
        <f t="shared" si="25"/>
        <v>0</v>
      </c>
      <c r="K120" s="884">
        <f t="shared" si="22"/>
        <v>7540.1804196665589</v>
      </c>
      <c r="L120" s="940">
        <f t="shared" si="23"/>
        <v>11153.189337280148</v>
      </c>
      <c r="M120" s="1299">
        <f t="shared" si="19"/>
        <v>6.3225171793126492E-2</v>
      </c>
    </row>
    <row r="121" spans="1:13">
      <c r="A121" s="858" t="s">
        <v>2652</v>
      </c>
      <c r="B121" s="520" t="str">
        <f t="shared" si="24"/>
        <v>TOU-8-Standby-SEC</v>
      </c>
      <c r="C121" s="1298">
        <v>100.81</v>
      </c>
      <c r="D121" s="1298">
        <v>143.15</v>
      </c>
      <c r="E121" s="1298">
        <v>155.46</v>
      </c>
      <c r="F121" s="940">
        <f t="shared" si="20"/>
        <v>133.14000000000001</v>
      </c>
      <c r="G121" s="941">
        <v>1.0911</v>
      </c>
      <c r="H121" s="1137">
        <v>84.658774149536043</v>
      </c>
      <c r="I121" s="1300">
        <f>E21*0</f>
        <v>0</v>
      </c>
      <c r="J121" s="1267">
        <f t="shared" si="25"/>
        <v>96.768373999999994</v>
      </c>
      <c r="K121" s="884">
        <f t="shared" si="22"/>
        <v>96.768373999999994</v>
      </c>
      <c r="L121" s="940">
        <f t="shared" si="23"/>
        <v>166.04835457773083</v>
      </c>
      <c r="M121" s="1299">
        <f t="shared" si="19"/>
        <v>9.4129449672762362E-4</v>
      </c>
    </row>
    <row r="122" spans="1:13">
      <c r="A122" s="858" t="s">
        <v>2653</v>
      </c>
      <c r="B122" s="520" t="str">
        <f t="shared" si="24"/>
        <v>TOU-8-Standby-PRI</v>
      </c>
      <c r="C122" s="1298">
        <v>294.37</v>
      </c>
      <c r="D122" s="1298">
        <v>311.39999999999998</v>
      </c>
      <c r="E122" s="1298">
        <v>372.99</v>
      </c>
      <c r="F122" s="940">
        <f t="shared" si="20"/>
        <v>326.25333333333333</v>
      </c>
      <c r="G122" s="941">
        <v>1.0645</v>
      </c>
      <c r="H122" s="1137">
        <v>235.83953844949079</v>
      </c>
      <c r="I122" s="1300">
        <f>E22*0</f>
        <v>0</v>
      </c>
      <c r="J122" s="1267">
        <f t="shared" si="25"/>
        <v>243.32826499999999</v>
      </c>
      <c r="K122" s="884">
        <f t="shared" si="22"/>
        <v>243.32826499999999</v>
      </c>
      <c r="L122" s="940">
        <f t="shared" si="23"/>
        <v>358.3245520155665</v>
      </c>
      <c r="M122" s="1299">
        <f t="shared" si="19"/>
        <v>2.0312693233991161E-3</v>
      </c>
    </row>
    <row r="123" spans="1:13">
      <c r="A123" s="858" t="s">
        <v>2654</v>
      </c>
      <c r="B123" s="520" t="str">
        <f t="shared" si="24"/>
        <v>TOU-8-Standby-SUB</v>
      </c>
      <c r="C123" s="1139">
        <v>587.17999999999995</v>
      </c>
      <c r="D123" s="1139">
        <v>631.27</v>
      </c>
      <c r="E123" s="1139">
        <v>713.8</v>
      </c>
      <c r="F123" s="940">
        <f t="shared" si="20"/>
        <v>644.08333333333326</v>
      </c>
      <c r="G123" s="941">
        <v>1.0316000000000001</v>
      </c>
      <c r="H123" s="1137">
        <v>507.57454349336689</v>
      </c>
      <c r="I123" s="1300">
        <f>E23*0</f>
        <v>0</v>
      </c>
      <c r="J123" s="1267">
        <f t="shared" si="25"/>
        <v>559.65611000000001</v>
      </c>
      <c r="K123" s="884">
        <f t="shared" si="22"/>
        <v>559.65611000000001</v>
      </c>
      <c r="L123" s="940">
        <f t="shared" si="23"/>
        <v>732.61332168456136</v>
      </c>
      <c r="M123" s="1299">
        <f t="shared" si="19"/>
        <v>4.1530365638655139E-3</v>
      </c>
    </row>
    <row r="124" spans="1:13">
      <c r="A124" s="858" t="s">
        <v>2655</v>
      </c>
      <c r="B124" s="520" t="str">
        <f t="shared" si="24"/>
        <v>TOU-PA-2</v>
      </c>
      <c r="C124" s="1298">
        <v>3188.9</v>
      </c>
      <c r="D124" s="1298">
        <v>3023.59</v>
      </c>
      <c r="E124" s="1298">
        <v>2748.37</v>
      </c>
      <c r="F124" s="940">
        <f t="shared" si="20"/>
        <v>2986.9533333333334</v>
      </c>
      <c r="G124" s="941">
        <v>1.091</v>
      </c>
      <c r="H124" s="1136">
        <v>2137.80564</v>
      </c>
      <c r="I124" s="1267">
        <f>E24</f>
        <v>1816.152596448351</v>
      </c>
      <c r="J124" s="1267">
        <f t="shared" si="25"/>
        <v>0</v>
      </c>
      <c r="K124" s="884">
        <f t="shared" si="22"/>
        <v>1816.152596448351</v>
      </c>
      <c r="L124" s="940">
        <f t="shared" si="23"/>
        <v>2768.4539598826664</v>
      </c>
      <c r="M124" s="1299">
        <f t="shared" si="19"/>
        <v>1.5693804876949012E-2</v>
      </c>
    </row>
    <row r="125" spans="1:13">
      <c r="A125" s="858" t="s">
        <v>2656</v>
      </c>
      <c r="B125" s="520" t="str">
        <f t="shared" si="24"/>
        <v>TOU-PA-3</v>
      </c>
      <c r="C125" s="1298">
        <v>1845.59</v>
      </c>
      <c r="D125" s="1298">
        <v>1832.57</v>
      </c>
      <c r="E125" s="1298">
        <v>1891.42</v>
      </c>
      <c r="F125" s="940">
        <f t="shared" si="20"/>
        <v>1856.5266666666666</v>
      </c>
      <c r="G125" s="941">
        <v>1.0895999999999999</v>
      </c>
      <c r="H125" s="1136">
        <v>1406.2727466666665</v>
      </c>
      <c r="I125" s="1267">
        <f>E25</f>
        <v>1453.6399206185063</v>
      </c>
      <c r="J125" s="1267">
        <f t="shared" si="25"/>
        <v>0</v>
      </c>
      <c r="K125" s="884">
        <f t="shared" si="22"/>
        <v>1453.6399206185063</v>
      </c>
      <c r="L125" s="940">
        <f t="shared" si="23"/>
        <v>2091.0073879276315</v>
      </c>
      <c r="M125" s="1299">
        <f t="shared" si="19"/>
        <v>1.1853497445840093E-2</v>
      </c>
    </row>
    <row r="126" spans="1:13">
      <c r="A126" s="858" t="s">
        <v>2657</v>
      </c>
      <c r="B126" s="520" t="str">
        <f t="shared" si="24"/>
        <v>Street Lighting</v>
      </c>
      <c r="C126" s="1298">
        <v>812</v>
      </c>
      <c r="D126" s="1298">
        <v>659.6</v>
      </c>
      <c r="E126" s="1298">
        <v>684.89</v>
      </c>
      <c r="F126" s="940">
        <f t="shared" si="20"/>
        <v>718.82999999999993</v>
      </c>
      <c r="G126" s="941">
        <v>1.0938000000000001</v>
      </c>
      <c r="H126" s="1136">
        <v>723.25703333333331</v>
      </c>
      <c r="I126" s="1267">
        <f>E26</f>
        <v>698.31266766750207</v>
      </c>
      <c r="J126" s="1267">
        <f t="shared" si="25"/>
        <v>0</v>
      </c>
      <c r="K126" s="884">
        <f t="shared" si="22"/>
        <v>698.31266766750207</v>
      </c>
      <c r="L126" s="940">
        <f t="shared" si="23"/>
        <v>759.139112233079</v>
      </c>
      <c r="M126" s="1299">
        <f t="shared" si="19"/>
        <v>4.3034058989195444E-3</v>
      </c>
    </row>
    <row r="127" spans="1:13">
      <c r="A127" s="858" t="s">
        <v>2658</v>
      </c>
      <c r="B127" s="876" t="s">
        <v>86</v>
      </c>
      <c r="C127" s="1138"/>
      <c r="D127" s="1138"/>
      <c r="E127" s="1138"/>
      <c r="F127" s="940"/>
      <c r="G127" s="941"/>
      <c r="H127" s="1136"/>
      <c r="I127" s="829"/>
      <c r="J127" s="829"/>
      <c r="K127" s="884"/>
      <c r="L127" s="940"/>
      <c r="M127" s="1299"/>
    </row>
    <row r="128" spans="1:13">
      <c r="A128" s="858">
        <v>36</v>
      </c>
      <c r="B128" s="523" t="s">
        <v>216</v>
      </c>
      <c r="C128" s="882">
        <f>SUM(C113:C127)</f>
        <v>171759.44999999998</v>
      </c>
      <c r="D128" s="882">
        <f>SUM(D113:D127)</f>
        <v>172932.66</v>
      </c>
      <c r="E128" s="882">
        <f>SUM(E113:E127)</f>
        <v>170544.5</v>
      </c>
      <c r="F128" s="882">
        <f>SUM(F113:F127)</f>
        <v>171745.53666666665</v>
      </c>
      <c r="G128" s="880"/>
      <c r="H128" s="882">
        <f>SUM(H113:H127)</f>
        <v>86574.702510992487</v>
      </c>
      <c r="I128" s="1301">
        <f t="shared" ref="I128:J128" si="26">SUM(I113:I127)</f>
        <v>81070.131918333005</v>
      </c>
      <c r="J128" s="1301">
        <f t="shared" si="26"/>
        <v>899.75274899999999</v>
      </c>
      <c r="K128" s="882">
        <f>SUM(K113:K127)</f>
        <v>81969.884667333012</v>
      </c>
      <c r="L128" s="882">
        <f>SUM(L113:L127)</f>
        <v>176404.25515605579</v>
      </c>
      <c r="M128" s="1302">
        <f>SUM(M113:M127)</f>
        <v>1.0000000000000002</v>
      </c>
    </row>
    <row r="129" spans="10:13">
      <c r="J129" s="942"/>
      <c r="L129" s="896"/>
      <c r="M129" s="897"/>
    </row>
    <row r="130" spans="10:13">
      <c r="J130" s="942"/>
      <c r="L130" s="896"/>
      <c r="M130" s="897"/>
    </row>
    <row r="131" spans="10:13">
      <c r="J131" s="942"/>
      <c r="L131" s="896"/>
      <c r="M131" s="897"/>
    </row>
    <row r="132" spans="10:13">
      <c r="J132" s="942"/>
      <c r="L132" s="896"/>
      <c r="M132" s="897"/>
    </row>
    <row r="133" spans="10:13">
      <c r="J133" s="942"/>
      <c r="L133" s="896"/>
      <c r="M133" s="897"/>
    </row>
    <row r="134" spans="10:13">
      <c r="J134" s="942"/>
      <c r="L134" s="896"/>
      <c r="M134" s="897"/>
    </row>
    <row r="135" spans="10:13">
      <c r="J135" s="942"/>
      <c r="L135" s="896"/>
      <c r="M135" s="897"/>
    </row>
    <row r="136" spans="10:13">
      <c r="J136" s="942"/>
      <c r="L136" s="896"/>
      <c r="M136" s="897"/>
    </row>
    <row r="137" spans="10:13">
      <c r="J137" s="942"/>
      <c r="L137" s="896"/>
      <c r="M137" s="897"/>
    </row>
    <row r="138" spans="10:13">
      <c r="L138" s="896"/>
    </row>
    <row r="142" spans="10:13">
      <c r="M142" s="832"/>
    </row>
    <row r="143" spans="10:13">
      <c r="M143" s="832"/>
    </row>
    <row r="144" spans="10:13">
      <c r="M144" s="832"/>
    </row>
    <row r="145" spans="13:13">
      <c r="M145" s="832"/>
    </row>
    <row r="146" spans="13:13">
      <c r="M146" s="832"/>
    </row>
    <row r="147" spans="13:13">
      <c r="M147" s="832"/>
    </row>
    <row r="148" spans="13:13">
      <c r="M148" s="832"/>
    </row>
    <row r="149" spans="13:13">
      <c r="M149" s="832"/>
    </row>
    <row r="150" spans="13:13">
      <c r="M150" s="832"/>
    </row>
    <row r="151" spans="13:13">
      <c r="M151" s="832"/>
    </row>
    <row r="152" spans="13:13">
      <c r="M152" s="832"/>
    </row>
    <row r="153" spans="13:13">
      <c r="M153" s="832"/>
    </row>
    <row r="154" spans="13:13">
      <c r="M154" s="832"/>
    </row>
    <row r="155" spans="13:13">
      <c r="M155" s="832"/>
    </row>
    <row r="156" spans="13:13">
      <c r="M156" s="832"/>
    </row>
    <row r="157" spans="13:13">
      <c r="M157" s="832"/>
    </row>
    <row r="158" spans="13:13">
      <c r="M158" s="832"/>
    </row>
    <row r="159" spans="13:13">
      <c r="M159" s="832"/>
    </row>
    <row r="160" spans="13:13">
      <c r="M160" s="832"/>
    </row>
    <row r="161" spans="13:13">
      <c r="M161" s="832"/>
    </row>
    <row r="162" spans="13:13">
      <c r="M162" s="832"/>
    </row>
    <row r="163" spans="13:13">
      <c r="M163" s="832"/>
    </row>
    <row r="164" spans="13:13">
      <c r="M164" s="832"/>
    </row>
    <row r="165" spans="13:13">
      <c r="M165" s="832"/>
    </row>
    <row r="166" spans="13:13">
      <c r="M166" s="832"/>
    </row>
    <row r="167" spans="13:13">
      <c r="M167" s="832"/>
    </row>
    <row r="168" spans="13:13">
      <c r="M168" s="832"/>
    </row>
    <row r="169" spans="13:13">
      <c r="M169" s="832"/>
    </row>
    <row r="170" spans="13:13">
      <c r="M170" s="832"/>
    </row>
    <row r="171" spans="13:13">
      <c r="M171" s="832"/>
    </row>
    <row r="172" spans="13:13">
      <c r="M172" s="832"/>
    </row>
    <row r="173" spans="13:13">
      <c r="M173" s="832"/>
    </row>
    <row r="174" spans="13:13">
      <c r="M174" s="832"/>
    </row>
    <row r="175" spans="13:13">
      <c r="M175" s="832"/>
    </row>
    <row r="176" spans="13:13">
      <c r="M176" s="832"/>
    </row>
    <row r="177" spans="13:13">
      <c r="M177" s="832"/>
    </row>
    <row r="178" spans="13:13">
      <c r="M178" s="832"/>
    </row>
    <row r="179" spans="13:13">
      <c r="M179" s="832"/>
    </row>
    <row r="180" spans="13:13">
      <c r="M180" s="832"/>
    </row>
    <row r="181" spans="13:13">
      <c r="M181" s="832"/>
    </row>
    <row r="182" spans="13:13">
      <c r="M182" s="832"/>
    </row>
    <row r="183" spans="13:13">
      <c r="M183" s="832"/>
    </row>
    <row r="184" spans="13:13">
      <c r="M184" s="832"/>
    </row>
    <row r="185" spans="13:13">
      <c r="M185" s="832"/>
    </row>
    <row r="186" spans="13:13">
      <c r="M186" s="832"/>
    </row>
    <row r="187" spans="13:13">
      <c r="M187" s="832"/>
    </row>
    <row r="188" spans="13:13">
      <c r="M188" s="832"/>
    </row>
    <row r="189" spans="13:13">
      <c r="M189" s="832"/>
    </row>
    <row r="190" spans="13:13">
      <c r="M190" s="832"/>
    </row>
    <row r="191" spans="13:13">
      <c r="M191" s="832"/>
    </row>
    <row r="192" spans="13:13">
      <c r="M192" s="832"/>
    </row>
    <row r="193" spans="13:13">
      <c r="M193" s="832"/>
    </row>
    <row r="194" spans="13:13">
      <c r="M194" s="832"/>
    </row>
    <row r="195" spans="13:13">
      <c r="M195" s="832"/>
    </row>
    <row r="196" spans="13:13">
      <c r="M196" s="832"/>
    </row>
    <row r="197" spans="13:13">
      <c r="M197" s="832"/>
    </row>
    <row r="198" spans="13:13">
      <c r="M198" s="832"/>
    </row>
    <row r="199" spans="13:13">
      <c r="M199" s="832"/>
    </row>
    <row r="200" spans="13:13">
      <c r="M200" s="832"/>
    </row>
    <row r="201" spans="13:13">
      <c r="M201" s="832"/>
    </row>
    <row r="202" spans="13:13">
      <c r="M202" s="832"/>
    </row>
    <row r="203" spans="13:13">
      <c r="M203" s="832"/>
    </row>
    <row r="204" spans="13:13">
      <c r="M204" s="832"/>
    </row>
    <row r="205" spans="13:13">
      <c r="M205" s="832"/>
    </row>
    <row r="206" spans="13:13">
      <c r="M206" s="832"/>
    </row>
    <row r="207" spans="13:13">
      <c r="M207" s="832"/>
    </row>
    <row r="208" spans="13:13">
      <c r="M208" s="832"/>
    </row>
    <row r="209" spans="13:13">
      <c r="M209" s="832"/>
    </row>
    <row r="210" spans="13:13">
      <c r="M210" s="832"/>
    </row>
    <row r="211" spans="13:13">
      <c r="M211" s="832"/>
    </row>
    <row r="212" spans="13:13">
      <c r="M212" s="832"/>
    </row>
    <row r="213" spans="13:13">
      <c r="M213" s="832"/>
    </row>
    <row r="214" spans="13:13">
      <c r="M214" s="832"/>
    </row>
    <row r="215" spans="13:13">
      <c r="M215" s="832"/>
    </row>
    <row r="216" spans="13:13">
      <c r="M216" s="832"/>
    </row>
    <row r="217" spans="13:13">
      <c r="M217" s="832"/>
    </row>
    <row r="218" spans="13:13">
      <c r="M218" s="832"/>
    </row>
    <row r="219" spans="13:13">
      <c r="M219" s="832"/>
    </row>
    <row r="220" spans="13:13">
      <c r="M220" s="832"/>
    </row>
    <row r="221" spans="13:13">
      <c r="M221" s="832"/>
    </row>
    <row r="222" spans="13:13">
      <c r="M222" s="832"/>
    </row>
    <row r="223" spans="13:13">
      <c r="M223" s="832"/>
    </row>
    <row r="224" spans="13:13">
      <c r="M224" s="832"/>
    </row>
    <row r="225" spans="13:13">
      <c r="M225" s="832"/>
    </row>
    <row r="226" spans="13:13">
      <c r="M226" s="832"/>
    </row>
    <row r="227" spans="13:13">
      <c r="M227" s="832"/>
    </row>
    <row r="228" spans="13:13">
      <c r="M228" s="832"/>
    </row>
    <row r="229" spans="13:13">
      <c r="M229" s="832"/>
    </row>
    <row r="230" spans="13:13">
      <c r="M230" s="832"/>
    </row>
    <row r="231" spans="13:13">
      <c r="M231" s="832"/>
    </row>
    <row r="232" spans="13:13">
      <c r="M232" s="832"/>
    </row>
    <row r="233" spans="13:13">
      <c r="M233" s="832"/>
    </row>
    <row r="234" spans="13:13">
      <c r="M234" s="832"/>
    </row>
    <row r="235" spans="13:13">
      <c r="M235" s="832"/>
    </row>
    <row r="236" spans="13:13">
      <c r="M236" s="832"/>
    </row>
    <row r="237" spans="13:13">
      <c r="M237" s="832"/>
    </row>
    <row r="238" spans="13:13">
      <c r="M238" s="832"/>
    </row>
    <row r="239" spans="13:13">
      <c r="M239" s="832"/>
    </row>
    <row r="240" spans="13:13">
      <c r="M240" s="832"/>
    </row>
    <row r="241" spans="13:13">
      <c r="M241" s="832"/>
    </row>
    <row r="242" spans="13:13">
      <c r="M242" s="832"/>
    </row>
    <row r="243" spans="13:13">
      <c r="M243" s="832"/>
    </row>
    <row r="244" spans="13:13">
      <c r="M244" s="832"/>
    </row>
    <row r="245" spans="13:13">
      <c r="M245" s="832"/>
    </row>
    <row r="246" spans="13:13">
      <c r="M246" s="832"/>
    </row>
    <row r="247" spans="13:13">
      <c r="M247" s="832"/>
    </row>
    <row r="248" spans="13:13">
      <c r="M248" s="832"/>
    </row>
    <row r="249" spans="13:13">
      <c r="M249" s="832"/>
    </row>
    <row r="250" spans="13:13">
      <c r="M250" s="832"/>
    </row>
  </sheetData>
  <mergeCells count="2">
    <mergeCell ref="E9:I9"/>
    <mergeCell ref="C111:F111"/>
  </mergeCells>
  <pageMargins left="0.7" right="0.7" top="0.75" bottom="0.75" header="0.3" footer="0.3"/>
  <pageSetup scale="53" orientation="landscape" cellComments="asDisplayed" r:id="rId1"/>
  <headerFooter>
    <oddHeader>&amp;CSchedule 33
Retail Transmission Rates
&amp;RTO2019 Draft Annual Update
Attachment 5
TO13 True Up TRR</oddHeader>
    <oddFooter>&amp;R33-RetailRates</oddFooter>
  </headerFooter>
  <rowBreaks count="4" manualBreakCount="4">
    <brk id="40" max="16383" man="1"/>
    <brk id="100" max="16383" man="1"/>
    <brk id="181" max="16383" man="1"/>
    <brk id="22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74" t="s">
        <v>2386</v>
      </c>
      <c r="B1" s="774"/>
      <c r="C1" s="775"/>
      <c r="D1" s="775"/>
      <c r="G1" s="775"/>
      <c r="H1" s="775"/>
      <c r="I1" s="775"/>
      <c r="J1" s="775"/>
      <c r="K1" s="775"/>
      <c r="L1" s="775"/>
      <c r="M1" s="775"/>
      <c r="N1" s="14"/>
      <c r="O1" s="14"/>
      <c r="P1" s="14"/>
      <c r="Q1" s="14"/>
      <c r="R1" s="14"/>
      <c r="S1" s="14"/>
      <c r="T1" s="14"/>
    </row>
    <row r="2" spans="1:20">
      <c r="A2" s="14"/>
      <c r="B2" s="14"/>
      <c r="C2" s="517"/>
      <c r="D2" s="14"/>
      <c r="E2" s="14"/>
      <c r="F2" s="14"/>
      <c r="G2" s="14"/>
      <c r="H2" s="14"/>
      <c r="I2" s="14"/>
      <c r="J2" s="14"/>
      <c r="K2" s="14"/>
      <c r="L2" s="14"/>
      <c r="M2" s="14"/>
      <c r="N2" s="14"/>
      <c r="O2" s="14"/>
      <c r="P2" s="14"/>
      <c r="Q2" s="14"/>
      <c r="R2" s="14"/>
      <c r="S2" s="14"/>
      <c r="T2" s="14"/>
    </row>
    <row r="3" spans="1:20">
      <c r="A3" s="776" t="s">
        <v>360</v>
      </c>
      <c r="B3" s="776"/>
      <c r="C3" s="775"/>
      <c r="D3" s="775"/>
      <c r="E3" s="775"/>
      <c r="F3" s="775"/>
      <c r="G3" s="775"/>
      <c r="H3" s="775"/>
      <c r="I3" s="775"/>
      <c r="J3" s="775"/>
      <c r="K3" s="775"/>
      <c r="L3" s="775"/>
      <c r="M3" s="775"/>
      <c r="N3" s="14"/>
      <c r="O3" s="14"/>
      <c r="P3" s="14"/>
      <c r="Q3" s="14"/>
      <c r="R3" s="14"/>
      <c r="S3" s="14"/>
      <c r="T3" s="14"/>
    </row>
    <row r="4" spans="1:20">
      <c r="A4" s="777">
        <v>1</v>
      </c>
      <c r="B4" s="777"/>
      <c r="C4" s="651"/>
      <c r="D4" s="651"/>
      <c r="E4" s="651"/>
      <c r="F4" s="651"/>
      <c r="G4" s="775"/>
      <c r="H4" s="775"/>
      <c r="I4" s="775"/>
      <c r="J4" s="775"/>
      <c r="K4" s="775"/>
      <c r="L4" s="775"/>
      <c r="M4" s="775"/>
      <c r="N4" s="14"/>
      <c r="O4" s="14"/>
      <c r="P4" s="14"/>
      <c r="Q4" s="14"/>
      <c r="R4" s="14"/>
      <c r="S4" s="14"/>
      <c r="T4" s="14"/>
    </row>
    <row r="5" spans="1:20">
      <c r="A5" s="642">
        <v>2</v>
      </c>
      <c r="B5" s="642"/>
      <c r="C5" s="651"/>
      <c r="D5" s="651"/>
      <c r="E5" s="651"/>
      <c r="F5" s="651"/>
      <c r="G5" s="775"/>
      <c r="H5" s="775"/>
      <c r="I5" s="775"/>
      <c r="J5" s="775"/>
      <c r="K5" s="775"/>
      <c r="L5" s="775"/>
      <c r="M5" s="775"/>
      <c r="N5" s="14"/>
      <c r="O5" s="14"/>
    </row>
    <row r="6" spans="1:20">
      <c r="A6" s="642">
        <v>3</v>
      </c>
      <c r="B6" s="642"/>
      <c r="C6" s="643"/>
      <c r="D6" s="643"/>
      <c r="E6" s="643"/>
      <c r="F6" s="643"/>
      <c r="G6" s="640"/>
      <c r="H6" s="640"/>
      <c r="I6" s="640"/>
      <c r="J6" s="640"/>
      <c r="K6" s="642" t="s">
        <v>73</v>
      </c>
      <c r="L6" s="640"/>
      <c r="M6" s="640"/>
    </row>
    <row r="7" spans="1:20">
      <c r="A7" s="642">
        <v>4</v>
      </c>
      <c r="B7" s="642"/>
      <c r="C7" s="640"/>
      <c r="D7" s="640"/>
      <c r="E7" s="778" t="s">
        <v>224</v>
      </c>
      <c r="F7" s="779"/>
      <c r="G7" s="640"/>
      <c r="H7" s="640"/>
      <c r="I7" s="640"/>
      <c r="J7" s="640"/>
      <c r="K7" s="780" t="s">
        <v>194</v>
      </c>
      <c r="L7" s="640"/>
      <c r="M7" s="645"/>
    </row>
    <row r="8" spans="1:20">
      <c r="A8" s="642">
        <v>5</v>
      </c>
      <c r="B8" s="642"/>
      <c r="C8" s="643"/>
      <c r="D8" s="643"/>
      <c r="E8" s="643"/>
      <c r="F8" s="643"/>
      <c r="G8" s="640"/>
      <c r="H8" s="640"/>
      <c r="I8" s="640"/>
      <c r="J8" s="640"/>
      <c r="K8" s="646"/>
      <c r="L8" s="640"/>
      <c r="M8" s="643"/>
    </row>
    <row r="9" spans="1:20">
      <c r="A9" s="642">
        <v>6</v>
      </c>
      <c r="B9" s="642"/>
      <c r="C9" s="774" t="s">
        <v>2407</v>
      </c>
      <c r="D9" s="651"/>
      <c r="E9" s="651" t="s">
        <v>2408</v>
      </c>
      <c r="F9" s="651"/>
      <c r="G9" s="775"/>
      <c r="H9" s="775"/>
      <c r="I9" s="775"/>
      <c r="J9" s="775"/>
      <c r="K9" s="646">
        <f>I20</f>
        <v>-10020873.76029706</v>
      </c>
      <c r="L9" s="640"/>
      <c r="M9" s="643"/>
      <c r="N9" s="781"/>
    </row>
    <row r="10" spans="1:20" ht="13.5" thickBot="1">
      <c r="A10" s="642">
        <v>7</v>
      </c>
      <c r="B10" s="642"/>
      <c r="C10" s="774" t="s">
        <v>2406</v>
      </c>
      <c r="D10" s="776"/>
      <c r="E10" s="651" t="s">
        <v>2387</v>
      </c>
      <c r="F10" s="651"/>
      <c r="G10" s="775"/>
      <c r="H10" s="775"/>
      <c r="I10" s="775"/>
      <c r="J10" s="775"/>
      <c r="K10" s="782">
        <f>+K20</f>
        <v>-10154558.999743076</v>
      </c>
      <c r="L10" s="640"/>
      <c r="M10" s="643"/>
    </row>
    <row r="11" spans="1:20" ht="13.5" thickTop="1">
      <c r="A11" s="642">
        <v>8</v>
      </c>
      <c r="B11" s="642"/>
      <c r="C11" s="651"/>
      <c r="D11" s="651"/>
      <c r="E11" s="651"/>
      <c r="F11" s="651"/>
      <c r="G11" s="775"/>
      <c r="H11" s="775"/>
      <c r="I11" s="775"/>
      <c r="J11" s="775"/>
      <c r="K11" s="646"/>
      <c r="L11" s="640"/>
      <c r="M11" s="640"/>
    </row>
    <row r="12" spans="1:20">
      <c r="A12" s="642">
        <v>9</v>
      </c>
      <c r="B12" s="642"/>
      <c r="C12" s="775"/>
      <c r="D12" s="775"/>
      <c r="E12" s="775"/>
      <c r="F12" s="775"/>
      <c r="G12" s="783" t="s">
        <v>391</v>
      </c>
      <c r="H12" s="783"/>
      <c r="I12" s="783" t="s">
        <v>375</v>
      </c>
      <c r="J12" s="783"/>
      <c r="K12" s="783" t="s">
        <v>376</v>
      </c>
      <c r="L12" s="640"/>
      <c r="M12" s="640"/>
    </row>
    <row r="13" spans="1:20">
      <c r="A13" s="642">
        <v>10</v>
      </c>
      <c r="B13" s="642"/>
      <c r="C13" s="775"/>
      <c r="D13" s="775"/>
      <c r="E13" s="775"/>
      <c r="F13" s="775"/>
      <c r="G13" s="777" t="s">
        <v>73</v>
      </c>
      <c r="H13" s="777"/>
      <c r="I13" s="777" t="s">
        <v>73</v>
      </c>
      <c r="J13" s="779"/>
      <c r="K13" s="777" t="s">
        <v>73</v>
      </c>
      <c r="L13" s="640"/>
      <c r="M13" s="640"/>
    </row>
    <row r="14" spans="1:20" ht="15">
      <c r="A14" s="642">
        <v>11</v>
      </c>
      <c r="B14" s="642"/>
      <c r="C14" s="777"/>
      <c r="D14" s="777"/>
      <c r="E14" s="777"/>
      <c r="F14" s="777"/>
      <c r="G14" s="777" t="s">
        <v>420</v>
      </c>
      <c r="H14" s="777"/>
      <c r="I14" s="777" t="s">
        <v>330</v>
      </c>
      <c r="J14" s="779"/>
      <c r="K14" s="784" t="s">
        <v>255</v>
      </c>
      <c r="L14" s="640"/>
      <c r="M14" s="640"/>
    </row>
    <row r="15" spans="1:20">
      <c r="A15" s="642">
        <v>12</v>
      </c>
      <c r="B15" s="642"/>
      <c r="C15" s="642" t="s">
        <v>455</v>
      </c>
      <c r="D15" s="642"/>
      <c r="E15" s="642"/>
      <c r="F15" s="642"/>
      <c r="G15" s="642" t="s">
        <v>2388</v>
      </c>
      <c r="H15" s="779"/>
      <c r="I15" s="642" t="s">
        <v>2388</v>
      </c>
      <c r="J15" s="779"/>
      <c r="K15" s="642" t="s">
        <v>2388</v>
      </c>
      <c r="L15" s="640"/>
      <c r="M15" s="640"/>
    </row>
    <row r="16" spans="1:20">
      <c r="A16" s="642">
        <v>13</v>
      </c>
      <c r="B16" s="642"/>
      <c r="C16" s="644" t="s">
        <v>2385</v>
      </c>
      <c r="D16" s="644"/>
      <c r="E16" s="644"/>
      <c r="F16" s="644"/>
      <c r="G16" s="780" t="s">
        <v>2389</v>
      </c>
      <c r="H16" s="779"/>
      <c r="I16" s="780" t="s">
        <v>2389</v>
      </c>
      <c r="J16" s="779"/>
      <c r="K16" s="780" t="s">
        <v>2389</v>
      </c>
      <c r="L16" s="640"/>
      <c r="M16" s="640"/>
    </row>
    <row r="17" spans="1:14">
      <c r="A17" s="642">
        <v>14</v>
      </c>
      <c r="B17" s="642"/>
      <c r="C17" s="651" t="s">
        <v>2390</v>
      </c>
      <c r="D17" s="651"/>
      <c r="E17" s="517" t="s">
        <v>2786</v>
      </c>
      <c r="F17" s="515"/>
      <c r="G17" s="646">
        <f>+G27</f>
        <v>-6453359.5049557658</v>
      </c>
      <c r="H17" s="785"/>
      <c r="I17" s="646">
        <f>+I27</f>
        <v>-6030705.6033153683</v>
      </c>
      <c r="J17" s="785"/>
      <c r="K17" s="646">
        <f>(+G17+I17)/2</f>
        <v>-6242032.5541355666</v>
      </c>
      <c r="L17" s="640"/>
      <c r="M17" s="640"/>
      <c r="N17" s="640"/>
    </row>
    <row r="18" spans="1:14">
      <c r="A18" s="642">
        <v>15</v>
      </c>
      <c r="B18" s="642"/>
      <c r="C18" s="651" t="s">
        <v>2391</v>
      </c>
      <c r="D18" s="651"/>
      <c r="E18" s="651" t="s">
        <v>2787</v>
      </c>
      <c r="F18" s="651"/>
      <c r="G18" s="646">
        <f>+G32</f>
        <v>-3305790.8897865294</v>
      </c>
      <c r="H18" s="785"/>
      <c r="I18" s="646">
        <f>+I32</f>
        <v>-3461435.9488293012</v>
      </c>
      <c r="J18" s="785"/>
      <c r="K18" s="646">
        <f>(+G18+I18)/2</f>
        <v>-3383613.4193079155</v>
      </c>
      <c r="L18" s="640"/>
      <c r="M18" s="640"/>
      <c r="N18" s="640"/>
    </row>
    <row r="19" spans="1:14">
      <c r="A19" s="642">
        <v>16</v>
      </c>
      <c r="B19" s="642"/>
      <c r="C19" s="651" t="s">
        <v>2392</v>
      </c>
      <c r="D19" s="651"/>
      <c r="E19" s="651" t="s">
        <v>2788</v>
      </c>
      <c r="F19" s="651"/>
      <c r="G19" s="786">
        <f>+G39</f>
        <v>-529093.84444679564</v>
      </c>
      <c r="H19" s="787"/>
      <c r="I19" s="786">
        <f>+I39</f>
        <v>-528732.20815239137</v>
      </c>
      <c r="J19" s="787"/>
      <c r="K19" s="646">
        <f>(+G19+I19)/2</f>
        <v>-528913.0262995935</v>
      </c>
      <c r="L19" s="640"/>
      <c r="M19" s="640"/>
    </row>
    <row r="20" spans="1:14" ht="13.5" thickBot="1">
      <c r="A20" s="642">
        <v>17</v>
      </c>
      <c r="B20" s="642"/>
      <c r="C20" s="643" t="s">
        <v>216</v>
      </c>
      <c r="D20" s="643"/>
      <c r="E20" s="643" t="s">
        <v>2393</v>
      </c>
      <c r="F20" s="643"/>
      <c r="G20" s="788">
        <f>+G17+G18+G19</f>
        <v>-10288244.23918909</v>
      </c>
      <c r="H20" s="785"/>
      <c r="I20" s="788">
        <f>+I17+I18+I19</f>
        <v>-10020873.76029706</v>
      </c>
      <c r="J20" s="785"/>
      <c r="K20" s="788">
        <f>+K17+K18+K19</f>
        <v>-10154558.999743076</v>
      </c>
      <c r="L20" s="640"/>
      <c r="M20" s="643"/>
      <c r="N20" s="515" t="s">
        <v>359</v>
      </c>
    </row>
    <row r="21" spans="1:14" ht="13.5" thickTop="1">
      <c r="A21" s="642">
        <v>18</v>
      </c>
      <c r="B21" s="642"/>
      <c r="C21" s="640"/>
      <c r="D21" s="640"/>
      <c r="E21" s="640"/>
      <c r="F21" s="640"/>
      <c r="G21" s="640"/>
      <c r="H21" s="789"/>
      <c r="I21" s="640"/>
      <c r="J21" s="789"/>
      <c r="K21" s="640"/>
      <c r="L21" s="640"/>
      <c r="M21" s="640"/>
    </row>
    <row r="22" spans="1:14">
      <c r="A22" s="642">
        <v>19</v>
      </c>
      <c r="B22" s="642"/>
      <c r="C22" s="641" t="s">
        <v>2394</v>
      </c>
      <c r="D22" s="641"/>
      <c r="E22" s="641"/>
      <c r="F22" s="641"/>
      <c r="G22" s="640"/>
      <c r="H22" s="789"/>
      <c r="I22" s="640"/>
      <c r="J22" s="789"/>
      <c r="K22" s="640"/>
      <c r="L22" s="640"/>
      <c r="M22" s="640"/>
    </row>
    <row r="23" spans="1:14">
      <c r="A23" s="642">
        <v>20</v>
      </c>
      <c r="B23" s="642"/>
      <c r="H23" s="586"/>
      <c r="J23" s="586"/>
      <c r="K23" s="516" t="s">
        <v>255</v>
      </c>
    </row>
    <row r="24" spans="1:14">
      <c r="A24" s="642">
        <v>21</v>
      </c>
      <c r="B24" s="642"/>
      <c r="C24" s="641" t="s">
        <v>118</v>
      </c>
      <c r="D24" s="641"/>
      <c r="E24" s="641"/>
      <c r="F24" s="641"/>
      <c r="G24" s="416" t="s">
        <v>420</v>
      </c>
      <c r="H24" s="790"/>
      <c r="I24" s="416" t="s">
        <v>330</v>
      </c>
      <c r="J24" s="790"/>
      <c r="K24" s="791" t="s">
        <v>2395</v>
      </c>
      <c r="M24" s="537" t="s">
        <v>359</v>
      </c>
    </row>
    <row r="25" spans="1:14">
      <c r="A25" s="642">
        <v>22</v>
      </c>
      <c r="B25" s="642"/>
      <c r="C25" t="s">
        <v>2396</v>
      </c>
      <c r="E25" s="651" t="s">
        <v>2397</v>
      </c>
      <c r="F25" s="651"/>
      <c r="G25" s="792">
        <v>-114763335.86</v>
      </c>
      <c r="H25" s="793"/>
      <c r="I25" s="792">
        <v>-107247069.08</v>
      </c>
      <c r="J25" s="794"/>
      <c r="M25" s="781"/>
      <c r="N25" s="682"/>
    </row>
    <row r="26" spans="1:14">
      <c r="A26" s="777">
        <v>23</v>
      </c>
      <c r="B26" s="642"/>
      <c r="C26" t="s">
        <v>219</v>
      </c>
      <c r="E26" s="795" t="s">
        <v>2398</v>
      </c>
      <c r="F26" s="795"/>
      <c r="G26" s="796">
        <f>'27-Allocators'!G15</f>
        <v>5.6231891976617258E-2</v>
      </c>
      <c r="H26" s="797"/>
      <c r="I26" s="796">
        <f>'27-Allocators'!G15</f>
        <v>5.6231891976617258E-2</v>
      </c>
      <c r="J26" s="797"/>
      <c r="M26" s="781"/>
    </row>
    <row r="27" spans="1:14" ht="13.5" thickBot="1">
      <c r="A27" s="777">
        <v>24</v>
      </c>
      <c r="B27" s="642"/>
      <c r="C27" t="s">
        <v>2399</v>
      </c>
      <c r="E27" s="661" t="s">
        <v>2789</v>
      </c>
      <c r="F27" s="54"/>
      <c r="G27" s="798">
        <f>+G25*G26</f>
        <v>-6453359.5049557658</v>
      </c>
      <c r="H27" s="799"/>
      <c r="I27" s="798">
        <f>+I25*I26</f>
        <v>-6030705.6033153683</v>
      </c>
      <c r="J27" s="799"/>
      <c r="K27" s="800">
        <f>(G27+I27)/2</f>
        <v>-6242032.5541355666</v>
      </c>
      <c r="M27" s="781"/>
    </row>
    <row r="28" spans="1:14" ht="13.5" thickTop="1">
      <c r="A28" s="777">
        <v>25</v>
      </c>
      <c r="B28" s="642"/>
      <c r="H28" s="586"/>
      <c r="J28" s="586"/>
      <c r="M28" s="781"/>
    </row>
    <row r="29" spans="1:14">
      <c r="A29" s="777">
        <v>26</v>
      </c>
      <c r="B29" s="642"/>
      <c r="C29" s="53" t="s">
        <v>2400</v>
      </c>
      <c r="D29" s="53"/>
      <c r="E29" s="53"/>
      <c r="F29" s="53"/>
      <c r="H29" s="586"/>
      <c r="J29" s="586"/>
      <c r="M29" s="801" t="s">
        <v>359</v>
      </c>
    </row>
    <row r="30" spans="1:14">
      <c r="A30" s="777">
        <v>27</v>
      </c>
      <c r="B30" s="642"/>
      <c r="C30" s="515" t="s">
        <v>2401</v>
      </c>
      <c r="D30" s="515"/>
      <c r="E30" s="651" t="s">
        <v>2397</v>
      </c>
      <c r="F30" s="651"/>
      <c r="G30" s="792">
        <v>-58788541.049999997</v>
      </c>
      <c r="H30" s="793"/>
      <c r="I30" s="792">
        <v>-61556455.369999997</v>
      </c>
      <c r="J30" s="794"/>
      <c r="M30" s="781"/>
    </row>
    <row r="31" spans="1:14">
      <c r="A31" s="777">
        <v>28</v>
      </c>
      <c r="B31" s="642"/>
      <c r="C31" t="s">
        <v>219</v>
      </c>
      <c r="E31" s="795" t="s">
        <v>2398</v>
      </c>
      <c r="F31" s="795"/>
      <c r="G31" s="796">
        <f>'27-Allocators'!G15</f>
        <v>5.6231891976617258E-2</v>
      </c>
      <c r="H31" s="797"/>
      <c r="I31" s="796">
        <f>'27-Allocators'!G15</f>
        <v>5.6231891976617258E-2</v>
      </c>
      <c r="J31" s="797"/>
      <c r="M31" s="781"/>
    </row>
    <row r="32" spans="1:14" ht="13.5" thickBot="1">
      <c r="A32" s="777">
        <v>29</v>
      </c>
      <c r="B32" s="642"/>
      <c r="C32" t="s">
        <v>2399</v>
      </c>
      <c r="E32" s="661" t="s">
        <v>2790</v>
      </c>
      <c r="F32" s="54"/>
      <c r="G32" s="798">
        <f>+G30*G31</f>
        <v>-3305790.8897865294</v>
      </c>
      <c r="H32" s="799"/>
      <c r="I32" s="798">
        <f>+I30*I31</f>
        <v>-3461435.9488293012</v>
      </c>
      <c r="J32" s="799"/>
      <c r="K32" s="800">
        <f>(G32+I32)/2</f>
        <v>-3383613.4193079155</v>
      </c>
      <c r="M32" s="781"/>
    </row>
    <row r="33" spans="1:11" ht="13.5" thickTop="1">
      <c r="A33" s="777">
        <f t="shared" ref="A33:A39" si="0">1+A32</f>
        <v>30</v>
      </c>
      <c r="H33" s="586"/>
      <c r="J33" s="586"/>
    </row>
    <row r="34" spans="1:11">
      <c r="A34" s="777">
        <f t="shared" si="0"/>
        <v>31</v>
      </c>
      <c r="C34" s="53" t="s">
        <v>2402</v>
      </c>
      <c r="H34" s="586"/>
      <c r="J34" s="586"/>
    </row>
    <row r="35" spans="1:11">
      <c r="A35" s="777">
        <f t="shared" si="0"/>
        <v>32</v>
      </c>
      <c r="C35" s="515" t="s">
        <v>2402</v>
      </c>
      <c r="E35" s="651" t="s">
        <v>2397</v>
      </c>
      <c r="F35" s="651"/>
      <c r="G35" s="116">
        <v>-18818283.57</v>
      </c>
      <c r="H35" s="793"/>
      <c r="I35" s="116">
        <v>-18805421.25</v>
      </c>
      <c r="J35" s="794"/>
    </row>
    <row r="36" spans="1:11">
      <c r="A36" s="777">
        <f t="shared" si="0"/>
        <v>33</v>
      </c>
      <c r="C36" s="515" t="s">
        <v>2403</v>
      </c>
      <c r="E36" s="803" t="s">
        <v>2404</v>
      </c>
      <c r="G36" s="804">
        <v>0.5</v>
      </c>
      <c r="H36" s="586"/>
      <c r="I36" s="804">
        <v>0.5</v>
      </c>
      <c r="J36" s="586"/>
    </row>
    <row r="37" spans="1:11">
      <c r="A37" s="777">
        <f t="shared" si="0"/>
        <v>34</v>
      </c>
      <c r="C37" s="515" t="s">
        <v>2405</v>
      </c>
      <c r="E37" s="517" t="s">
        <v>2791</v>
      </c>
      <c r="G37" s="7">
        <f>+G35*G36</f>
        <v>-9409141.7850000001</v>
      </c>
      <c r="H37" s="805"/>
      <c r="I37" s="7">
        <f>+I35*I36</f>
        <v>-9402710.625</v>
      </c>
      <c r="J37" s="586"/>
    </row>
    <row r="38" spans="1:11">
      <c r="A38" s="777">
        <f t="shared" si="0"/>
        <v>35</v>
      </c>
      <c r="C38" t="s">
        <v>219</v>
      </c>
      <c r="E38" s="795" t="s">
        <v>2398</v>
      </c>
      <c r="F38" s="795"/>
      <c r="G38" s="796">
        <f>'27-Allocators'!G15</f>
        <v>5.6231891976617258E-2</v>
      </c>
      <c r="H38" s="797"/>
      <c r="I38" s="796">
        <f>'27-Allocators'!G15</f>
        <v>5.6231891976617258E-2</v>
      </c>
      <c r="J38" s="797"/>
    </row>
    <row r="39" spans="1:11" ht="13.5" thickBot="1">
      <c r="A39" s="777">
        <f t="shared" si="0"/>
        <v>36</v>
      </c>
      <c r="C39" t="s">
        <v>2399</v>
      </c>
      <c r="E39" s="661" t="s">
        <v>2792</v>
      </c>
      <c r="F39" s="54"/>
      <c r="G39" s="798">
        <f>+G37*G38</f>
        <v>-529093.84444679564</v>
      </c>
      <c r="H39" s="799"/>
      <c r="I39" s="798">
        <f>+I37*I38</f>
        <v>-528732.20815239137</v>
      </c>
      <c r="J39" s="799"/>
      <c r="K39" s="800">
        <f>(G39+I39)/2</f>
        <v>-528913.0262995935</v>
      </c>
    </row>
    <row r="40" spans="1:11" ht="13.5" thickTop="1">
      <c r="H40" s="586"/>
      <c r="J40" s="586"/>
    </row>
    <row r="41" spans="1:11">
      <c r="H41" s="62"/>
      <c r="J41" s="62"/>
    </row>
    <row r="42" spans="1:11">
      <c r="H42" s="62"/>
      <c r="J42" s="62"/>
    </row>
    <row r="43" spans="1:11">
      <c r="H43" s="62"/>
      <c r="J43" s="62"/>
    </row>
    <row r="44" spans="1:11">
      <c r="H44" s="62"/>
      <c r="J44" s="62"/>
    </row>
    <row r="45" spans="1:11">
      <c r="H45" s="62"/>
      <c r="J45" s="62"/>
    </row>
    <row r="46" spans="1:11">
      <c r="H46" s="62"/>
      <c r="J46" s="62"/>
    </row>
    <row r="47" spans="1:11">
      <c r="H47" s="62"/>
      <c r="J47" s="62"/>
    </row>
    <row r="48" spans="1:11">
      <c r="H48" s="62"/>
      <c r="J48" s="62"/>
    </row>
    <row r="49" spans="8:10">
      <c r="H49" s="62"/>
      <c r="J49" s="62"/>
    </row>
    <row r="50" spans="8:10">
      <c r="H50" s="62"/>
      <c r="J50" s="62"/>
    </row>
    <row r="51" spans="8:10">
      <c r="H51" s="62"/>
      <c r="J51" s="62"/>
    </row>
    <row r="52" spans="8:10">
      <c r="H52" s="62"/>
      <c r="J52" s="62"/>
    </row>
    <row r="53" spans="8:10">
      <c r="H53" s="62"/>
      <c r="J53" s="62"/>
    </row>
    <row r="54" spans="8:10">
      <c r="H54" s="62"/>
      <c r="J54" s="62"/>
    </row>
    <row r="55" spans="8:10">
      <c r="H55" s="62"/>
    </row>
    <row r="56" spans="8:10">
      <c r="H56" s="62"/>
    </row>
  </sheetData>
  <pageMargins left="0.7" right="0.7" top="0.75" bottom="0.75" header="0.3" footer="0.3"/>
  <pageSetup scale="85" orientation="landscape" cellComments="asDisplayed" verticalDpi="1200" r:id="rId1"/>
  <headerFooter>
    <oddHeader>&amp;CSchedule 34
Unfunded Reserves
&amp;RTO2019 Draft Annual Update
Attachment 5
TO13 True Up TRR</oddHeader>
    <oddFooter>&amp;R34-UnfundedReserves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
  <sheetViews>
    <sheetView zoomScaleNormal="100" zoomScaleSheetLayoutView="70" workbookViewId="0"/>
  </sheetViews>
  <sheetFormatPr defaultColWidth="8.85546875" defaultRowHeight="12.75"/>
  <cols>
    <col min="1" max="1" width="4.7109375" style="1158" customWidth="1"/>
    <col min="2" max="5" width="8.7109375" style="1158" customWidth="1"/>
    <col min="6" max="6" width="8.85546875" style="1158"/>
    <col min="7" max="11" width="12.7109375" style="1158" customWidth="1"/>
    <col min="12" max="12" width="8.85546875" style="1158"/>
    <col min="13" max="13" width="11.42578125" style="1158" customWidth="1"/>
    <col min="14" max="16384" width="8.85546875" style="1158"/>
  </cols>
  <sheetData>
    <row r="1" spans="1:14">
      <c r="A1" s="1035" t="s">
        <v>2379</v>
      </c>
      <c r="B1" s="517"/>
      <c r="C1" s="517"/>
      <c r="D1" s="517"/>
      <c r="E1" s="517"/>
      <c r="F1" s="517"/>
      <c r="G1" s="517"/>
      <c r="H1" s="517"/>
      <c r="I1" s="517"/>
      <c r="J1" s="517"/>
      <c r="K1" s="517"/>
      <c r="L1" s="517"/>
    </row>
    <row r="2" spans="1:14">
      <c r="A2" s="1035"/>
      <c r="B2" s="517"/>
      <c r="C2" s="517"/>
      <c r="D2" s="517"/>
      <c r="E2" s="517"/>
      <c r="F2" s="517"/>
      <c r="G2" s="517"/>
      <c r="H2" s="517"/>
      <c r="I2" s="517"/>
      <c r="J2" s="517"/>
      <c r="K2" s="517"/>
      <c r="L2" s="517"/>
    </row>
    <row r="3" spans="1:14">
      <c r="A3" s="601" t="s">
        <v>2728</v>
      </c>
      <c r="B3" s="601"/>
      <c r="C3" s="601"/>
      <c r="D3" s="601"/>
      <c r="E3" s="601"/>
      <c r="F3" s="601"/>
      <c r="G3" s="601"/>
      <c r="H3" s="601"/>
      <c r="I3" s="601"/>
      <c r="J3" s="601"/>
      <c r="K3" s="601"/>
      <c r="L3" s="601"/>
      <c r="M3" s="62"/>
    </row>
    <row r="4" spans="1:14">
      <c r="A4" s="601" t="s">
        <v>2729</v>
      </c>
      <c r="B4" s="601"/>
      <c r="C4" s="601"/>
      <c r="D4" s="601"/>
      <c r="E4" s="601"/>
      <c r="F4" s="601"/>
      <c r="G4" s="601"/>
      <c r="H4" s="601"/>
      <c r="I4" s="601"/>
      <c r="J4" s="601"/>
      <c r="K4" s="601"/>
      <c r="L4" s="601"/>
      <c r="M4" s="62"/>
    </row>
    <row r="5" spans="1:14">
      <c r="A5" s="1239"/>
      <c r="B5" s="601"/>
      <c r="C5" s="601"/>
      <c r="D5" s="601"/>
      <c r="E5" s="601"/>
      <c r="F5" s="601"/>
      <c r="G5" s="601"/>
      <c r="H5" s="601"/>
      <c r="I5" s="601"/>
      <c r="J5" s="601"/>
      <c r="K5" s="601"/>
      <c r="L5" s="601"/>
      <c r="M5" s="62"/>
    </row>
    <row r="6" spans="1:14">
      <c r="A6" s="601"/>
      <c r="B6" s="601" t="s">
        <v>2382</v>
      </c>
      <c r="C6" s="601"/>
      <c r="D6" s="601"/>
      <c r="E6" s="601"/>
      <c r="F6" s="601"/>
      <c r="G6" s="601"/>
      <c r="H6" s="601"/>
      <c r="I6" s="601"/>
      <c r="J6" s="601"/>
      <c r="K6" s="601"/>
      <c r="L6" s="601"/>
      <c r="M6" s="586"/>
    </row>
    <row r="7" spans="1:14">
      <c r="A7" s="613"/>
      <c r="B7" s="613" t="s">
        <v>2730</v>
      </c>
      <c r="C7" s="613"/>
      <c r="D7" s="613"/>
      <c r="E7" s="613"/>
      <c r="F7" s="613"/>
      <c r="G7" s="613"/>
      <c r="H7" s="613"/>
      <c r="I7" s="613"/>
      <c r="J7" s="613"/>
      <c r="K7" s="613"/>
      <c r="L7" s="613"/>
      <c r="M7" s="586"/>
    </row>
    <row r="8" spans="1:14">
      <c r="A8" s="613"/>
      <c r="B8" s="613" t="s">
        <v>2731</v>
      </c>
      <c r="C8" s="613"/>
      <c r="D8" s="613"/>
      <c r="E8" s="613"/>
      <c r="F8" s="613"/>
      <c r="G8" s="613"/>
      <c r="H8" s="613"/>
      <c r="I8" s="613"/>
      <c r="J8" s="613"/>
      <c r="K8" s="613"/>
      <c r="L8" s="613"/>
      <c r="M8" s="586"/>
    </row>
    <row r="9" spans="1:14">
      <c r="A9" s="613"/>
      <c r="B9" s="613"/>
      <c r="C9" s="613"/>
      <c r="D9" s="613"/>
      <c r="E9" s="613"/>
      <c r="F9" s="613"/>
      <c r="G9" s="613"/>
      <c r="H9" s="613"/>
      <c r="I9" s="613"/>
      <c r="J9" s="613"/>
      <c r="K9" s="613"/>
      <c r="L9" s="613"/>
      <c r="M9" s="586"/>
    </row>
    <row r="10" spans="1:14">
      <c r="A10" s="515"/>
      <c r="B10" s="515" t="s">
        <v>2350</v>
      </c>
      <c r="C10" s="517"/>
      <c r="D10" s="517"/>
      <c r="E10" s="517"/>
      <c r="F10" s="517"/>
      <c r="G10" s="772"/>
      <c r="H10" s="530"/>
      <c r="I10" s="517"/>
      <c r="J10" s="517"/>
      <c r="K10" s="515"/>
      <c r="L10" s="515"/>
      <c r="M10" s="14"/>
    </row>
    <row r="11" spans="1:14">
      <c r="A11" s="55" t="s">
        <v>350</v>
      </c>
      <c r="B11" s="515"/>
      <c r="C11" s="515"/>
      <c r="D11" s="515"/>
      <c r="E11" s="515"/>
      <c r="F11" s="515"/>
      <c r="G11" s="390" t="s">
        <v>2351</v>
      </c>
      <c r="H11" s="390" t="s">
        <v>194</v>
      </c>
      <c r="I11" s="515"/>
      <c r="J11" s="424" t="s">
        <v>198</v>
      </c>
      <c r="K11" s="515"/>
      <c r="L11" s="515"/>
      <c r="M11" s="14"/>
    </row>
    <row r="12" spans="1:14">
      <c r="A12" s="249">
        <v>1</v>
      </c>
      <c r="B12" s="1240" t="s">
        <v>2732</v>
      </c>
      <c r="C12" s="613"/>
      <c r="D12" s="613"/>
      <c r="E12" s="613"/>
      <c r="F12" s="515"/>
      <c r="G12" s="773" t="s">
        <v>2865</v>
      </c>
      <c r="H12" s="522">
        <f>K65</f>
        <v>0</v>
      </c>
      <c r="I12" s="515"/>
      <c r="J12" s="515" t="s">
        <v>392</v>
      </c>
      <c r="K12" s="515"/>
      <c r="L12" s="515"/>
      <c r="M12" s="14"/>
    </row>
    <row r="13" spans="1:14">
      <c r="A13" s="249">
        <v>2</v>
      </c>
      <c r="B13" s="613" t="s">
        <v>2733</v>
      </c>
      <c r="C13" s="613"/>
      <c r="D13" s="613"/>
      <c r="E13" s="613"/>
      <c r="F13" s="515"/>
      <c r="G13" s="773" t="s">
        <v>2866</v>
      </c>
      <c r="H13" s="522">
        <f>G75</f>
        <v>-80342666</v>
      </c>
      <c r="I13" s="515"/>
      <c r="J13" s="515" t="s">
        <v>393</v>
      </c>
      <c r="K13" s="515"/>
      <c r="L13" s="515"/>
      <c r="M13" s="14"/>
    </row>
    <row r="14" spans="1:14">
      <c r="A14" s="249">
        <v>3</v>
      </c>
      <c r="B14" s="602" t="s">
        <v>2352</v>
      </c>
      <c r="C14" s="515"/>
      <c r="D14" s="515"/>
      <c r="E14" s="515"/>
      <c r="F14" s="515"/>
      <c r="G14" s="515"/>
      <c r="H14" s="522">
        <f>ABS(H12+H13)</f>
        <v>80342666</v>
      </c>
      <c r="I14" s="515"/>
      <c r="J14" s="515" t="s">
        <v>2430</v>
      </c>
      <c r="K14" s="515"/>
      <c r="L14" s="515"/>
      <c r="M14" s="14"/>
    </row>
    <row r="15" spans="1:14">
      <c r="A15" s="249">
        <v>4</v>
      </c>
      <c r="B15" s="602" t="s">
        <v>2353</v>
      </c>
      <c r="C15" s="515"/>
      <c r="D15" s="515"/>
      <c r="E15" s="515"/>
      <c r="F15" s="515"/>
      <c r="G15" s="515"/>
      <c r="H15" s="522">
        <f>G87</f>
        <v>0</v>
      </c>
      <c r="I15" s="515"/>
      <c r="J15" s="515" t="s">
        <v>2383</v>
      </c>
      <c r="K15" s="515"/>
      <c r="L15" s="515"/>
      <c r="M15" s="14"/>
    </row>
    <row r="16" spans="1:14">
      <c r="A16" s="249"/>
      <c r="B16" s="519"/>
      <c r="C16" s="515"/>
      <c r="D16" s="515"/>
      <c r="E16" s="515" t="s">
        <v>359</v>
      </c>
      <c r="F16" s="515"/>
      <c r="G16" s="515"/>
      <c r="H16" s="522"/>
      <c r="I16" s="515"/>
      <c r="J16" s="515"/>
      <c r="K16" s="515"/>
      <c r="L16" s="515"/>
      <c r="M16" s="14"/>
      <c r="N16" s="14"/>
    </row>
    <row r="17" spans="1:14">
      <c r="A17" s="249"/>
      <c r="B17" s="602" t="s">
        <v>2380</v>
      </c>
      <c r="C17" s="515"/>
      <c r="D17" s="515"/>
      <c r="E17" s="515"/>
      <c r="F17" s="515"/>
      <c r="G17" s="515"/>
      <c r="H17" s="522"/>
      <c r="I17" s="515"/>
      <c r="J17" s="424" t="s">
        <v>171</v>
      </c>
      <c r="K17" s="515"/>
      <c r="L17" s="515"/>
      <c r="M17" s="14"/>
      <c r="N17" s="14"/>
    </row>
    <row r="18" spans="1:14">
      <c r="A18" s="249"/>
      <c r="B18" s="602" t="s">
        <v>2354</v>
      </c>
      <c r="C18" s="515"/>
      <c r="D18" s="516" t="str">
        <f>IF(H14&gt;H15, "Yes", "No")</f>
        <v>Yes</v>
      </c>
      <c r="E18" s="515"/>
      <c r="F18" s="515"/>
      <c r="G18" s="515"/>
      <c r="H18" s="522"/>
      <c r="I18" s="515"/>
      <c r="J18" s="515" t="s">
        <v>2381</v>
      </c>
      <c r="K18" s="515"/>
      <c r="L18" s="515"/>
      <c r="M18" s="14"/>
      <c r="N18" s="14"/>
    </row>
    <row r="19" spans="1:14">
      <c r="A19" s="249"/>
      <c r="B19" s="602"/>
      <c r="C19" s="515"/>
      <c r="D19" s="515"/>
      <c r="E19" s="515"/>
      <c r="F19" s="515"/>
      <c r="G19" s="515"/>
      <c r="H19" s="522"/>
      <c r="I19" s="515"/>
      <c r="J19" s="515"/>
      <c r="K19" s="515"/>
      <c r="L19" s="515"/>
      <c r="M19" s="14"/>
      <c r="N19" s="14"/>
    </row>
    <row r="20" spans="1:14">
      <c r="A20" s="249"/>
      <c r="B20" s="602" t="s">
        <v>2355</v>
      </c>
      <c r="C20" s="515"/>
      <c r="D20" s="515"/>
      <c r="E20" s="515"/>
      <c r="F20" s="515"/>
      <c r="G20" s="488" t="s">
        <v>2356</v>
      </c>
      <c r="H20" s="488" t="s">
        <v>2357</v>
      </c>
      <c r="I20" s="488" t="s">
        <v>2358</v>
      </c>
      <c r="J20" s="515"/>
      <c r="K20" s="515"/>
      <c r="L20" s="515"/>
      <c r="M20" s="14"/>
      <c r="N20" s="14"/>
    </row>
    <row r="21" spans="1:14">
      <c r="A21" s="249"/>
      <c r="B21" s="602" t="s">
        <v>2359</v>
      </c>
      <c r="C21" s="515"/>
      <c r="D21" s="515"/>
      <c r="E21" s="515"/>
      <c r="F21" s="515"/>
      <c r="G21" s="516" t="s">
        <v>2426</v>
      </c>
      <c r="H21" s="258" t="s">
        <v>2360</v>
      </c>
      <c r="I21" s="515"/>
      <c r="J21" s="515"/>
      <c r="K21" s="515"/>
      <c r="L21" s="515"/>
      <c r="M21" s="14"/>
      <c r="N21" s="14"/>
    </row>
    <row r="22" spans="1:14">
      <c r="A22" s="249"/>
      <c r="B22" s="515"/>
      <c r="C22" s="515"/>
      <c r="D22" s="515"/>
      <c r="E22" s="515"/>
      <c r="F22" s="515"/>
      <c r="G22" s="515"/>
      <c r="H22" s="635" t="s">
        <v>223</v>
      </c>
      <c r="I22" s="515"/>
      <c r="J22" s="515"/>
      <c r="K22" s="515"/>
      <c r="L22" s="515"/>
      <c r="M22" s="14"/>
      <c r="N22" s="14"/>
    </row>
    <row r="23" spans="1:14">
      <c r="A23" s="249"/>
      <c r="B23" s="515"/>
      <c r="C23" s="515"/>
      <c r="D23" s="515"/>
      <c r="E23" s="515"/>
      <c r="F23" s="515"/>
      <c r="G23" s="249" t="s">
        <v>217</v>
      </c>
      <c r="H23" s="1187" t="s">
        <v>531</v>
      </c>
      <c r="I23" s="249" t="s">
        <v>2361</v>
      </c>
      <c r="J23" s="515"/>
      <c r="K23" s="515"/>
      <c r="L23" s="515"/>
      <c r="M23" s="14"/>
      <c r="N23" s="14"/>
    </row>
    <row r="24" spans="1:14">
      <c r="A24" s="249"/>
      <c r="B24" s="515"/>
      <c r="C24" s="515"/>
      <c r="D24" s="515"/>
      <c r="E24" s="515"/>
      <c r="F24" s="515"/>
      <c r="G24" s="249" t="s">
        <v>2362</v>
      </c>
      <c r="H24" s="258" t="s">
        <v>2363</v>
      </c>
      <c r="I24" s="249" t="s">
        <v>2362</v>
      </c>
      <c r="J24" s="515"/>
      <c r="K24" s="515"/>
      <c r="L24" s="515"/>
      <c r="M24" s="14"/>
      <c r="N24" s="14"/>
    </row>
    <row r="25" spans="1:14">
      <c r="A25" s="55" t="s">
        <v>350</v>
      </c>
      <c r="B25" s="515"/>
      <c r="C25" s="515"/>
      <c r="D25" s="515"/>
      <c r="E25" s="390" t="s">
        <v>212</v>
      </c>
      <c r="F25" s="515"/>
      <c r="G25" s="390" t="s">
        <v>2364</v>
      </c>
      <c r="H25" s="260" t="s">
        <v>317</v>
      </c>
      <c r="I25" s="390" t="s">
        <v>354</v>
      </c>
      <c r="J25" s="573" t="s">
        <v>2427</v>
      </c>
      <c r="K25" s="517"/>
      <c r="L25" s="517"/>
      <c r="M25" s="14"/>
      <c r="N25" s="14"/>
    </row>
    <row r="26" spans="1:14">
      <c r="A26" s="249">
        <v>5</v>
      </c>
      <c r="B26" s="515"/>
      <c r="C26" s="515"/>
      <c r="D26" s="515"/>
      <c r="E26" s="773">
        <v>2017</v>
      </c>
      <c r="F26" s="515"/>
      <c r="G26" s="522">
        <f>G80</f>
        <v>0</v>
      </c>
      <c r="H26" s="522">
        <f>H12/2</f>
        <v>0</v>
      </c>
      <c r="I26" s="522">
        <f>SUM(G26:H26)</f>
        <v>0</v>
      </c>
      <c r="J26" s="1017" t="s">
        <v>2428</v>
      </c>
      <c r="K26" s="517"/>
      <c r="L26" s="517"/>
      <c r="M26" s="14"/>
      <c r="N26" s="14"/>
    </row>
    <row r="27" spans="1:14">
      <c r="A27" s="249">
        <v>6</v>
      </c>
      <c r="B27" s="515"/>
      <c r="C27" s="515"/>
      <c r="D27" s="515"/>
      <c r="E27" s="773">
        <v>2018</v>
      </c>
      <c r="F27" s="515"/>
      <c r="G27" s="522">
        <f>G81</f>
        <v>0</v>
      </c>
      <c r="H27" s="522">
        <f>H12/2</f>
        <v>0</v>
      </c>
      <c r="I27" s="522">
        <f>SUM(G27:H27)</f>
        <v>0</v>
      </c>
      <c r="J27" s="1017" t="s">
        <v>2428</v>
      </c>
      <c r="K27" s="517"/>
      <c r="L27" s="517"/>
      <c r="M27" s="14"/>
      <c r="N27" s="14"/>
    </row>
    <row r="28" spans="1:14">
      <c r="A28" s="249">
        <v>7</v>
      </c>
      <c r="B28" s="519"/>
      <c r="C28" s="515"/>
      <c r="D28" s="515"/>
      <c r="E28" s="773">
        <v>2019</v>
      </c>
      <c r="F28" s="515"/>
      <c r="G28" s="522">
        <f t="shared" ref="G28:G30" si="0">G82</f>
        <v>0</v>
      </c>
      <c r="H28" s="524" t="s">
        <v>86</v>
      </c>
      <c r="I28" s="522">
        <f xml:space="preserve"> SUM($G$28:$G$30)/3</f>
        <v>0</v>
      </c>
      <c r="J28" s="514" t="s">
        <v>2429</v>
      </c>
      <c r="K28" s="517"/>
      <c r="L28" s="517"/>
    </row>
    <row r="29" spans="1:14">
      <c r="A29" s="249">
        <v>8</v>
      </c>
      <c r="B29" s="246"/>
      <c r="C29" s="515"/>
      <c r="D29" s="515"/>
      <c r="E29" s="773">
        <v>2020</v>
      </c>
      <c r="F29" s="515"/>
      <c r="G29" s="522">
        <f t="shared" si="0"/>
        <v>0</v>
      </c>
      <c r="H29" s="524" t="s">
        <v>86</v>
      </c>
      <c r="I29" s="522">
        <f t="shared" ref="I29:I30" si="1" xml:space="preserve"> SUM($G$28:$G$30)/3</f>
        <v>0</v>
      </c>
      <c r="J29" s="514" t="s">
        <v>2429</v>
      </c>
      <c r="K29" s="517"/>
      <c r="L29" s="517"/>
    </row>
    <row r="30" spans="1:14">
      <c r="A30" s="249">
        <v>9</v>
      </c>
      <c r="B30" s="515"/>
      <c r="C30" s="515"/>
      <c r="D30" s="515"/>
      <c r="E30" s="773">
        <v>2021</v>
      </c>
      <c r="F30" s="515"/>
      <c r="G30" s="522">
        <f t="shared" si="0"/>
        <v>0</v>
      </c>
      <c r="H30" s="524" t="s">
        <v>86</v>
      </c>
      <c r="I30" s="522">
        <f t="shared" si="1"/>
        <v>0</v>
      </c>
      <c r="J30" s="514" t="s">
        <v>2429</v>
      </c>
      <c r="K30" s="517"/>
      <c r="L30" s="517"/>
    </row>
    <row r="31" spans="1:14">
      <c r="A31" s="249"/>
      <c r="B31" s="515"/>
      <c r="C31" s="515"/>
      <c r="D31" s="515"/>
      <c r="E31" s="515"/>
      <c r="F31" s="515"/>
      <c r="G31" s="522"/>
      <c r="H31" s="524"/>
      <c r="I31" s="522"/>
      <c r="J31" s="514"/>
      <c r="K31" s="517"/>
      <c r="L31" s="517"/>
    </row>
    <row r="32" spans="1:14">
      <c r="A32" s="1241"/>
      <c r="B32" s="601" t="s">
        <v>2734</v>
      </c>
      <c r="C32" s="601"/>
      <c r="D32" s="601"/>
      <c r="E32" s="601"/>
      <c r="F32" s="601"/>
      <c r="G32" s="518"/>
      <c r="H32" s="1195"/>
      <c r="I32" s="518"/>
      <c r="J32" s="1037"/>
      <c r="K32" s="517"/>
      <c r="L32" s="517"/>
    </row>
    <row r="33" spans="1:13">
      <c r="A33" s="1242" t="s">
        <v>350</v>
      </c>
      <c r="B33" s="601"/>
      <c r="C33" s="601"/>
      <c r="D33" s="601"/>
      <c r="E33" s="601"/>
      <c r="F33" s="601"/>
      <c r="G33" s="1197" t="s">
        <v>194</v>
      </c>
      <c r="H33" s="1195"/>
      <c r="I33" s="1198" t="s">
        <v>198</v>
      </c>
      <c r="J33" s="586"/>
      <c r="K33" s="517"/>
      <c r="L33" s="517"/>
    </row>
    <row r="34" spans="1:13">
      <c r="A34" s="1241">
        <v>10</v>
      </c>
      <c r="B34" s="601"/>
      <c r="C34" s="601"/>
      <c r="D34" s="601"/>
      <c r="E34" s="586"/>
      <c r="F34" s="1193" t="s">
        <v>2735</v>
      </c>
      <c r="G34" s="1194">
        <v>40055779</v>
      </c>
      <c r="H34" s="1195"/>
      <c r="I34" s="1037" t="s">
        <v>2736</v>
      </c>
      <c r="J34" s="586"/>
      <c r="K34" s="517"/>
      <c r="L34" s="517"/>
    </row>
    <row r="35" spans="1:13">
      <c r="A35" s="1241">
        <v>11</v>
      </c>
      <c r="B35" s="601"/>
      <c r="C35" s="601"/>
      <c r="D35" s="601"/>
      <c r="E35" s="601"/>
      <c r="F35" s="1193" t="s">
        <v>2365</v>
      </c>
      <c r="G35" s="518">
        <f>'20-AandG'!E68</f>
        <v>40171333</v>
      </c>
      <c r="H35" s="1195"/>
      <c r="I35" s="1037" t="s">
        <v>2737</v>
      </c>
      <c r="J35" s="586"/>
      <c r="K35" s="517"/>
      <c r="L35" s="517"/>
    </row>
    <row r="36" spans="1:13">
      <c r="A36" s="1241">
        <v>12</v>
      </c>
      <c r="B36" s="601"/>
      <c r="C36" s="601"/>
      <c r="D36" s="601"/>
      <c r="E36" s="601"/>
      <c r="F36" s="1193" t="s">
        <v>2738</v>
      </c>
      <c r="G36" s="518">
        <f>G34-G35</f>
        <v>-115554</v>
      </c>
      <c r="H36" s="1195"/>
      <c r="I36" s="1037" t="str">
        <f>"Line "&amp;A34&amp;" - Line "&amp;A35&amp;""</f>
        <v>Line 10 - Line 11</v>
      </c>
      <c r="J36" s="586"/>
      <c r="K36" s="517"/>
      <c r="L36" s="517"/>
    </row>
    <row r="37" spans="1:13">
      <c r="A37" s="1241">
        <v>13</v>
      </c>
      <c r="B37" s="601"/>
      <c r="C37" s="601"/>
      <c r="D37" s="601"/>
      <c r="E37" s="601"/>
      <c r="F37" s="1193" t="s">
        <v>2739</v>
      </c>
      <c r="G37" s="1196">
        <f>'27-Allocators'!G15</f>
        <v>5.6231891976617258E-2</v>
      </c>
      <c r="H37" s="586"/>
      <c r="I37" s="1037" t="str">
        <f>"27-Allocators, Line 9"</f>
        <v>27-Allocators, Line 9</v>
      </c>
      <c r="J37" s="586"/>
      <c r="K37" s="517"/>
      <c r="L37" s="517"/>
    </row>
    <row r="38" spans="1:13">
      <c r="A38" s="1241">
        <v>14</v>
      </c>
      <c r="B38" s="601"/>
      <c r="C38" s="601"/>
      <c r="D38" s="601"/>
      <c r="E38" s="601"/>
      <c r="F38" s="1193" t="s">
        <v>2740</v>
      </c>
      <c r="G38" s="518">
        <f>G36*G37</f>
        <v>-6497.8200454660309</v>
      </c>
      <c r="H38" s="1195"/>
      <c r="I38" s="1037" t="str">
        <f>"Line "&amp;A36&amp;" * Line "&amp;A37&amp;""</f>
        <v>Line 12 * Line 13</v>
      </c>
      <c r="J38" s="1037"/>
      <c r="K38" s="517"/>
      <c r="L38" s="517"/>
    </row>
    <row r="39" spans="1:13">
      <c r="A39" s="515"/>
      <c r="B39" s="515"/>
      <c r="C39" s="515"/>
      <c r="D39" s="515"/>
      <c r="E39" s="515"/>
      <c r="G39" s="515"/>
      <c r="H39" s="515"/>
      <c r="I39" s="515"/>
      <c r="K39" s="515"/>
      <c r="L39" s="515"/>
    </row>
    <row r="40" spans="1:13">
      <c r="A40" s="1243" t="s">
        <v>256</v>
      </c>
      <c r="B40" s="613"/>
      <c r="C40" s="613"/>
      <c r="D40" s="613"/>
      <c r="E40" s="613"/>
      <c r="F40" s="613"/>
      <c r="G40" s="613"/>
      <c r="H40" s="613"/>
      <c r="I40" s="613"/>
      <c r="J40" s="613"/>
      <c r="K40" s="613"/>
      <c r="L40" s="613"/>
      <c r="M40" s="62"/>
    </row>
    <row r="41" spans="1:13">
      <c r="A41" s="613" t="s">
        <v>2741</v>
      </c>
      <c r="B41" s="613"/>
      <c r="C41" s="613"/>
      <c r="D41" s="613"/>
      <c r="E41" s="613"/>
      <c r="F41" s="613"/>
      <c r="G41" s="613"/>
      <c r="H41" s="613"/>
      <c r="I41" s="613"/>
      <c r="J41" s="613"/>
      <c r="K41" s="613"/>
      <c r="L41" s="613"/>
      <c r="M41" s="62"/>
    </row>
    <row r="42" spans="1:13">
      <c r="A42" s="1208" t="s">
        <v>2742</v>
      </c>
      <c r="B42" s="613"/>
      <c r="C42" s="613"/>
      <c r="D42" s="613"/>
      <c r="E42" s="613"/>
      <c r="F42" s="613"/>
      <c r="G42" s="613"/>
      <c r="H42" s="613"/>
      <c r="I42" s="613"/>
      <c r="J42" s="613"/>
      <c r="K42" s="613"/>
      <c r="L42" s="613"/>
      <c r="M42" s="62"/>
    </row>
    <row r="43" spans="1:13">
      <c r="A43" s="1208" t="s">
        <v>2743</v>
      </c>
      <c r="B43" s="613"/>
      <c r="C43" s="613"/>
      <c r="D43" s="613"/>
      <c r="E43" s="613"/>
      <c r="F43" s="613"/>
      <c r="G43" s="613"/>
      <c r="H43" s="613"/>
      <c r="I43" s="613"/>
      <c r="J43" s="613"/>
      <c r="K43" s="613"/>
      <c r="L43" s="613"/>
      <c r="M43" s="62"/>
    </row>
    <row r="44" spans="1:13">
      <c r="A44" s="1208"/>
      <c r="B44" s="613"/>
      <c r="C44" s="613"/>
      <c r="D44" s="613"/>
      <c r="E44" s="613"/>
      <c r="F44" s="613"/>
      <c r="G44" s="613"/>
      <c r="H44" s="613"/>
      <c r="I44" s="613"/>
      <c r="J44" s="613"/>
      <c r="K44" s="613"/>
      <c r="L44" s="613"/>
      <c r="M44" s="62"/>
    </row>
    <row r="45" spans="1:13">
      <c r="A45" s="1208"/>
      <c r="B45" s="613"/>
      <c r="C45" s="613"/>
      <c r="D45" s="613"/>
      <c r="E45" s="613"/>
      <c r="F45" s="613"/>
      <c r="G45" s="613"/>
      <c r="H45" s="613"/>
      <c r="I45" s="207" t="s">
        <v>2744</v>
      </c>
      <c r="J45" s="613"/>
      <c r="K45" s="613"/>
      <c r="L45" s="613"/>
      <c r="M45" s="62"/>
    </row>
    <row r="46" spans="1:13">
      <c r="A46" s="1221"/>
      <c r="B46" s="613"/>
      <c r="C46" s="613"/>
      <c r="D46" s="613"/>
      <c r="E46" s="613"/>
      <c r="F46" s="613"/>
      <c r="G46" s="64" t="s">
        <v>212</v>
      </c>
      <c r="H46" s="1209" t="s">
        <v>194</v>
      </c>
      <c r="I46" s="1209" t="s">
        <v>224</v>
      </c>
      <c r="J46" s="613"/>
      <c r="K46" s="613"/>
      <c r="L46" s="613"/>
      <c r="M46" s="62"/>
    </row>
    <row r="47" spans="1:13">
      <c r="A47" s="1221"/>
      <c r="B47" s="613" t="s">
        <v>2745</v>
      </c>
      <c r="C47" s="613"/>
      <c r="D47" s="613"/>
      <c r="E47" s="613"/>
      <c r="F47" s="613"/>
      <c r="G47" s="1210">
        <v>2016</v>
      </c>
      <c r="H47" s="1194">
        <v>37714779</v>
      </c>
      <c r="I47" s="1211" t="s">
        <v>2870</v>
      </c>
      <c r="J47" s="1212"/>
      <c r="K47" s="1212"/>
      <c r="L47" s="1212"/>
      <c r="M47" s="62"/>
    </row>
    <row r="48" spans="1:13">
      <c r="A48" s="1221"/>
      <c r="B48" s="1213" t="s">
        <v>2746</v>
      </c>
      <c r="C48" s="613"/>
      <c r="D48" s="613"/>
      <c r="E48" s="613"/>
      <c r="F48" s="613"/>
      <c r="G48" s="1210">
        <v>2017</v>
      </c>
      <c r="H48" s="1194">
        <v>40055779</v>
      </c>
      <c r="I48" s="1211" t="s">
        <v>2870</v>
      </c>
      <c r="J48" s="1212"/>
      <c r="K48" s="1212"/>
      <c r="L48" s="1212"/>
      <c r="M48" s="62"/>
    </row>
    <row r="49" spans="1:14">
      <c r="A49" s="1221"/>
      <c r="B49" s="613"/>
      <c r="C49" s="613"/>
      <c r="D49" s="613"/>
      <c r="E49" s="613"/>
      <c r="F49" s="613"/>
      <c r="G49" s="1210">
        <v>2018</v>
      </c>
      <c r="H49" s="1194">
        <v>40171333</v>
      </c>
      <c r="I49" s="1211" t="s">
        <v>2870</v>
      </c>
      <c r="J49" s="1212"/>
      <c r="K49" s="1212"/>
      <c r="L49" s="1212"/>
      <c r="M49" s="62"/>
    </row>
    <row r="50" spans="1:14">
      <c r="A50" s="1221"/>
      <c r="B50" s="613"/>
      <c r="C50" s="613"/>
      <c r="D50" s="613"/>
      <c r="E50" s="613"/>
      <c r="F50" s="613"/>
      <c r="G50" s="1210">
        <v>2019</v>
      </c>
      <c r="H50" s="1194">
        <v>40171333</v>
      </c>
      <c r="I50" s="1211" t="s">
        <v>2870</v>
      </c>
      <c r="J50" s="1212"/>
      <c r="K50" s="1212"/>
      <c r="L50" s="1212"/>
      <c r="M50" s="62"/>
    </row>
    <row r="51" spans="1:14">
      <c r="A51" s="1221"/>
      <c r="B51" s="613"/>
      <c r="C51" s="613"/>
      <c r="D51" s="613"/>
      <c r="E51" s="613"/>
      <c r="F51" s="613"/>
      <c r="G51" s="1210">
        <v>2020</v>
      </c>
      <c r="H51" s="1194">
        <v>40171333</v>
      </c>
      <c r="I51" s="1211" t="s">
        <v>2870</v>
      </c>
      <c r="J51" s="1212"/>
      <c r="K51" s="1212"/>
      <c r="L51" s="1212"/>
      <c r="M51" s="62"/>
    </row>
    <row r="52" spans="1:14">
      <c r="A52" s="1221"/>
      <c r="B52" s="613"/>
      <c r="C52" s="613"/>
      <c r="D52" s="613"/>
      <c r="E52" s="613"/>
      <c r="F52" s="613"/>
      <c r="G52" s="1210" t="s">
        <v>561</v>
      </c>
      <c r="H52" s="1214"/>
      <c r="I52" s="1215"/>
      <c r="J52" s="1212"/>
      <c r="K52" s="1212"/>
      <c r="L52" s="1212"/>
      <c r="M52" s="62"/>
    </row>
    <row r="53" spans="1:14">
      <c r="A53" s="1221"/>
      <c r="B53" s="613"/>
      <c r="C53" s="613"/>
      <c r="D53" s="613"/>
      <c r="E53" s="613"/>
      <c r="F53" s="613"/>
      <c r="G53" s="1216"/>
      <c r="H53" s="1217"/>
      <c r="I53" s="1208"/>
      <c r="J53" s="613"/>
      <c r="K53" s="613"/>
      <c r="L53" s="613"/>
      <c r="M53" s="62"/>
    </row>
    <row r="54" spans="1:14">
      <c r="A54" s="1208" t="s">
        <v>2747</v>
      </c>
      <c r="B54" s="613"/>
      <c r="C54" s="613"/>
      <c r="D54" s="613"/>
      <c r="E54" s="613"/>
      <c r="F54" s="613"/>
      <c r="G54" s="1216"/>
      <c r="H54" s="1217"/>
      <c r="I54" s="1208"/>
      <c r="J54" s="613"/>
      <c r="K54" s="613"/>
      <c r="L54" s="613"/>
      <c r="M54" s="62"/>
    </row>
    <row r="55" spans="1:14">
      <c r="A55" s="1221"/>
      <c r="B55" s="613"/>
      <c r="C55" s="613"/>
      <c r="D55" s="613"/>
      <c r="E55" s="613"/>
      <c r="F55" s="613"/>
      <c r="G55" s="1216"/>
      <c r="H55" s="1217"/>
      <c r="I55" s="1208"/>
      <c r="J55" s="613"/>
      <c r="K55" s="613"/>
      <c r="L55" s="613"/>
      <c r="M55" s="62"/>
    </row>
    <row r="56" spans="1:14">
      <c r="A56" s="1221"/>
      <c r="B56" s="613"/>
      <c r="C56" s="613"/>
      <c r="D56" s="613"/>
      <c r="E56" s="613"/>
      <c r="F56" s="613"/>
      <c r="G56" s="1218" t="s">
        <v>2356</v>
      </c>
      <c r="H56" s="1218" t="s">
        <v>2357</v>
      </c>
      <c r="I56" s="1218" t="s">
        <v>2358</v>
      </c>
      <c r="J56" s="1218" t="s">
        <v>2748</v>
      </c>
      <c r="K56" s="1218" t="s">
        <v>2749</v>
      </c>
      <c r="L56" s="613"/>
      <c r="M56" s="62"/>
    </row>
    <row r="57" spans="1:14">
      <c r="A57" s="1221"/>
      <c r="B57" s="613"/>
      <c r="C57" s="613"/>
      <c r="D57" s="613"/>
      <c r="E57" s="613"/>
      <c r="F57" s="613"/>
      <c r="G57" s="1219"/>
      <c r="H57" s="1219"/>
      <c r="I57" s="62"/>
      <c r="J57" s="1219"/>
      <c r="K57" s="1219"/>
      <c r="L57" s="613"/>
      <c r="M57" s="62"/>
    </row>
    <row r="58" spans="1:14">
      <c r="A58" s="1208"/>
      <c r="B58" s="613"/>
      <c r="C58" s="613"/>
      <c r="D58" s="613"/>
      <c r="E58" s="613"/>
      <c r="F58" s="613"/>
      <c r="G58" s="613"/>
      <c r="H58" s="613"/>
      <c r="I58" s="1218" t="s">
        <v>1045</v>
      </c>
      <c r="J58" s="1216" t="s">
        <v>2750</v>
      </c>
      <c r="K58" s="1216" t="s">
        <v>2751</v>
      </c>
      <c r="L58" s="613"/>
      <c r="M58" s="62"/>
    </row>
    <row r="59" spans="1:14" ht="15">
      <c r="A59" s="62"/>
      <c r="B59" s="613"/>
      <c r="C59" s="613"/>
      <c r="D59" s="613"/>
      <c r="E59" s="613"/>
      <c r="F59" s="601"/>
      <c r="G59" s="601"/>
      <c r="H59" s="613"/>
      <c r="I59" s="207" t="s">
        <v>2366</v>
      </c>
      <c r="J59" s="1220" t="s">
        <v>2752</v>
      </c>
      <c r="K59" s="1221" t="s">
        <v>2366</v>
      </c>
      <c r="L59" s="613"/>
      <c r="M59" s="62"/>
      <c r="N59" s="1188"/>
    </row>
    <row r="60" spans="1:14" ht="15">
      <c r="A60" s="1208"/>
      <c r="B60" s="613" t="s">
        <v>359</v>
      </c>
      <c r="C60" s="613"/>
      <c r="D60" s="613"/>
      <c r="E60" s="613"/>
      <c r="F60" s="1221"/>
      <c r="G60" s="1221" t="s">
        <v>2362</v>
      </c>
      <c r="H60" s="1221" t="s">
        <v>2362</v>
      </c>
      <c r="I60" s="207" t="s">
        <v>2367</v>
      </c>
      <c r="J60" s="1220" t="s">
        <v>531</v>
      </c>
      <c r="K60" s="1221" t="s">
        <v>2367</v>
      </c>
      <c r="L60" s="613"/>
      <c r="M60" s="62"/>
    </row>
    <row r="61" spans="1:14">
      <c r="A61" s="1208"/>
      <c r="B61" s="613" t="s">
        <v>2368</v>
      </c>
      <c r="C61" s="613"/>
      <c r="D61" s="613"/>
      <c r="E61" s="613"/>
      <c r="F61" s="1209" t="s">
        <v>212</v>
      </c>
      <c r="G61" s="1209" t="s">
        <v>2364</v>
      </c>
      <c r="H61" s="1209" t="s">
        <v>2363</v>
      </c>
      <c r="I61" s="64" t="s">
        <v>2363</v>
      </c>
      <c r="J61" s="64" t="s">
        <v>2363</v>
      </c>
      <c r="K61" s="1209" t="s">
        <v>2363</v>
      </c>
      <c r="L61" s="613"/>
      <c r="M61" s="62"/>
    </row>
    <row r="62" spans="1:14">
      <c r="A62" s="1208"/>
      <c r="B62" s="613" t="s">
        <v>2753</v>
      </c>
      <c r="C62" s="613"/>
      <c r="D62" s="613"/>
      <c r="E62" s="613"/>
      <c r="F62" s="1222"/>
      <c r="G62" s="1194"/>
      <c r="H62" s="1194"/>
      <c r="I62" s="1194"/>
      <c r="J62" s="805">
        <f>H62-I62</f>
        <v>0</v>
      </c>
      <c r="K62" s="1217">
        <f>G62-J62</f>
        <v>0</v>
      </c>
      <c r="L62" s="613"/>
      <c r="M62" s="62"/>
    </row>
    <row r="63" spans="1:14">
      <c r="A63" s="1208"/>
      <c r="B63" s="613"/>
      <c r="C63" s="613"/>
      <c r="D63" s="613"/>
      <c r="E63" s="613"/>
      <c r="F63" s="1222"/>
      <c r="G63" s="1194"/>
      <c r="H63" s="1194"/>
      <c r="I63" s="1194"/>
      <c r="J63" s="805">
        <f>H63-I63</f>
        <v>0</v>
      </c>
      <c r="K63" s="1217">
        <f>G63-J63</f>
        <v>0</v>
      </c>
      <c r="L63" s="613"/>
      <c r="M63" s="62"/>
    </row>
    <row r="64" spans="1:14">
      <c r="A64" s="1208"/>
      <c r="B64" s="613"/>
      <c r="C64" s="613"/>
      <c r="D64" s="613"/>
      <c r="E64" s="613"/>
      <c r="F64" s="1210" t="s">
        <v>561</v>
      </c>
      <c r="G64" s="1194"/>
      <c r="H64" s="1194"/>
      <c r="I64" s="1194"/>
      <c r="J64" s="586"/>
      <c r="K64" s="613"/>
      <c r="L64" s="613"/>
      <c r="M64" s="62"/>
    </row>
    <row r="65" spans="1:13" ht="15">
      <c r="A65" s="1208"/>
      <c r="B65" s="613"/>
      <c r="C65" s="613"/>
      <c r="D65" s="613"/>
      <c r="E65" s="613"/>
      <c r="F65" s="1223"/>
      <c r="G65" s="518"/>
      <c r="H65" s="1224"/>
      <c r="I65" s="1224"/>
      <c r="J65" s="1225" t="s">
        <v>2754</v>
      </c>
      <c r="K65" s="1217">
        <f>SUM(K62:K64)</f>
        <v>0</v>
      </c>
      <c r="L65" s="1208" t="s">
        <v>2369</v>
      </c>
      <c r="M65" s="62"/>
    </row>
    <row r="66" spans="1:13">
      <c r="A66" s="1208"/>
      <c r="B66" s="613"/>
      <c r="C66" s="613"/>
      <c r="D66" s="613"/>
      <c r="E66" s="613"/>
      <c r="F66" s="1223"/>
      <c r="G66" s="601"/>
      <c r="H66" s="613"/>
      <c r="I66" s="613"/>
      <c r="J66" s="613"/>
      <c r="K66" s="613"/>
      <c r="L66" s="613"/>
      <c r="M66" s="62"/>
    </row>
    <row r="67" spans="1:13">
      <c r="A67" s="613" t="s">
        <v>2755</v>
      </c>
      <c r="B67" s="613"/>
      <c r="C67" s="613"/>
      <c r="D67" s="613"/>
      <c r="E67" s="613"/>
      <c r="F67" s="613"/>
      <c r="G67" s="613"/>
      <c r="H67" s="613"/>
      <c r="I67" s="613"/>
      <c r="J67" s="613"/>
      <c r="K67" s="613"/>
      <c r="L67" s="613"/>
      <c r="M67" s="62"/>
    </row>
    <row r="68" spans="1:13">
      <c r="A68" s="1208" t="s">
        <v>2756</v>
      </c>
      <c r="B68" s="613"/>
      <c r="C68" s="613"/>
      <c r="D68" s="613"/>
      <c r="E68" s="613"/>
      <c r="F68" s="613"/>
      <c r="G68" s="613"/>
      <c r="H68" s="613"/>
      <c r="I68" s="613"/>
      <c r="J68" s="613"/>
      <c r="K68" s="613"/>
      <c r="L68" s="613"/>
      <c r="M68" s="62"/>
    </row>
    <row r="69" spans="1:13">
      <c r="A69" s="1208" t="s">
        <v>2370</v>
      </c>
      <c r="B69" s="613"/>
      <c r="C69" s="613"/>
      <c r="D69" s="613"/>
      <c r="E69" s="613"/>
      <c r="F69" s="613"/>
      <c r="G69" s="613"/>
      <c r="H69" s="613"/>
      <c r="I69" s="613"/>
      <c r="J69" s="613"/>
      <c r="K69" s="613"/>
      <c r="L69" s="613"/>
      <c r="M69" s="62"/>
    </row>
    <row r="70" spans="1:13">
      <c r="A70" s="1208" t="s">
        <v>2371</v>
      </c>
      <c r="B70" s="613"/>
      <c r="C70" s="613"/>
      <c r="D70" s="613"/>
      <c r="E70" s="613"/>
      <c r="F70" s="613"/>
      <c r="G70" s="613"/>
      <c r="H70" s="613"/>
      <c r="I70" s="613"/>
      <c r="J70" s="613"/>
      <c r="K70" s="613"/>
      <c r="L70" s="613"/>
      <c r="M70" s="62"/>
    </row>
    <row r="71" spans="1:13">
      <c r="A71" s="1208" t="s">
        <v>2757</v>
      </c>
      <c r="B71" s="613"/>
      <c r="C71" s="613"/>
      <c r="D71" s="613"/>
      <c r="E71" s="613"/>
      <c r="F71" s="613"/>
      <c r="G71" s="613"/>
      <c r="H71" s="613"/>
      <c r="I71" s="613"/>
      <c r="J71" s="613"/>
      <c r="K71" s="613"/>
      <c r="L71" s="613"/>
      <c r="M71" s="62"/>
    </row>
    <row r="72" spans="1:13">
      <c r="A72" s="613"/>
      <c r="B72" s="613"/>
      <c r="C72" s="613"/>
      <c r="D72" s="613"/>
      <c r="E72" s="613"/>
      <c r="F72" s="613"/>
      <c r="G72" s="1209" t="s">
        <v>194</v>
      </c>
      <c r="H72" s="1209" t="s">
        <v>171</v>
      </c>
      <c r="I72" s="613"/>
      <c r="J72" s="613"/>
      <c r="K72" s="613"/>
      <c r="L72" s="613"/>
      <c r="M72" s="62"/>
    </row>
    <row r="73" spans="1:13">
      <c r="A73" s="1221" t="s">
        <v>1900</v>
      </c>
      <c r="B73" s="613"/>
      <c r="C73" s="613"/>
      <c r="D73" s="613"/>
      <c r="E73" s="613"/>
      <c r="F73" s="1226" t="s">
        <v>2372</v>
      </c>
      <c r="G73" s="1217">
        <f>G80+G81</f>
        <v>0</v>
      </c>
      <c r="H73" s="1208" t="s">
        <v>2373</v>
      </c>
      <c r="I73" s="613"/>
      <c r="J73" s="613"/>
      <c r="K73" s="613"/>
      <c r="L73" s="613"/>
      <c r="M73" s="62"/>
    </row>
    <row r="74" spans="1:13">
      <c r="A74" s="1221" t="s">
        <v>1901</v>
      </c>
      <c r="B74" s="613"/>
      <c r="C74" s="613"/>
      <c r="D74" s="613"/>
      <c r="E74" s="613"/>
      <c r="F74" s="1226" t="s">
        <v>2374</v>
      </c>
      <c r="G74" s="1227">
        <f>H49+H50</f>
        <v>80342666</v>
      </c>
      <c r="H74" s="1208" t="s">
        <v>2758</v>
      </c>
      <c r="I74" s="613"/>
      <c r="J74" s="613"/>
      <c r="K74" s="613"/>
      <c r="L74" s="613"/>
      <c r="M74" s="62"/>
    </row>
    <row r="75" spans="1:13">
      <c r="A75" s="1221" t="s">
        <v>1902</v>
      </c>
      <c r="B75" s="613"/>
      <c r="C75" s="613"/>
      <c r="D75" s="613"/>
      <c r="E75" s="613"/>
      <c r="F75" s="1226" t="s">
        <v>2759</v>
      </c>
      <c r="G75" s="1217">
        <f xml:space="preserve"> G73-G74</f>
        <v>-80342666</v>
      </c>
      <c r="H75" s="1208" t="s">
        <v>2375</v>
      </c>
      <c r="I75" s="613"/>
      <c r="J75" s="613"/>
      <c r="K75" s="613"/>
      <c r="L75" s="613"/>
      <c r="M75" s="62"/>
    </row>
    <row r="76" spans="1:13">
      <c r="A76" s="1221"/>
      <c r="B76" s="613"/>
      <c r="C76" s="613"/>
      <c r="D76" s="613"/>
      <c r="E76" s="613"/>
      <c r="F76" s="613"/>
      <c r="G76" s="613"/>
      <c r="H76" s="613"/>
      <c r="I76" s="613"/>
      <c r="J76" s="613"/>
      <c r="K76" s="613"/>
      <c r="L76" s="613"/>
      <c r="M76" s="62"/>
    </row>
    <row r="77" spans="1:13">
      <c r="A77" s="1221"/>
      <c r="B77" s="613"/>
      <c r="C77" s="613"/>
      <c r="D77" s="613" t="s">
        <v>2376</v>
      </c>
      <c r="E77" s="613"/>
      <c r="F77" s="613"/>
      <c r="G77" s="613"/>
      <c r="H77" s="613"/>
      <c r="I77" s="613"/>
      <c r="J77" s="613"/>
      <c r="K77" s="613"/>
      <c r="L77" s="613"/>
      <c r="M77" s="62"/>
    </row>
    <row r="78" spans="1:13">
      <c r="A78" s="1221"/>
      <c r="B78" s="613"/>
      <c r="C78" s="613"/>
      <c r="D78" s="613"/>
      <c r="E78" s="613"/>
      <c r="F78" s="1221"/>
      <c r="G78" s="207" t="s">
        <v>2760</v>
      </c>
      <c r="H78" s="613"/>
      <c r="I78" s="613"/>
      <c r="J78" s="613"/>
      <c r="K78" s="613"/>
      <c r="L78" s="613"/>
      <c r="M78" s="62"/>
    </row>
    <row r="79" spans="1:13">
      <c r="A79" s="1221"/>
      <c r="B79" s="613"/>
      <c r="C79" s="613"/>
      <c r="D79" s="613"/>
      <c r="E79" s="613"/>
      <c r="F79" s="1209" t="s">
        <v>212</v>
      </c>
      <c r="G79" s="1209" t="s">
        <v>2364</v>
      </c>
      <c r="H79" s="613"/>
      <c r="I79" s="613"/>
      <c r="J79" s="613"/>
      <c r="K79" s="613"/>
      <c r="L79" s="613"/>
      <c r="M79" s="62"/>
    </row>
    <row r="80" spans="1:13">
      <c r="A80" s="1221" t="s">
        <v>1903</v>
      </c>
      <c r="B80" s="613"/>
      <c r="C80" s="613"/>
      <c r="D80" s="613"/>
      <c r="E80" s="613"/>
      <c r="F80" s="1222"/>
      <c r="G80" s="1194"/>
      <c r="H80" s="613"/>
      <c r="I80" s="613"/>
      <c r="J80" s="613"/>
      <c r="K80" s="613"/>
      <c r="L80" s="613"/>
      <c r="M80" s="62"/>
    </row>
    <row r="81" spans="1:15">
      <c r="A81" s="1221" t="s">
        <v>1904</v>
      </c>
      <c r="B81" s="613"/>
      <c r="C81" s="613"/>
      <c r="D81" s="613"/>
      <c r="E81" s="613"/>
      <c r="F81" s="1222"/>
      <c r="G81" s="1194"/>
      <c r="H81" s="613"/>
      <c r="I81" s="613"/>
      <c r="J81" s="613"/>
      <c r="K81" s="613"/>
      <c r="L81" s="613"/>
      <c r="M81" s="62"/>
    </row>
    <row r="82" spans="1:15">
      <c r="A82" s="1221" t="s">
        <v>1905</v>
      </c>
      <c r="B82" s="613"/>
      <c r="C82" s="613"/>
      <c r="D82" s="613"/>
      <c r="E82" s="613"/>
      <c r="F82" s="1222"/>
      <c r="G82" s="1194"/>
      <c r="H82" s="613"/>
      <c r="I82" s="613"/>
      <c r="J82" s="613"/>
      <c r="K82" s="613"/>
      <c r="L82" s="613"/>
      <c r="M82" s="62"/>
    </row>
    <row r="83" spans="1:15">
      <c r="A83" s="1221" t="s">
        <v>1907</v>
      </c>
      <c r="B83" s="613"/>
      <c r="C83" s="613"/>
      <c r="D83" s="613"/>
      <c r="E83" s="613"/>
      <c r="F83" s="1222"/>
      <c r="G83" s="1194"/>
      <c r="H83" s="613"/>
      <c r="I83" s="613"/>
      <c r="J83" s="613"/>
      <c r="K83" s="613"/>
      <c r="L83" s="613"/>
      <c r="M83" s="62"/>
    </row>
    <row r="84" spans="1:15">
      <c r="A84" s="1221" t="s">
        <v>2187</v>
      </c>
      <c r="B84" s="613"/>
      <c r="C84" s="613"/>
      <c r="D84" s="613"/>
      <c r="E84" s="613"/>
      <c r="F84" s="1222"/>
      <c r="G84" s="1194"/>
      <c r="H84" s="613"/>
      <c r="I84" s="613"/>
      <c r="J84" s="613"/>
      <c r="K84" s="613"/>
      <c r="L84" s="613"/>
      <c r="M84" s="62"/>
    </row>
    <row r="85" spans="1:15">
      <c r="A85" s="1221"/>
      <c r="B85" s="613"/>
      <c r="C85" s="613"/>
      <c r="D85" s="613"/>
      <c r="E85" s="613"/>
      <c r="F85" s="613"/>
      <c r="G85" s="613"/>
      <c r="H85" s="613"/>
      <c r="I85" s="613"/>
      <c r="J85" s="613"/>
      <c r="K85" s="613"/>
      <c r="L85" s="613"/>
      <c r="M85" s="62"/>
    </row>
    <row r="86" spans="1:15">
      <c r="A86" s="601"/>
      <c r="B86" s="601" t="s">
        <v>2761</v>
      </c>
      <c r="C86" s="601"/>
      <c r="D86" s="601"/>
      <c r="E86" s="601"/>
      <c r="F86" s="601"/>
      <c r="G86" s="601"/>
      <c r="H86" s="1228" t="s">
        <v>171</v>
      </c>
      <c r="I86" s="601"/>
      <c r="J86" s="601"/>
      <c r="K86" s="601"/>
      <c r="L86" s="601"/>
      <c r="M86" s="62"/>
    </row>
    <row r="87" spans="1:15">
      <c r="A87" s="1241" t="s">
        <v>2188</v>
      </c>
      <c r="B87" s="601" t="s">
        <v>2377</v>
      </c>
      <c r="C87" s="601"/>
      <c r="D87" s="601"/>
      <c r="E87" s="601"/>
      <c r="F87" s="601"/>
      <c r="G87" s="518">
        <f xml:space="preserve"> (G80+G81)*0.2</f>
        <v>0</v>
      </c>
      <c r="H87" s="1037" t="s">
        <v>2384</v>
      </c>
      <c r="I87" s="601"/>
      <c r="J87" s="601"/>
      <c r="K87" s="601"/>
      <c r="L87" s="601"/>
      <c r="M87" s="62"/>
    </row>
    <row r="88" spans="1:15">
      <c r="A88" s="1241"/>
      <c r="B88" s="601"/>
      <c r="C88" s="601"/>
      <c r="D88" s="601"/>
      <c r="E88" s="601"/>
      <c r="F88" s="601"/>
      <c r="G88" s="518"/>
      <c r="H88" s="1037"/>
      <c r="I88" s="601"/>
      <c r="J88" s="601"/>
      <c r="K88" s="601"/>
      <c r="L88" s="601"/>
      <c r="M88" s="62"/>
    </row>
    <row r="89" spans="1:15">
      <c r="A89" s="1244" t="s">
        <v>2762</v>
      </c>
      <c r="B89" s="601"/>
      <c r="C89" s="601"/>
      <c r="D89" s="601"/>
      <c r="E89" s="601"/>
      <c r="F89" s="601"/>
      <c r="G89" s="518"/>
      <c r="H89" s="1037"/>
      <c r="I89" s="601"/>
      <c r="J89" s="601"/>
      <c r="K89" s="601"/>
      <c r="L89" s="601"/>
      <c r="M89" s="586"/>
      <c r="N89" s="62"/>
    </row>
    <row r="90" spans="1:15">
      <c r="A90" s="1245" t="s">
        <v>2763</v>
      </c>
      <c r="B90" s="601"/>
      <c r="C90" s="601"/>
      <c r="D90" s="601"/>
      <c r="E90" s="601"/>
      <c r="F90" s="601"/>
      <c r="G90" s="518"/>
      <c r="H90" s="1037"/>
      <c r="I90" s="601"/>
      <c r="J90" s="601"/>
      <c r="K90" s="601"/>
      <c r="L90" s="601"/>
      <c r="M90" s="586"/>
      <c r="N90" s="62"/>
    </row>
    <row r="91" spans="1:15">
      <c r="A91" s="1245" t="s">
        <v>2764</v>
      </c>
      <c r="B91" s="586"/>
      <c r="C91" s="586"/>
      <c r="D91" s="586"/>
      <c r="E91" s="601"/>
      <c r="F91" s="586"/>
      <c r="G91" s="586"/>
      <c r="H91" s="586"/>
      <c r="I91" s="586"/>
      <c r="J91" s="586"/>
      <c r="K91" s="586"/>
      <c r="L91" s="586"/>
      <c r="M91" s="586"/>
      <c r="N91" s="62"/>
    </row>
    <row r="92" spans="1:15">
      <c r="A92" s="1245"/>
      <c r="B92" s="586"/>
      <c r="C92" s="586"/>
      <c r="D92" s="586"/>
      <c r="E92" s="586"/>
      <c r="F92" s="586"/>
      <c r="G92" s="586"/>
      <c r="H92" s="586"/>
      <c r="I92" s="586"/>
      <c r="J92" s="586"/>
      <c r="K92" s="586"/>
      <c r="L92" s="586"/>
      <c r="M92" s="62"/>
    </row>
    <row r="93" spans="1:15" ht="15">
      <c r="A93" s="1246" t="s">
        <v>417</v>
      </c>
      <c r="B93" s="1205"/>
      <c r="C93" s="1205"/>
      <c r="D93" s="1205"/>
      <c r="E93" s="1205"/>
      <c r="F93" s="1205"/>
      <c r="G93" s="1205"/>
      <c r="H93" s="1205"/>
      <c r="I93" s="1205"/>
      <c r="J93" s="1205"/>
      <c r="K93" s="1205"/>
      <c r="L93" s="1205"/>
      <c r="M93" s="1247"/>
    </row>
    <row r="94" spans="1:15" ht="15">
      <c r="A94" s="1037" t="s">
        <v>2765</v>
      </c>
      <c r="B94" s="1205"/>
      <c r="C94" s="1205"/>
      <c r="D94" s="1205"/>
      <c r="E94" s="1205"/>
      <c r="F94" s="1205"/>
      <c r="G94" s="1205"/>
      <c r="H94" s="1205"/>
      <c r="I94" s="1205"/>
      <c r="J94" s="1205"/>
      <c r="K94" s="1205"/>
      <c r="L94" s="1205"/>
      <c r="M94" s="1248"/>
      <c r="O94" s="392"/>
    </row>
    <row r="95" spans="1:15" ht="14.25">
      <c r="A95" s="1249" t="s">
        <v>2766</v>
      </c>
      <c r="B95" s="1205"/>
      <c r="C95" s="1205"/>
      <c r="D95" s="1205"/>
      <c r="E95" s="1205"/>
      <c r="F95" s="1205"/>
      <c r="G95" s="1205"/>
      <c r="H95" s="1205"/>
      <c r="I95" s="1205"/>
      <c r="J95" s="1205"/>
      <c r="K95" s="1205"/>
      <c r="L95" s="1205"/>
      <c r="M95" s="1248"/>
    </row>
    <row r="96" spans="1:15" ht="14.25">
      <c r="A96" s="1249" t="s">
        <v>2767</v>
      </c>
      <c r="B96" s="1205"/>
      <c r="C96" s="1205"/>
      <c r="D96" s="1205"/>
      <c r="E96" s="1205"/>
      <c r="F96" s="1205"/>
      <c r="G96" s="1205"/>
      <c r="H96" s="1205"/>
      <c r="I96" s="1205"/>
      <c r="J96" s="1205"/>
      <c r="K96" s="1205"/>
      <c r="L96" s="1205"/>
      <c r="M96" s="1248"/>
    </row>
    <row r="97" spans="1:13" ht="14.25">
      <c r="A97" s="1249" t="s">
        <v>2768</v>
      </c>
      <c r="B97" s="1205"/>
      <c r="C97" s="1205"/>
      <c r="D97" s="1205"/>
      <c r="E97" s="1205"/>
      <c r="F97" s="1205"/>
      <c r="G97" s="1205"/>
      <c r="H97" s="1205"/>
      <c r="I97" s="1205"/>
      <c r="J97" s="1205"/>
      <c r="K97" s="1205"/>
      <c r="L97" s="1205"/>
      <c r="M97" s="1248"/>
    </row>
    <row r="98" spans="1:13" ht="14.25">
      <c r="A98" s="1249" t="s">
        <v>2769</v>
      </c>
      <c r="B98" s="1205"/>
      <c r="C98" s="1205"/>
      <c r="D98" s="1205"/>
      <c r="E98" s="1205"/>
      <c r="F98" s="1205"/>
      <c r="G98" s="1205"/>
      <c r="H98" s="1205"/>
      <c r="I98" s="1205"/>
      <c r="J98" s="1205"/>
      <c r="K98" s="1205"/>
      <c r="L98" s="1205"/>
      <c r="M98" s="1248"/>
    </row>
    <row r="99" spans="1:13" ht="14.25">
      <c r="A99" s="1250" t="s">
        <v>2770</v>
      </c>
      <c r="B99" s="1205"/>
      <c r="C99" s="1205"/>
      <c r="D99" s="1205"/>
      <c r="E99" s="1205"/>
      <c r="F99" s="1205"/>
      <c r="G99" s="1205"/>
      <c r="H99" s="1205"/>
      <c r="I99" s="1205"/>
      <c r="J99" s="1205"/>
      <c r="K99" s="1205"/>
      <c r="L99" s="1205"/>
      <c r="M99" s="1248"/>
    </row>
    <row r="100" spans="1:13" ht="14.25">
      <c r="A100" s="1249" t="s">
        <v>2771</v>
      </c>
      <c r="B100" s="1206"/>
      <c r="C100" s="1207"/>
      <c r="D100" s="1207"/>
      <c r="E100" s="1207"/>
      <c r="F100" s="1207"/>
      <c r="G100" s="1207"/>
      <c r="H100" s="1207"/>
      <c r="I100" s="1207"/>
      <c r="J100" s="1207"/>
      <c r="K100" s="1207"/>
      <c r="L100" s="1205"/>
      <c r="M100" s="1248"/>
    </row>
    <row r="101" spans="1:13" ht="14.25">
      <c r="A101" s="1249" t="s">
        <v>2772</v>
      </c>
      <c r="B101" s="1206"/>
      <c r="C101" s="1207"/>
      <c r="D101" s="1207"/>
      <c r="E101" s="1207"/>
      <c r="F101" s="1207"/>
      <c r="G101" s="1207"/>
      <c r="H101" s="1207"/>
      <c r="I101" s="1207"/>
      <c r="J101" s="1207"/>
      <c r="K101" s="1207"/>
      <c r="L101" s="1205"/>
      <c r="M101" s="1248"/>
    </row>
    <row r="102" spans="1:13" ht="14.25">
      <c r="A102" s="1037" t="s">
        <v>2773</v>
      </c>
      <c r="B102" s="1206"/>
      <c r="C102" s="1205"/>
      <c r="D102" s="1205"/>
      <c r="E102" s="1205"/>
      <c r="F102" s="1205"/>
      <c r="G102" s="1205"/>
      <c r="H102" s="1205"/>
      <c r="I102" s="1205"/>
      <c r="J102" s="1205"/>
      <c r="K102" s="1205"/>
      <c r="L102" s="1205"/>
      <c r="M102" s="1248"/>
    </row>
    <row r="103" spans="1:13" ht="14.25">
      <c r="A103" s="1249" t="s">
        <v>2774</v>
      </c>
      <c r="B103" s="1206"/>
      <c r="C103" s="1205"/>
      <c r="D103" s="1205"/>
      <c r="E103" s="1205"/>
      <c r="F103" s="1205"/>
      <c r="G103" s="1205"/>
      <c r="H103" s="1205"/>
      <c r="I103" s="1205"/>
      <c r="J103" s="1205"/>
      <c r="K103" s="1205"/>
      <c r="L103" s="1205"/>
      <c r="M103" s="1248"/>
    </row>
    <row r="104" spans="1:13" ht="14.25">
      <c r="A104" s="1249" t="s">
        <v>2775</v>
      </c>
      <c r="B104" s="1206"/>
      <c r="C104" s="1205"/>
      <c r="D104" s="1205"/>
      <c r="E104" s="1205"/>
      <c r="F104" s="1205"/>
      <c r="G104" s="1205"/>
      <c r="H104" s="1205"/>
      <c r="I104" s="1205"/>
      <c r="J104" s="1205"/>
      <c r="K104" s="1205"/>
      <c r="L104" s="1205"/>
      <c r="M104" s="1248"/>
    </row>
    <row r="105" spans="1:13" ht="14.25">
      <c r="A105" s="1249" t="s">
        <v>2776</v>
      </c>
      <c r="B105" s="1207"/>
      <c r="C105" s="1205"/>
      <c r="D105" s="1205"/>
      <c r="E105" s="1205"/>
      <c r="F105" s="1205"/>
      <c r="G105" s="1205"/>
      <c r="H105" s="1205"/>
      <c r="I105" s="1205"/>
      <c r="J105" s="1205"/>
      <c r="K105" s="1205"/>
      <c r="L105" s="1205"/>
      <c r="M105" s="1248"/>
    </row>
    <row r="106" spans="1:13" ht="14.25">
      <c r="A106" s="1249" t="s">
        <v>2777</v>
      </c>
      <c r="B106" s="1205"/>
      <c r="C106" s="1205"/>
      <c r="D106" s="1205"/>
      <c r="E106" s="1205"/>
      <c r="F106" s="1205"/>
      <c r="G106" s="1205"/>
      <c r="H106" s="1205"/>
      <c r="I106" s="1205"/>
      <c r="J106" s="1205"/>
      <c r="K106" s="1205"/>
      <c r="L106" s="1205"/>
      <c r="M106" s="1248"/>
    </row>
    <row r="107" spans="1:13" ht="14.25">
      <c r="A107" s="1249" t="s">
        <v>2778</v>
      </c>
      <c r="B107" s="1205"/>
      <c r="C107" s="1205"/>
      <c r="D107" s="1205"/>
      <c r="E107" s="1205"/>
      <c r="F107" s="1205"/>
      <c r="G107" s="1205"/>
      <c r="H107" s="1205"/>
      <c r="I107" s="1205"/>
      <c r="J107" s="1205"/>
      <c r="K107" s="1205"/>
      <c r="L107" s="1205"/>
      <c r="M107" s="1248"/>
    </row>
    <row r="108" spans="1:13" ht="14.25">
      <c r="A108" s="1190"/>
      <c r="B108" s="1189"/>
      <c r="C108" s="1189"/>
      <c r="D108" s="1189"/>
      <c r="E108" s="1189"/>
      <c r="F108" s="1189"/>
      <c r="G108" s="1189"/>
      <c r="H108" s="1189"/>
      <c r="I108" s="1189"/>
      <c r="J108" s="1189"/>
      <c r="K108" s="1189"/>
      <c r="L108" s="1189"/>
      <c r="M108" s="1189"/>
    </row>
    <row r="109" spans="1:13">
      <c r="B109" s="14"/>
      <c r="C109" s="14"/>
      <c r="D109" s="14"/>
      <c r="E109" s="14"/>
      <c r="F109" s="14"/>
      <c r="G109" s="14"/>
      <c r="H109" s="14"/>
      <c r="I109" s="14"/>
      <c r="J109" s="14"/>
      <c r="K109" s="14"/>
      <c r="L109" s="14"/>
      <c r="M109" s="14"/>
    </row>
    <row r="110" spans="1:13">
      <c r="B110" s="14"/>
      <c r="C110" s="14"/>
      <c r="D110" s="14"/>
      <c r="E110" s="14"/>
      <c r="F110" s="14"/>
      <c r="G110" s="14"/>
      <c r="H110" s="14"/>
      <c r="I110" s="14"/>
      <c r="J110" s="14"/>
      <c r="K110" s="14"/>
      <c r="L110" s="14"/>
      <c r="M110" s="14"/>
    </row>
    <row r="111" spans="1:13">
      <c r="B111" s="14"/>
      <c r="C111" s="14"/>
      <c r="D111" s="14"/>
      <c r="E111" s="14"/>
      <c r="F111" s="14"/>
      <c r="G111" s="14"/>
      <c r="H111" s="14"/>
      <c r="I111" s="14"/>
      <c r="J111" s="14"/>
      <c r="K111" s="14"/>
      <c r="L111" s="14"/>
      <c r="M111" s="14"/>
    </row>
    <row r="112" spans="1:13">
      <c r="B112" s="14"/>
    </row>
    <row r="113" spans="2:2">
      <c r="B113" s="14"/>
    </row>
    <row r="114" spans="2:2">
      <c r="B114" s="14"/>
    </row>
  </sheetData>
  <pageMargins left="0.7" right="0.7" top="0.75" bottom="0.75" header="0.3" footer="0.3"/>
  <pageSetup scale="60" orientation="portrait" cellComments="asDisplayed" verticalDpi="1200" r:id="rId1"/>
  <headerFooter>
    <oddHeader>&amp;CSchedule 35
PBOPs&amp;RTO2019 Draft Annual Update
Attachment 5
TO13 True Up TRR</oddHeader>
  </headerFooter>
  <rowBreaks count="1" manualBreakCount="1">
    <brk id="88"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zoomScale="110" zoomScaleNormal="110" zoomScalePageLayoutView="85" workbookViewId="0"/>
  </sheetViews>
  <sheetFormatPr defaultRowHeight="12.75"/>
  <cols>
    <col min="1" max="1" width="4.7109375" customWidth="1"/>
    <col min="8" max="9" width="25.7109375" customWidth="1"/>
    <col min="10" max="10" width="2.7109375" customWidth="1"/>
    <col min="11" max="11" width="16.7109375" customWidth="1"/>
    <col min="13" max="14" width="8.85546875" customWidth="1"/>
  </cols>
  <sheetData>
    <row r="1" spans="1:12">
      <c r="A1" s="1" t="s">
        <v>185</v>
      </c>
    </row>
    <row r="2" spans="1:12">
      <c r="I2" s="104" t="s">
        <v>332</v>
      </c>
      <c r="J2" s="104"/>
      <c r="K2" s="14"/>
      <c r="L2" s="14"/>
    </row>
    <row r="3" spans="1:12">
      <c r="A3" s="1" t="s">
        <v>186</v>
      </c>
      <c r="L3" s="14"/>
    </row>
    <row r="4" spans="1:12">
      <c r="H4" s="2"/>
      <c r="I4" s="2" t="s">
        <v>188</v>
      </c>
      <c r="K4" s="268">
        <v>2017</v>
      </c>
    </row>
    <row r="5" spans="1:12">
      <c r="A5" s="55" t="s">
        <v>350</v>
      </c>
      <c r="H5" s="3" t="s">
        <v>187</v>
      </c>
      <c r="I5" s="3" t="s">
        <v>189</v>
      </c>
      <c r="K5" s="3" t="s">
        <v>190</v>
      </c>
    </row>
    <row r="7" spans="1:12">
      <c r="A7" s="10" t="s">
        <v>195</v>
      </c>
      <c r="B7" s="11"/>
      <c r="C7" s="11"/>
      <c r="D7" s="11"/>
      <c r="E7" s="11"/>
      <c r="F7" s="11"/>
      <c r="G7" s="11"/>
      <c r="H7" s="9"/>
      <c r="I7" s="9"/>
      <c r="J7" s="9"/>
      <c r="K7" s="9"/>
    </row>
    <row r="9" spans="1:12">
      <c r="A9" s="2">
        <v>1</v>
      </c>
      <c r="B9" s="52" t="s">
        <v>1138</v>
      </c>
      <c r="I9" s="15" t="str">
        <f>"6-PlantInService, Line "&amp;'6-PlantInService'!A43&amp;""</f>
        <v>6-PlantInService, Line 19</v>
      </c>
      <c r="K9" s="7">
        <f>'6-PlantInService'!D43</f>
        <v>8573445553.3305378</v>
      </c>
    </row>
    <row r="10" spans="1:12">
      <c r="A10" s="2">
        <f>A9+1</f>
        <v>2</v>
      </c>
      <c r="B10" s="52" t="s">
        <v>348</v>
      </c>
      <c r="I10" s="15" t="str">
        <f>"6-PlantInService, Line "&amp;'6-PlantInService'!A63&amp;""</f>
        <v>6-PlantInService, Line 27</v>
      </c>
      <c r="K10" s="7">
        <f>'6-PlantInService'!F63</f>
        <v>248940421.69552574</v>
      </c>
    </row>
    <row r="11" spans="1:12">
      <c r="A11" s="2">
        <f>A10+1</f>
        <v>3</v>
      </c>
      <c r="B11" s="52" t="s">
        <v>174</v>
      </c>
      <c r="I11" s="15" t="str">
        <f>"11-PHFU, Line "&amp;'11-PHFU'!A38&amp;""</f>
        <v>11-PHFU, Line 8</v>
      </c>
      <c r="K11" s="7">
        <f>'11-PHFU'!E38</f>
        <v>9942155</v>
      </c>
    </row>
    <row r="12" spans="1:12">
      <c r="A12" s="2">
        <f>A11+1</f>
        <v>4</v>
      </c>
      <c r="B12" s="119" t="s">
        <v>343</v>
      </c>
      <c r="C12" s="14"/>
      <c r="D12" s="14"/>
      <c r="E12" s="14"/>
      <c r="F12" s="14"/>
      <c r="G12" s="14"/>
      <c r="H12" s="14"/>
      <c r="I12" s="15" t="str">
        <f>"12-AbandonedPlant, Line "&amp;'12-AbandonedPlant'!A20&amp;""</f>
        <v>12-AbandonedPlant, Line 3</v>
      </c>
      <c r="K12" s="7">
        <f>'12-AbandonedPlant'!G20</f>
        <v>0</v>
      </c>
    </row>
    <row r="13" spans="1:12">
      <c r="A13" s="2"/>
      <c r="B13" s="119"/>
      <c r="C13" s="14"/>
      <c r="D13" s="14"/>
      <c r="E13" s="14"/>
      <c r="F13" s="14"/>
      <c r="G13" s="14"/>
      <c r="H13" s="14"/>
      <c r="I13" s="14"/>
      <c r="K13" s="7"/>
    </row>
    <row r="14" spans="1:12">
      <c r="A14" s="2"/>
      <c r="B14" s="46" t="s">
        <v>269</v>
      </c>
      <c r="C14" s="14"/>
      <c r="D14" s="14"/>
      <c r="E14" s="14"/>
      <c r="F14" s="14"/>
      <c r="G14" s="14"/>
      <c r="H14" s="14"/>
      <c r="I14" s="14"/>
      <c r="K14" s="7"/>
    </row>
    <row r="15" spans="1:12">
      <c r="A15" s="2">
        <f>A12+1</f>
        <v>5</v>
      </c>
      <c r="B15" s="13" t="s">
        <v>102</v>
      </c>
      <c r="I15" s="15" t="str">
        <f>"13-WorkCap, Line "&amp;'13-WorkCap'!A26&amp;""</f>
        <v>13-WorkCap, Line 16</v>
      </c>
      <c r="K15" s="7">
        <f>'13-WorkCap'!F26</f>
        <v>13383569.349618722</v>
      </c>
    </row>
    <row r="16" spans="1:12">
      <c r="A16" s="2">
        <f>A15+1</f>
        <v>6</v>
      </c>
      <c r="B16" s="16" t="s">
        <v>103</v>
      </c>
      <c r="I16" s="15" t="str">
        <f>"13-WorkCap, Line "&amp;'13-WorkCap'!A55&amp;""</f>
        <v>13-WorkCap, Line 36</v>
      </c>
      <c r="K16" s="7">
        <f>'13-WorkCap'!F55</f>
        <v>12812585.207762737</v>
      </c>
    </row>
    <row r="17" spans="1:11">
      <c r="A17" s="2">
        <f>A16+1</f>
        <v>7</v>
      </c>
      <c r="B17" s="13" t="s">
        <v>191</v>
      </c>
      <c r="I17" s="15" t="str">
        <f>"(Line "&amp;A124&amp;" + Line "&amp;A125&amp;") / 16"</f>
        <v>(Line 65 + Line 66) / 16</v>
      </c>
      <c r="K17" s="111">
        <f>(K124+K125)/16</f>
        <v>7807795.168243329</v>
      </c>
    </row>
    <row r="18" spans="1:11">
      <c r="A18" s="2">
        <f>A17+1</f>
        <v>8</v>
      </c>
      <c r="B18" s="13" t="s">
        <v>101</v>
      </c>
      <c r="I18" s="15" t="str">
        <f>"Line "&amp;A15&amp;" + Line "&amp;A16&amp;" + Line "&amp;A17&amp;""</f>
        <v>Line 5 + Line 6 + Line 7</v>
      </c>
      <c r="K18" s="7">
        <f>SUM(K15:K17)</f>
        <v>34003949.725624785</v>
      </c>
    </row>
    <row r="19" spans="1:11">
      <c r="A19" s="2"/>
      <c r="B19" s="13"/>
      <c r="I19" s="14"/>
      <c r="K19" s="7"/>
    </row>
    <row r="20" spans="1:11">
      <c r="A20" s="2"/>
      <c r="B20" s="83" t="s">
        <v>184</v>
      </c>
      <c r="I20" s="14"/>
      <c r="K20" s="7"/>
    </row>
    <row r="21" spans="1:11">
      <c r="A21" s="2">
        <f>A18+1</f>
        <v>9</v>
      </c>
      <c r="B21" s="13" t="s">
        <v>1141</v>
      </c>
      <c r="H21" t="s">
        <v>168</v>
      </c>
      <c r="I21" s="15" t="str">
        <f>"8-AccDep, Line "&amp;'8-AccDep'!A24&amp;", Col. 12"</f>
        <v>8-AccDep, Line 13, Col. 12</v>
      </c>
      <c r="K21" s="7">
        <f>-'8-AccDep'!N24</f>
        <v>-1633677099.9487538</v>
      </c>
    </row>
    <row r="22" spans="1:11">
      <c r="A22" s="2">
        <f>A21+1</f>
        <v>10</v>
      </c>
      <c r="B22" s="13" t="s">
        <v>1142</v>
      </c>
      <c r="H22" t="s">
        <v>168</v>
      </c>
      <c r="I22" s="15" t="str">
        <f>"8-AccDep, Line "&amp;'8-AccDep'!A34&amp;", Col. 5"</f>
        <v>8-AccDep, Line 16, Col. 5</v>
      </c>
      <c r="K22" s="7">
        <f>-'8-AccDep'!G34</f>
        <v>0</v>
      </c>
    </row>
    <row r="23" spans="1:11">
      <c r="A23" s="2">
        <f>A22+1</f>
        <v>11</v>
      </c>
      <c r="B23" s="13" t="s">
        <v>339</v>
      </c>
      <c r="C23" s="22"/>
      <c r="H23" t="s">
        <v>168</v>
      </c>
      <c r="I23" s="15" t="str">
        <f>"8-AccDep, Line "&amp;'8-AccDep'!A60&amp;""</f>
        <v>8-AccDep, Line 26</v>
      </c>
      <c r="K23" s="59">
        <f>-'8-AccDep'!F60</f>
        <v>-97665209.21942541</v>
      </c>
    </row>
    <row r="24" spans="1:11">
      <c r="A24" s="2">
        <f>A23+1</f>
        <v>12</v>
      </c>
      <c r="B24" s="84" t="s">
        <v>181</v>
      </c>
      <c r="C24" s="22"/>
      <c r="I24" s="15" t="str">
        <f>"Line "&amp;A21&amp;" + Line "&amp;A22&amp;" + Line "&amp;A23&amp;""</f>
        <v>Line 9 + Line 10 + Line 11</v>
      </c>
      <c r="K24" s="7">
        <f>SUM(K21:K23)</f>
        <v>-1731342309.1681793</v>
      </c>
    </row>
    <row r="25" spans="1:11">
      <c r="B25" s="12"/>
      <c r="I25" s="14"/>
      <c r="K25" s="7"/>
    </row>
    <row r="26" spans="1:11">
      <c r="A26" s="2">
        <f>A24+1</f>
        <v>13</v>
      </c>
      <c r="B26" s="67" t="s">
        <v>182</v>
      </c>
      <c r="H26" t="s">
        <v>168</v>
      </c>
      <c r="I26" s="15" t="str">
        <f>"9-ADIT, Line "&amp;'9-ADIT'!A14&amp;", Col. 2"</f>
        <v>9-ADIT, Line 5, Col. 2</v>
      </c>
      <c r="K26" s="7">
        <f>'9-ADIT'!D14</f>
        <v>-1649600327.4123888</v>
      </c>
    </row>
    <row r="27" spans="1:11">
      <c r="A27" s="2"/>
      <c r="B27" s="67"/>
      <c r="I27" s="14"/>
    </row>
    <row r="28" spans="1:11">
      <c r="A28" s="2">
        <f>A26+1</f>
        <v>14</v>
      </c>
      <c r="B28" s="52" t="s">
        <v>266</v>
      </c>
      <c r="I28" s="15" t="str">
        <f>"14-IncentivePlant, L "&amp;'14-IncentivePlant'!A38&amp;", Col 1"</f>
        <v>14-IncentivePlant, L 13, Col 1</v>
      </c>
      <c r="K28" s="7">
        <f>'14-IncentivePlant'!E38</f>
        <v>150629631.90000001</v>
      </c>
    </row>
    <row r="29" spans="1:11">
      <c r="A29" s="2"/>
      <c r="B29" s="52"/>
      <c r="I29" s="14"/>
      <c r="K29" s="7"/>
    </row>
    <row r="30" spans="1:11">
      <c r="A30" s="2">
        <f>A28+1</f>
        <v>15</v>
      </c>
      <c r="B30" s="52" t="s">
        <v>395</v>
      </c>
      <c r="I30" s="15" t="str">
        <f>"23-RegAssets, Line "&amp;'23-RegAssets'!A17&amp;""</f>
        <v>23-RegAssets, Line 14</v>
      </c>
      <c r="K30" s="65">
        <f>'23-RegAssets'!E17</f>
        <v>0</v>
      </c>
    </row>
    <row r="31" spans="1:11">
      <c r="A31" s="120" t="s">
        <v>897</v>
      </c>
      <c r="B31" s="1005" t="s">
        <v>2385</v>
      </c>
      <c r="C31" s="14"/>
      <c r="D31" s="14"/>
      <c r="E31" s="14"/>
      <c r="F31" s="14"/>
      <c r="G31" s="14"/>
      <c r="H31" s="14"/>
      <c r="I31" s="15" t="str">
        <f>"34-UnfundedReserves, Line "&amp;'34-UnfundedReserves'!A9&amp;""</f>
        <v>34-UnfundedReserves, Line 6</v>
      </c>
      <c r="J31" s="14"/>
      <c r="K31" s="65">
        <f>'34-UnfundedReserves'!K9</f>
        <v>-10020873.76029706</v>
      </c>
    </row>
    <row r="32" spans="1:11">
      <c r="A32" s="120">
        <f>A30+1</f>
        <v>16</v>
      </c>
      <c r="B32" s="1005" t="s">
        <v>64</v>
      </c>
      <c r="C32" s="14"/>
      <c r="D32" s="14"/>
      <c r="E32" s="14"/>
      <c r="F32" s="14"/>
      <c r="G32" s="14"/>
      <c r="H32" s="14" t="s">
        <v>168</v>
      </c>
      <c r="I32" s="15" t="str">
        <f>"22-NUCs, Line "&amp;'22-NUCs'!A12&amp;""</f>
        <v>22-NUCs, Line 5</v>
      </c>
      <c r="J32" s="14"/>
      <c r="K32" s="65">
        <f>-'22-NUCs'!E12</f>
        <v>-93345104.709999993</v>
      </c>
    </row>
    <row r="33" spans="1:12">
      <c r="A33" s="120"/>
      <c r="B33" s="1005"/>
      <c r="C33" s="14"/>
      <c r="D33" s="14"/>
      <c r="E33" s="14"/>
      <c r="F33" s="14"/>
      <c r="G33" s="14"/>
      <c r="H33" s="14"/>
      <c r="I33" s="14"/>
      <c r="J33" s="14"/>
      <c r="K33" s="14"/>
    </row>
    <row r="34" spans="1:12">
      <c r="A34" s="120">
        <f>A32+1</f>
        <v>17</v>
      </c>
      <c r="B34" s="14" t="s">
        <v>192</v>
      </c>
      <c r="C34" s="14"/>
      <c r="D34" s="14"/>
      <c r="E34" s="14"/>
      <c r="F34" s="14"/>
      <c r="G34" s="14"/>
      <c r="H34" s="14"/>
      <c r="I34" s="15" t="str">
        <f>"L"&amp;A9&amp;" + L"&amp;A10&amp;" + L"&amp;A11&amp;" + L"&amp;A12&amp;" + L"&amp;A18&amp;" + L"&amp;A24&amp;" +"</f>
        <v>L1 + L2 + L3 + L4 + L8 + L12 +</v>
      </c>
      <c r="J34" s="14"/>
      <c r="K34" s="65">
        <f>K9+K10+K11+K12+K18+K24+K26+K28+K30+K31+K32</f>
        <v>5532653096.6008224</v>
      </c>
    </row>
    <row r="35" spans="1:12">
      <c r="A35" s="120"/>
      <c r="B35" s="14"/>
      <c r="C35" s="14"/>
      <c r="D35" s="14"/>
      <c r="E35" s="14"/>
      <c r="F35" s="14"/>
      <c r="G35" s="14"/>
      <c r="H35" s="14"/>
      <c r="I35" s="119" t="str">
        <f>"L"&amp;A26&amp;" + L"&amp;A28&amp;"+ L"&amp;A30&amp;"+ L"&amp;A31&amp;" + L"&amp;A32&amp;""</f>
        <v>L13 + L14+ L15+ L15a + L16</v>
      </c>
      <c r="J35" s="14"/>
      <c r="K35" s="65"/>
    </row>
    <row r="37" spans="1:12">
      <c r="A37" s="10" t="s">
        <v>277</v>
      </c>
      <c r="B37" s="11"/>
      <c r="C37" s="11"/>
      <c r="D37" s="11"/>
      <c r="E37" s="11"/>
      <c r="F37" s="11"/>
      <c r="G37" s="11"/>
      <c r="H37" s="9"/>
      <c r="I37" s="9"/>
      <c r="J37" s="9"/>
      <c r="K37" s="9"/>
    </row>
    <row r="39" spans="1:12">
      <c r="A39" s="2">
        <f>A34+1</f>
        <v>18</v>
      </c>
      <c r="B39" s="517" t="s">
        <v>2026</v>
      </c>
      <c r="C39" s="14"/>
      <c r="D39" s="14"/>
      <c r="H39" s="525" t="s">
        <v>2924</v>
      </c>
      <c r="I39" s="12" t="s">
        <v>552</v>
      </c>
      <c r="K39" s="6">
        <v>298376268</v>
      </c>
      <c r="L39" s="517"/>
    </row>
    <row r="40" spans="1:12">
      <c r="A40" s="2">
        <f>A39+1</f>
        <v>19</v>
      </c>
      <c r="B40" s="123" t="s">
        <v>66</v>
      </c>
      <c r="C40" s="14"/>
      <c r="D40" s="14"/>
      <c r="I40" s="15" t="str">
        <f>"27-Allocators, Line "&amp;'27-Allocators'!A28&amp;""</f>
        <v>27-Allocators, Line 22</v>
      </c>
      <c r="K40" s="8">
        <f>'27-Allocators'!G28</f>
        <v>0.19110914813082575</v>
      </c>
      <c r="L40" s="14"/>
    </row>
    <row r="41" spans="1:12">
      <c r="A41" s="2">
        <f>A40+1</f>
        <v>20</v>
      </c>
      <c r="B41" s="14" t="s">
        <v>70</v>
      </c>
      <c r="C41" s="14"/>
      <c r="D41" s="14"/>
      <c r="I41" s="15" t="str">
        <f>"Line "&amp;A39&amp;" * Line "&amp;A40&amp;""</f>
        <v>Line 18 * Line 19</v>
      </c>
      <c r="K41" s="7">
        <f>K39*K40</f>
        <v>57022434.399934962</v>
      </c>
      <c r="L41" s="14"/>
    </row>
    <row r="42" spans="1:12">
      <c r="A42" s="2" t="s">
        <v>359</v>
      </c>
      <c r="B42" s="14"/>
      <c r="C42" s="14"/>
      <c r="D42" s="14"/>
      <c r="H42" s="12"/>
      <c r="I42" s="14"/>
      <c r="K42" s="8"/>
      <c r="L42" s="14"/>
    </row>
    <row r="43" spans="1:12">
      <c r="A43" s="2">
        <f>A41+1</f>
        <v>21</v>
      </c>
      <c r="B43" s="15" t="s">
        <v>278</v>
      </c>
      <c r="C43" s="14"/>
      <c r="D43" s="14"/>
      <c r="I43" s="14"/>
      <c r="K43" s="8"/>
      <c r="L43" s="14"/>
    </row>
    <row r="44" spans="1:12">
      <c r="A44" s="2">
        <f t="shared" ref="A44:A56" si="0">A43+1</f>
        <v>22</v>
      </c>
      <c r="B44" s="123" t="s">
        <v>16</v>
      </c>
      <c r="C44" s="14"/>
      <c r="D44" s="14"/>
      <c r="E44" s="1"/>
      <c r="F44" s="1"/>
      <c r="G44" s="1"/>
      <c r="I44" s="15" t="str">
        <f>"Line "&amp;A45&amp;" + Line "&amp;A46&amp;"+ Line "&amp;A47&amp;""</f>
        <v>Line 23 + Line 24+ Line 25</v>
      </c>
      <c r="K44" s="65">
        <f>SUM(K45:K47)</f>
        <v>106921364</v>
      </c>
      <c r="L44" s="14"/>
    </row>
    <row r="45" spans="1:12">
      <c r="A45" s="2">
        <f t="shared" si="0"/>
        <v>23</v>
      </c>
      <c r="B45" s="398" t="s">
        <v>46</v>
      </c>
      <c r="C45" s="14"/>
      <c r="D45" s="14"/>
      <c r="E45" s="1"/>
      <c r="F45" s="1"/>
      <c r="G45" s="1"/>
      <c r="H45" s="1160" t="s">
        <v>2925</v>
      </c>
      <c r="I45" s="15" t="s">
        <v>553</v>
      </c>
      <c r="K45" s="6">
        <v>106811420</v>
      </c>
      <c r="L45" s="517"/>
    </row>
    <row r="46" spans="1:12">
      <c r="A46" s="2">
        <f t="shared" si="0"/>
        <v>24</v>
      </c>
      <c r="B46" s="398" t="s">
        <v>47</v>
      </c>
      <c r="C46" s="14"/>
      <c r="D46" s="14"/>
      <c r="E46" s="1"/>
      <c r="F46" s="1"/>
      <c r="G46" s="1"/>
      <c r="H46" s="1160" t="s">
        <v>2926</v>
      </c>
      <c r="I46" s="15" t="s">
        <v>553</v>
      </c>
      <c r="K46" s="6">
        <v>80115</v>
      </c>
      <c r="L46" s="517"/>
    </row>
    <row r="47" spans="1:12">
      <c r="A47" s="2">
        <f t="shared" si="0"/>
        <v>25</v>
      </c>
      <c r="B47" s="398" t="s">
        <v>48</v>
      </c>
      <c r="C47" s="14"/>
      <c r="D47" s="14"/>
      <c r="E47" s="1"/>
      <c r="F47" s="1"/>
      <c r="G47" s="1"/>
      <c r="H47" s="1160" t="s">
        <v>2927</v>
      </c>
      <c r="I47" s="15" t="s">
        <v>553</v>
      </c>
      <c r="K47" s="6">
        <v>29829</v>
      </c>
      <c r="L47" s="517"/>
    </row>
    <row r="48" spans="1:12">
      <c r="A48" s="2">
        <f t="shared" si="0"/>
        <v>26</v>
      </c>
      <c r="B48" s="514" t="s">
        <v>2027</v>
      </c>
      <c r="C48" s="14"/>
      <c r="D48" s="14"/>
      <c r="H48" s="1160" t="s">
        <v>2928</v>
      </c>
      <c r="I48" s="15" t="s">
        <v>553</v>
      </c>
      <c r="K48" s="6">
        <v>5909370</v>
      </c>
      <c r="L48" s="517"/>
    </row>
    <row r="49" spans="1:12">
      <c r="A49" s="2">
        <f t="shared" si="0"/>
        <v>27</v>
      </c>
      <c r="B49" s="123" t="s">
        <v>2028</v>
      </c>
      <c r="C49" s="14"/>
      <c r="D49" s="14"/>
      <c r="H49" s="1160" t="s">
        <v>2929</v>
      </c>
      <c r="I49" s="15" t="s">
        <v>553</v>
      </c>
      <c r="K49" s="6">
        <v>2620285</v>
      </c>
      <c r="L49" s="517"/>
    </row>
    <row r="50" spans="1:12">
      <c r="A50" s="607">
        <f t="shared" si="0"/>
        <v>28</v>
      </c>
      <c r="B50" s="123" t="s">
        <v>1839</v>
      </c>
      <c r="C50" s="14"/>
      <c r="D50" s="14"/>
      <c r="H50" s="1160" t="s">
        <v>2930</v>
      </c>
      <c r="I50" s="517" t="s">
        <v>1840</v>
      </c>
      <c r="K50" s="6">
        <v>1555582</v>
      </c>
      <c r="L50" s="517"/>
    </row>
    <row r="51" spans="1:12">
      <c r="A51" s="607">
        <f t="shared" si="0"/>
        <v>29</v>
      </c>
      <c r="B51" s="123" t="s">
        <v>2029</v>
      </c>
      <c r="C51" s="14"/>
      <c r="D51" s="14"/>
      <c r="H51" s="1160" t="s">
        <v>2931</v>
      </c>
      <c r="I51" s="517" t="s">
        <v>1840</v>
      </c>
      <c r="K51" s="6">
        <v>42940</v>
      </c>
      <c r="L51" s="517"/>
    </row>
    <row r="52" spans="1:12">
      <c r="A52" s="607">
        <f t="shared" si="0"/>
        <v>30</v>
      </c>
      <c r="B52" t="s">
        <v>71</v>
      </c>
      <c r="I52" s="15" t="str">
        <f>"Line "&amp;A44&amp;" + (Line "&amp;A48&amp;" to Line "&amp;A51&amp;")"</f>
        <v>Line 22 + (Line 26 to Line 29)</v>
      </c>
      <c r="K52" s="7">
        <f>K44+K48+K49+K50+K51</f>
        <v>117049541</v>
      </c>
    </row>
    <row r="53" spans="1:12">
      <c r="A53" s="607">
        <f t="shared" si="0"/>
        <v>31</v>
      </c>
      <c r="B53" s="517" t="s">
        <v>1841</v>
      </c>
      <c r="C53" s="14"/>
      <c r="D53" s="14"/>
      <c r="E53" s="14"/>
      <c r="F53" s="14"/>
      <c r="G53" s="14"/>
      <c r="H53" s="517"/>
      <c r="I53" s="517" t="str">
        <f>"26-TaxRates, Line "&amp;'26-TaxRates'!A57&amp;""</f>
        <v>26-TaxRates, Line 51</v>
      </c>
      <c r="K53" s="250">
        <f>'26-TaxRates'!F57</f>
        <v>46585717.318000004</v>
      </c>
    </row>
    <row r="54" spans="1:12">
      <c r="A54" s="607">
        <f t="shared" si="0"/>
        <v>32</v>
      </c>
      <c r="B54" s="14" t="s">
        <v>1485</v>
      </c>
      <c r="C54" s="14"/>
      <c r="D54" s="14"/>
      <c r="E54" s="14"/>
      <c r="F54" s="14"/>
      <c r="G54" s="14"/>
      <c r="I54" s="15" t="str">
        <f>"Line "&amp;A52&amp;" - Line "&amp;A53&amp;""</f>
        <v>Line 30 - Line 31</v>
      </c>
      <c r="K54" s="7">
        <f>K52-K53</f>
        <v>70463823.681999996</v>
      </c>
    </row>
    <row r="55" spans="1:12">
      <c r="A55" s="607">
        <f t="shared" si="0"/>
        <v>33</v>
      </c>
      <c r="B55" s="13" t="s">
        <v>104</v>
      </c>
      <c r="I55" s="15" t="str">
        <f>"27-Allocators, Line "&amp;'27-Allocators'!A15&amp;""</f>
        <v>27-Allocators, Line 9</v>
      </c>
      <c r="K55" s="8">
        <f>'27-Allocators'!G15</f>
        <v>5.6231891976617258E-2</v>
      </c>
    </row>
    <row r="56" spans="1:12">
      <c r="A56" s="607">
        <f t="shared" si="0"/>
        <v>34</v>
      </c>
      <c r="B56" s="52" t="s">
        <v>278</v>
      </c>
      <c r="I56" s="15" t="str">
        <f>"Line "&amp;A54&amp;" * Line "&amp;A55&amp;""</f>
        <v>Line 32 * Line 33</v>
      </c>
      <c r="K56" s="7">
        <f>K54*K55</f>
        <v>3962314.1215456286</v>
      </c>
    </row>
    <row r="57" spans="1:12">
      <c r="A57" s="2"/>
      <c r="K57" s="7"/>
    </row>
    <row r="58" spans="1:12">
      <c r="A58" s="2">
        <f>A56+1</f>
        <v>35</v>
      </c>
      <c r="B58" s="12" t="s">
        <v>89</v>
      </c>
      <c r="I58" s="12" t="str">
        <f>"Line "&amp;A41&amp;" + Line "&amp;A56&amp;""</f>
        <v>Line 20 + Line 34</v>
      </c>
      <c r="K58" s="7">
        <f>K41+K56</f>
        <v>60984748.52148059</v>
      </c>
    </row>
    <row r="60" spans="1:12">
      <c r="A60" s="10" t="s">
        <v>196</v>
      </c>
      <c r="B60" s="11"/>
      <c r="C60" s="11"/>
      <c r="D60" s="11"/>
      <c r="E60" s="11"/>
      <c r="F60" s="11"/>
      <c r="G60" s="11"/>
      <c r="H60" s="9"/>
      <c r="I60" s="9"/>
      <c r="J60" s="9"/>
      <c r="K60" s="9"/>
    </row>
    <row r="61" spans="1:12">
      <c r="A61" s="45"/>
      <c r="B61" s="15"/>
      <c r="C61" s="15"/>
      <c r="D61" s="15"/>
      <c r="E61" s="15"/>
      <c r="F61" s="15"/>
      <c r="G61" s="15"/>
      <c r="H61" s="15"/>
      <c r="I61" s="15"/>
      <c r="J61" s="15"/>
      <c r="K61" s="15"/>
    </row>
    <row r="62" spans="1:12">
      <c r="A62" s="115"/>
      <c r="B62" s="46" t="s">
        <v>26</v>
      </c>
      <c r="C62" s="15"/>
      <c r="D62" s="15"/>
      <c r="E62" s="15"/>
      <c r="F62" s="15"/>
      <c r="G62" s="15"/>
      <c r="H62" s="15"/>
      <c r="I62" s="15"/>
      <c r="J62" s="15"/>
      <c r="K62" s="15"/>
    </row>
    <row r="63" spans="1:12">
      <c r="A63" s="120">
        <f>A58+1</f>
        <v>36</v>
      </c>
      <c r="B63" s="15" t="s">
        <v>228</v>
      </c>
      <c r="C63" s="15"/>
      <c r="D63" s="15"/>
      <c r="E63" s="15"/>
      <c r="F63" s="15"/>
      <c r="G63" s="15"/>
      <c r="H63" s="15"/>
      <c r="I63" s="15" t="str">
        <f>"5-ROR-1, Line "&amp;'5-ROR-1'!A16&amp;""</f>
        <v>5-ROR-1, Line 8</v>
      </c>
      <c r="J63" s="15"/>
      <c r="K63" s="48">
        <f>'5-ROR-1'!L16</f>
        <v>11068242563.252308</v>
      </c>
    </row>
    <row r="64" spans="1:12">
      <c r="A64" s="2">
        <f>A63+1</f>
        <v>37</v>
      </c>
      <c r="B64" s="15" t="s">
        <v>279</v>
      </c>
      <c r="C64" s="15"/>
      <c r="D64" s="15"/>
      <c r="E64" s="15"/>
      <c r="F64" s="15"/>
      <c r="G64" s="15"/>
      <c r="H64" s="15"/>
      <c r="I64" s="15" t="str">
        <f>"5-ROR-1, Line "&amp;'5-ROR-1'!A27&amp;""</f>
        <v>5-ROR-1, Line 16</v>
      </c>
      <c r="J64" s="15"/>
      <c r="K64" s="48">
        <f>'5-ROR-1'!L27</f>
        <v>514972726</v>
      </c>
    </row>
    <row r="65" spans="1:11">
      <c r="A65" s="2">
        <f>A64+1</f>
        <v>38</v>
      </c>
      <c r="B65" s="15" t="s">
        <v>280</v>
      </c>
      <c r="C65" s="15"/>
      <c r="D65" s="15"/>
      <c r="E65" s="15"/>
      <c r="F65" s="15"/>
      <c r="G65" s="15"/>
      <c r="I65" s="15" t="str">
        <f>"5-ROR-1, Line "&amp;'5-ROR-1'!A29&amp;""</f>
        <v>5-ROR-1, Line 17</v>
      </c>
      <c r="J65" s="15"/>
      <c r="K65" s="49">
        <f>'5-ROR-1'!L29</f>
        <v>4.6527054593993256E-2</v>
      </c>
    </row>
    <row r="66" spans="1:11">
      <c r="A66" s="120"/>
      <c r="B66" s="15"/>
      <c r="C66" s="15"/>
      <c r="D66" s="15"/>
      <c r="E66" s="15"/>
      <c r="F66" s="15"/>
      <c r="G66" s="15"/>
      <c r="I66" s="15"/>
      <c r="J66" s="15"/>
      <c r="K66" s="49"/>
    </row>
    <row r="67" spans="1:11">
      <c r="A67" s="120"/>
      <c r="B67" s="46" t="s">
        <v>27</v>
      </c>
      <c r="C67" s="15"/>
      <c r="D67" s="15"/>
      <c r="E67" s="15"/>
      <c r="F67" s="15"/>
      <c r="G67" s="15"/>
      <c r="H67" s="15"/>
      <c r="I67" s="15"/>
      <c r="J67" s="15"/>
      <c r="K67" s="15"/>
    </row>
    <row r="68" spans="1:11">
      <c r="A68" s="120">
        <f>A65+1</f>
        <v>39</v>
      </c>
      <c r="B68" s="517" t="s">
        <v>56</v>
      </c>
      <c r="C68" s="15"/>
      <c r="D68" s="15"/>
      <c r="E68" s="15"/>
      <c r="F68" s="15"/>
      <c r="G68" s="15"/>
      <c r="H68" s="15"/>
      <c r="I68" s="15" t="str">
        <f>"5-ROR-1, Line "&amp;'5-ROR-1'!A35&amp;""</f>
        <v>5-ROR-1, Line 21</v>
      </c>
      <c r="J68" s="15"/>
      <c r="K68" s="48">
        <f>'5-ROR-1'!L35</f>
        <v>2224620928.7883053</v>
      </c>
    </row>
    <row r="69" spans="1:11">
      <c r="A69" s="2">
        <f>A68+1</f>
        <v>40</v>
      </c>
      <c r="B69" s="517" t="s">
        <v>25</v>
      </c>
      <c r="C69" s="15"/>
      <c r="D69" s="15"/>
      <c r="E69" s="15"/>
      <c r="F69" s="15"/>
      <c r="G69" s="15"/>
      <c r="H69" s="15"/>
      <c r="I69" s="15" t="str">
        <f>"5-ROR-1, Line "&amp;'5-ROR-1'!A41&amp;""</f>
        <v>5-ROR-1, Line 25</v>
      </c>
      <c r="J69" s="15"/>
      <c r="K69" s="48">
        <f>'5-ROR-1'!L41</f>
        <v>128084089.15304649</v>
      </c>
    </row>
    <row r="70" spans="1:11">
      <c r="A70" s="2">
        <f>A69+1</f>
        <v>41</v>
      </c>
      <c r="B70" s="517" t="s">
        <v>52</v>
      </c>
      <c r="C70" s="15"/>
      <c r="D70" s="15"/>
      <c r="E70" s="15"/>
      <c r="F70" s="15"/>
      <c r="G70" s="15"/>
      <c r="I70" s="15" t="str">
        <f>"5-ROR-1, Line "&amp;'5-ROR-1'!A43&amp;""</f>
        <v>5-ROR-1, Line 26</v>
      </c>
      <c r="J70" s="15"/>
      <c r="K70" s="49">
        <f>'5-ROR-1'!L43</f>
        <v>5.7575691883295664E-2</v>
      </c>
    </row>
    <row r="71" spans="1:11">
      <c r="A71" s="120"/>
      <c r="B71" s="15"/>
      <c r="C71" s="15"/>
      <c r="D71" s="15"/>
      <c r="E71" s="15"/>
      <c r="F71" s="15"/>
      <c r="G71" s="15"/>
      <c r="I71" s="15"/>
      <c r="J71" s="15"/>
      <c r="K71" s="49"/>
    </row>
    <row r="72" spans="1:11">
      <c r="A72" s="120"/>
      <c r="B72" s="46" t="s">
        <v>28</v>
      </c>
      <c r="C72" s="15"/>
      <c r="D72" s="15"/>
      <c r="E72" s="15"/>
      <c r="F72" s="15"/>
      <c r="G72" s="15"/>
      <c r="H72" s="15"/>
      <c r="I72" s="15"/>
      <c r="J72" s="15"/>
      <c r="K72" s="15"/>
    </row>
    <row r="73" spans="1:11">
      <c r="A73" s="120">
        <f>A70+1</f>
        <v>42</v>
      </c>
      <c r="B73" s="15" t="s">
        <v>53</v>
      </c>
      <c r="C73" s="15"/>
      <c r="D73" s="15"/>
      <c r="E73" s="15"/>
      <c r="F73" s="15"/>
      <c r="G73" s="15"/>
      <c r="H73" s="15"/>
      <c r="I73" s="15" t="str">
        <f>"5-ROR-1, Line "&amp;'5-ROR-1'!A51&amp;""</f>
        <v>5-ROR-1, Line 32</v>
      </c>
      <c r="J73" s="15"/>
      <c r="K73" s="48">
        <f>'5-ROR-1'!L51</f>
        <v>12575222879.990946</v>
      </c>
    </row>
    <row r="74" spans="1:11">
      <c r="A74" s="120"/>
      <c r="B74" s="15"/>
      <c r="C74" s="15"/>
      <c r="D74" s="15"/>
      <c r="E74" s="15"/>
      <c r="F74" s="15"/>
      <c r="G74" s="15"/>
      <c r="H74" s="15"/>
      <c r="I74" s="66"/>
      <c r="J74" s="15"/>
      <c r="K74" s="15"/>
    </row>
    <row r="75" spans="1:11">
      <c r="A75" s="2">
        <f>A73+1</f>
        <v>43</v>
      </c>
      <c r="B75" s="15" t="s">
        <v>55</v>
      </c>
      <c r="C75" s="15"/>
      <c r="D75" s="15"/>
      <c r="E75" s="15"/>
      <c r="F75" s="15"/>
      <c r="G75" s="15"/>
      <c r="H75" s="15"/>
      <c r="I75" s="12" t="str">
        <f>"Line "&amp;A63&amp;" + Line "&amp;A68&amp;" + Line "&amp;A73&amp;""</f>
        <v>Line 36 + Line 39 + Line 42</v>
      </c>
      <c r="J75" s="15"/>
      <c r="K75" s="48">
        <f>K63+K68+K73</f>
        <v>25868086372.031559</v>
      </c>
    </row>
    <row r="76" spans="1:11">
      <c r="A76" s="120"/>
      <c r="B76" s="47"/>
      <c r="C76" s="15"/>
      <c r="D76" s="15"/>
      <c r="E76" s="15"/>
      <c r="F76" s="15"/>
      <c r="G76" s="15"/>
      <c r="I76" s="15"/>
      <c r="J76" s="15"/>
      <c r="K76" s="48"/>
    </row>
    <row r="77" spans="1:11">
      <c r="A77" s="120"/>
      <c r="B77" s="46" t="s">
        <v>57</v>
      </c>
      <c r="C77" s="15"/>
      <c r="D77" s="15"/>
      <c r="E77" s="15"/>
      <c r="F77" s="15"/>
      <c r="G77" s="15"/>
      <c r="H77" s="15"/>
      <c r="I77" s="15"/>
      <c r="J77" s="15"/>
      <c r="K77" s="15"/>
    </row>
    <row r="78" spans="1:11">
      <c r="A78" s="120">
        <f>A75+1</f>
        <v>44</v>
      </c>
      <c r="B78" s="15" t="s">
        <v>281</v>
      </c>
      <c r="C78" s="15"/>
      <c r="D78" s="15"/>
      <c r="E78" s="15"/>
      <c r="F78" s="15"/>
      <c r="G78" s="15"/>
      <c r="H78" s="15"/>
      <c r="I78" s="12" t="str">
        <f>"Line "&amp;A63&amp;" / Line "&amp;A75&amp;""</f>
        <v>Line 36 / Line 43</v>
      </c>
      <c r="J78" s="15"/>
      <c r="K78" s="49">
        <f>K63/K75</f>
        <v>0.42787249138070121</v>
      </c>
    </row>
    <row r="79" spans="1:11">
      <c r="A79" s="2">
        <f>A78+1</f>
        <v>45</v>
      </c>
      <c r="B79" s="517" t="s">
        <v>282</v>
      </c>
      <c r="C79" s="15"/>
      <c r="D79" s="15"/>
      <c r="E79" s="15"/>
      <c r="F79" s="15"/>
      <c r="G79" s="15"/>
      <c r="H79" s="15"/>
      <c r="I79" s="12" t="str">
        <f>"Line "&amp;A68&amp;" / Line "&amp;A75&amp;""</f>
        <v>Line 39 / Line 43</v>
      </c>
      <c r="J79" s="15"/>
      <c r="K79" s="49">
        <f>K68/K75</f>
        <v>8.5998666340992042E-2</v>
      </c>
    </row>
    <row r="80" spans="1:11">
      <c r="A80" s="2">
        <f>A79+1</f>
        <v>46</v>
      </c>
      <c r="B80" s="15" t="s">
        <v>58</v>
      </c>
      <c r="C80" s="15"/>
      <c r="D80" s="15"/>
      <c r="E80" s="15"/>
      <c r="F80" s="15"/>
      <c r="G80" s="15"/>
      <c r="H80" s="15"/>
      <c r="I80" s="12" t="str">
        <f>"Line "&amp;A73&amp;" / Line "&amp;A75&amp;""</f>
        <v>Line 42 / Line 43</v>
      </c>
      <c r="J80" s="15"/>
      <c r="K80" s="50">
        <f>K73/K75</f>
        <v>0.48612884227830672</v>
      </c>
    </row>
    <row r="81" spans="1:11">
      <c r="A81" s="120"/>
      <c r="B81" s="15"/>
      <c r="C81" s="15"/>
      <c r="D81" s="15"/>
      <c r="E81" s="15"/>
      <c r="F81" s="15"/>
      <c r="G81" s="15"/>
      <c r="H81" s="15"/>
      <c r="I81" s="12" t="str">
        <f>"Line "&amp;A78&amp;" + Line "&amp;A79&amp;"+ Line "&amp;A80&amp;""</f>
        <v>Line 44 + Line 45+ Line 46</v>
      </c>
      <c r="J81" s="15"/>
      <c r="K81" s="49">
        <f>SUM(K78:K80)</f>
        <v>1</v>
      </c>
    </row>
    <row r="82" spans="1:11">
      <c r="A82" s="120"/>
      <c r="B82" s="46" t="s">
        <v>244</v>
      </c>
      <c r="C82" s="15"/>
      <c r="D82" s="15"/>
      <c r="E82" s="15"/>
      <c r="F82" s="15"/>
      <c r="G82" s="15"/>
      <c r="H82" s="15"/>
      <c r="I82" s="15"/>
      <c r="J82" s="15"/>
      <c r="K82" s="49"/>
    </row>
    <row r="83" spans="1:11">
      <c r="A83" s="120">
        <f>A80+1</f>
        <v>47</v>
      </c>
      <c r="B83" s="15" t="s">
        <v>280</v>
      </c>
      <c r="C83" s="15"/>
      <c r="D83" s="15"/>
      <c r="E83" s="15"/>
      <c r="F83" s="15"/>
      <c r="G83" s="15"/>
      <c r="I83" s="12" t="str">
        <f>"Line "&amp;A65&amp;""</f>
        <v>Line 38</v>
      </c>
      <c r="J83" s="15"/>
      <c r="K83" s="49">
        <f>K65</f>
        <v>4.6527054593993256E-2</v>
      </c>
    </row>
    <row r="84" spans="1:11">
      <c r="A84" s="2">
        <f>A83+1</f>
        <v>48</v>
      </c>
      <c r="B84" s="517" t="s">
        <v>52</v>
      </c>
      <c r="C84" s="15"/>
      <c r="D84" s="15"/>
      <c r="E84" s="15"/>
      <c r="F84" s="15"/>
      <c r="G84" s="15"/>
      <c r="I84" s="12" t="str">
        <f>"Line "&amp;A70&amp;""</f>
        <v>Line 41</v>
      </c>
      <c r="J84" s="15"/>
      <c r="K84" s="49">
        <f>K70</f>
        <v>5.7575691883295664E-2</v>
      </c>
    </row>
    <row r="85" spans="1:11">
      <c r="A85" s="2">
        <f>A84+1</f>
        <v>49</v>
      </c>
      <c r="B85" s="517" t="s">
        <v>1951</v>
      </c>
      <c r="C85" s="15"/>
      <c r="D85" s="15"/>
      <c r="E85" s="15"/>
      <c r="F85" s="15"/>
      <c r="G85" s="15"/>
      <c r="H85" s="12" t="s">
        <v>392</v>
      </c>
      <c r="I85" s="15" t="s">
        <v>237</v>
      </c>
      <c r="J85" s="15"/>
      <c r="K85" s="1118">
        <v>9.8000000000000004E-2</v>
      </c>
    </row>
    <row r="86" spans="1:11">
      <c r="A86" s="120"/>
      <c r="B86" s="15"/>
      <c r="C86" s="15"/>
      <c r="D86" s="15"/>
      <c r="E86" s="15"/>
      <c r="F86" s="15"/>
      <c r="G86" s="15"/>
      <c r="I86" s="75"/>
      <c r="J86" s="15"/>
      <c r="K86" s="49"/>
    </row>
    <row r="87" spans="1:11">
      <c r="A87" s="120"/>
      <c r="B87" s="46" t="s">
        <v>285</v>
      </c>
      <c r="C87" s="15"/>
      <c r="D87" s="15"/>
      <c r="E87" s="15"/>
      <c r="F87" s="15"/>
      <c r="G87" s="15"/>
      <c r="H87" s="15"/>
      <c r="I87" s="15"/>
      <c r="J87" s="15"/>
      <c r="K87" s="15"/>
    </row>
    <row r="88" spans="1:11">
      <c r="A88" s="120">
        <f>A85+1</f>
        <v>50</v>
      </c>
      <c r="B88" s="15" t="s">
        <v>59</v>
      </c>
      <c r="C88" s="15"/>
      <c r="D88" s="15"/>
      <c r="E88" s="15"/>
      <c r="F88" s="15"/>
      <c r="G88" s="15"/>
      <c r="I88" s="12" t="str">
        <f>"Line "&amp;A65&amp;" * Line "&amp;A78&amp;""</f>
        <v>Line 38 * Line 44</v>
      </c>
      <c r="J88" s="15"/>
      <c r="K88" s="49">
        <f>K65*K78</f>
        <v>1.9907646765737794E-2</v>
      </c>
    </row>
    <row r="89" spans="1:11">
      <c r="A89" s="2">
        <f>A88+1</f>
        <v>51</v>
      </c>
      <c r="B89" s="517" t="s">
        <v>60</v>
      </c>
      <c r="C89" s="15"/>
      <c r="D89" s="15"/>
      <c r="E89" s="15"/>
      <c r="F89" s="15"/>
      <c r="G89" s="15"/>
      <c r="I89" s="12" t="str">
        <f>"Line "&amp;A70&amp;" * Line "&amp;A79&amp;""</f>
        <v>Line 41 * Line 45</v>
      </c>
      <c r="J89" s="15"/>
      <c r="K89" s="49">
        <f>K70*K79</f>
        <v>4.9514327156233075E-3</v>
      </c>
    </row>
    <row r="90" spans="1:11">
      <c r="A90" s="2">
        <f>A89+1</f>
        <v>52</v>
      </c>
      <c r="B90" s="15" t="s">
        <v>61</v>
      </c>
      <c r="C90" s="15"/>
      <c r="D90" s="15"/>
      <c r="E90" s="15"/>
      <c r="F90" s="15"/>
      <c r="G90" s="15"/>
      <c r="I90" s="12" t="str">
        <f>"Line "&amp;A80&amp;" * Line "&amp;A85&amp;""</f>
        <v>Line 46 * Line 49</v>
      </c>
      <c r="J90" s="15"/>
      <c r="K90" s="50">
        <f>K80*K85</f>
        <v>4.7640626543274063E-2</v>
      </c>
    </row>
    <row r="91" spans="1:11">
      <c r="A91" s="2">
        <f>A90+1</f>
        <v>53</v>
      </c>
      <c r="B91" s="47" t="s">
        <v>62</v>
      </c>
      <c r="C91" s="15"/>
      <c r="D91" s="15"/>
      <c r="E91" s="15"/>
      <c r="F91" s="15"/>
      <c r="G91" s="15"/>
      <c r="I91" s="12" t="str">
        <f>"Line "&amp;A88&amp;" + Line "&amp;A89&amp;" + Line "&amp;A90&amp;""</f>
        <v>Line 50 + Line 51 + Line 52</v>
      </c>
      <c r="J91" s="15"/>
      <c r="K91" s="49">
        <f>SUM(K88:K90)</f>
        <v>7.2499706024635166E-2</v>
      </c>
    </row>
    <row r="92" spans="1:11">
      <c r="A92" s="120"/>
      <c r="B92" s="47"/>
      <c r="C92" s="15"/>
      <c r="D92" s="15"/>
      <c r="E92" s="15"/>
      <c r="F92" s="15"/>
      <c r="G92" s="15"/>
      <c r="I92" s="15"/>
      <c r="J92" s="15"/>
      <c r="K92" s="49"/>
    </row>
    <row r="93" spans="1:11">
      <c r="A93" s="2">
        <f>A91+1</f>
        <v>54</v>
      </c>
      <c r="B93" s="1007" t="s">
        <v>1952</v>
      </c>
      <c r="C93" s="15"/>
      <c r="D93" s="15"/>
      <c r="E93" s="15"/>
      <c r="F93" s="15"/>
      <c r="G93" s="15"/>
      <c r="H93" s="15" t="s">
        <v>239</v>
      </c>
      <c r="I93" s="12" t="str">
        <f>"Line "&amp;A89&amp;" + Line "&amp;A90&amp;""</f>
        <v>Line 51 + Line 52</v>
      </c>
      <c r="J93" s="15"/>
      <c r="K93" s="49">
        <f>K89+K90</f>
        <v>5.2592059258897372E-2</v>
      </c>
    </row>
    <row r="94" spans="1:11">
      <c r="A94" s="120"/>
      <c r="B94" s="15"/>
      <c r="C94" s="15"/>
      <c r="D94" s="15"/>
      <c r="E94" s="15"/>
      <c r="F94" s="15"/>
      <c r="G94" s="15"/>
      <c r="I94" s="15"/>
      <c r="J94" s="15"/>
      <c r="K94" s="49"/>
    </row>
    <row r="95" spans="1:11">
      <c r="A95" s="2">
        <f>A93+1</f>
        <v>55</v>
      </c>
      <c r="B95" s="15" t="s">
        <v>63</v>
      </c>
      <c r="C95" s="15"/>
      <c r="D95" s="15"/>
      <c r="E95" s="15"/>
      <c r="F95" s="15"/>
      <c r="G95" s="15"/>
      <c r="I95" s="12" t="str">
        <f>"Line "&amp;A34&amp;" * Line "&amp;A91&amp;""</f>
        <v>Line 17 * Line 53</v>
      </c>
      <c r="J95" s="15"/>
      <c r="K95" s="48">
        <f>K34*K91</f>
        <v>401115723.03984708</v>
      </c>
    </row>
    <row r="96" spans="1:11">
      <c r="A96" s="94"/>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197</v>
      </c>
      <c r="B98" s="11"/>
      <c r="C98" s="11"/>
      <c r="D98" s="11"/>
      <c r="E98" s="11"/>
      <c r="F98" s="11"/>
      <c r="G98" s="11"/>
      <c r="H98" s="9"/>
      <c r="I98" s="9"/>
      <c r="J98" s="9"/>
      <c r="K98" s="9"/>
    </row>
    <row r="100" spans="1:11">
      <c r="A100" s="120">
        <f>A95+1</f>
        <v>56</v>
      </c>
      <c r="B100" t="s">
        <v>238</v>
      </c>
      <c r="I100" s="14" t="str">
        <f>"26-Tax Rates, Line "&amp;'26-TaxRates'!A7&amp;""</f>
        <v>26-Tax Rates, Line 1</v>
      </c>
      <c r="K100" s="72">
        <f>'26-TaxRates'!D7</f>
        <v>0.35</v>
      </c>
    </row>
    <row r="101" spans="1:11">
      <c r="A101" s="2">
        <f>A100+1</f>
        <v>57</v>
      </c>
      <c r="B101" s="12" t="s">
        <v>284</v>
      </c>
      <c r="I101" s="14" t="str">
        <f>"26-Tax Rates, Line "&amp;'26-TaxRates'!A14&amp;""</f>
        <v>26-Tax Rates, Line 8</v>
      </c>
      <c r="K101" s="72">
        <f>'26-TaxRates'!D14</f>
        <v>8.8400000000000006E-2</v>
      </c>
    </row>
    <row r="102" spans="1:11">
      <c r="A102" s="2">
        <f>A101+1</f>
        <v>58</v>
      </c>
      <c r="B102" s="12" t="s">
        <v>283</v>
      </c>
      <c r="H102" s="54" t="s">
        <v>1855</v>
      </c>
      <c r="I102" s="12" t="str">
        <f>"(L"&amp;A100&amp;" + L"&amp;A101&amp;") - (L"&amp;A100&amp;" * L"&amp;A101&amp;")"</f>
        <v>(L56 + L57) - (L56 * L57)</v>
      </c>
      <c r="K102" s="8">
        <f>(K100+K101)-(K100*K101)</f>
        <v>0.40745999999999999</v>
      </c>
    </row>
    <row r="103" spans="1:11">
      <c r="A103" s="2"/>
      <c r="K103" s="8"/>
    </row>
    <row r="104" spans="1:11">
      <c r="A104" s="2"/>
      <c r="B104" s="82" t="s">
        <v>286</v>
      </c>
      <c r="K104" s="8"/>
    </row>
    <row r="105" spans="1:11">
      <c r="A105" s="120">
        <f>A102+1</f>
        <v>59</v>
      </c>
      <c r="B105" s="602" t="s">
        <v>2157</v>
      </c>
      <c r="C105" s="14"/>
      <c r="D105" s="14"/>
      <c r="E105" s="14"/>
      <c r="F105" s="14"/>
      <c r="G105" s="14"/>
      <c r="H105" s="12" t="s">
        <v>393</v>
      </c>
      <c r="I105" s="14"/>
      <c r="K105" s="65">
        <v>200</v>
      </c>
    </row>
    <row r="106" spans="1:11">
      <c r="A106" s="2">
        <f>A105+1</f>
        <v>60</v>
      </c>
      <c r="B106" s="602" t="s">
        <v>2158</v>
      </c>
      <c r="C106" s="14"/>
      <c r="D106" s="14"/>
      <c r="E106" s="14"/>
      <c r="F106" s="14"/>
      <c r="G106" s="14"/>
      <c r="H106" s="12" t="s">
        <v>393</v>
      </c>
      <c r="I106" s="14"/>
      <c r="K106" s="65">
        <v>-520000</v>
      </c>
    </row>
    <row r="107" spans="1:11">
      <c r="A107" s="2">
        <f>A106+1</f>
        <v>61</v>
      </c>
      <c r="B107" s="602" t="s">
        <v>2159</v>
      </c>
      <c r="C107" s="14"/>
      <c r="D107" s="14"/>
      <c r="E107" s="14"/>
      <c r="F107" s="14"/>
      <c r="G107" s="14"/>
      <c r="H107" s="12" t="s">
        <v>393</v>
      </c>
      <c r="I107" s="14"/>
      <c r="K107" s="121">
        <v>2606000</v>
      </c>
    </row>
    <row r="108" spans="1:11">
      <c r="A108" s="635">
        <f>A107+1</f>
        <v>62</v>
      </c>
      <c r="B108" s="13" t="s">
        <v>287</v>
      </c>
      <c r="I108" s="515" t="str">
        <f>"Line "&amp;A105&amp;" + Line "&amp;A106&amp;"+ Line "&amp;A107&amp;""</f>
        <v>Line 59 + Line 60+ Line 61</v>
      </c>
      <c r="K108" s="65">
        <f>SUM(K105:K107)</f>
        <v>2086200</v>
      </c>
    </row>
    <row r="109" spans="1:11">
      <c r="A109" s="120"/>
    </row>
    <row r="110" spans="1:11">
      <c r="A110" s="120">
        <f>A108+1</f>
        <v>63</v>
      </c>
      <c r="B110" s="12" t="s">
        <v>288</v>
      </c>
      <c r="I110" t="str">
        <f>"Formula on Line "&amp;A112&amp;""</f>
        <v>Formula on Line 64</v>
      </c>
      <c r="K110" s="65">
        <f>(((K34*K93) + K119)*(K102/(1-K102)))+(K108/(1-K102))</f>
        <v>206039913.45695734</v>
      </c>
    </row>
    <row r="111" spans="1:11">
      <c r="A111" s="120"/>
    </row>
    <row r="112" spans="1:11">
      <c r="A112" s="120">
        <f>A110+1</f>
        <v>64</v>
      </c>
      <c r="B112" s="517" t="s">
        <v>2667</v>
      </c>
      <c r="C112" s="517"/>
      <c r="D112" s="517"/>
      <c r="E112" s="517"/>
      <c r="F112" s="517"/>
      <c r="G112" s="517"/>
    </row>
    <row r="113" spans="1:11">
      <c r="A113" s="63"/>
      <c r="I113" s="12"/>
    </row>
    <row r="114" spans="1:11">
      <c r="A114" s="63"/>
      <c r="C114" t="s">
        <v>240</v>
      </c>
    </row>
    <row r="115" spans="1:11">
      <c r="A115" s="63"/>
      <c r="C115" s="123" t="s">
        <v>241</v>
      </c>
      <c r="D115" s="14"/>
      <c r="E115" s="14"/>
      <c r="F115" s="14"/>
      <c r="G115" s="14"/>
      <c r="H115" s="14"/>
      <c r="I115" s="15" t="str">
        <f>"Line "&amp;A34&amp;""</f>
        <v>Line 17</v>
      </c>
    </row>
    <row r="116" spans="1:11">
      <c r="A116" s="63"/>
      <c r="C116" s="514" t="s">
        <v>1953</v>
      </c>
      <c r="D116" s="14"/>
      <c r="E116" s="14"/>
      <c r="F116" s="14"/>
      <c r="G116" s="14"/>
      <c r="H116" s="14"/>
      <c r="I116" s="15" t="str">
        <f>"Line "&amp;A93&amp;""</f>
        <v>Line 54</v>
      </c>
    </row>
    <row r="117" spans="1:11">
      <c r="A117" s="63"/>
      <c r="C117" s="123" t="s">
        <v>242</v>
      </c>
      <c r="D117" s="14"/>
      <c r="E117" s="14"/>
      <c r="F117" s="14"/>
      <c r="G117" s="14"/>
      <c r="H117" s="14"/>
      <c r="I117" s="15" t="str">
        <f>"Line "&amp;A102&amp;""</f>
        <v>Line 58</v>
      </c>
    </row>
    <row r="118" spans="1:11">
      <c r="A118" s="63"/>
      <c r="C118" s="123" t="s">
        <v>243</v>
      </c>
      <c r="D118" s="14"/>
      <c r="E118" s="14"/>
      <c r="F118" s="14"/>
      <c r="G118" s="14"/>
      <c r="H118" s="14"/>
      <c r="I118" s="15" t="str">
        <f>"Line "&amp;A108&amp;""</f>
        <v>Line 62</v>
      </c>
    </row>
    <row r="119" spans="1:11">
      <c r="A119" s="538"/>
      <c r="C119" s="123" t="s">
        <v>1950</v>
      </c>
      <c r="D119" s="14"/>
      <c r="E119" s="14"/>
      <c r="F119" s="14"/>
      <c r="G119" s="14"/>
      <c r="H119" s="14"/>
      <c r="I119" s="14" t="s">
        <v>33</v>
      </c>
      <c r="K119" s="553">
        <v>3535511</v>
      </c>
    </row>
    <row r="121" spans="1:11">
      <c r="A121" s="10" t="s">
        <v>72</v>
      </c>
      <c r="B121" s="11"/>
      <c r="C121" s="11"/>
      <c r="D121" s="11"/>
      <c r="E121" s="11"/>
      <c r="F121" s="11"/>
      <c r="G121" s="11"/>
      <c r="H121" s="9"/>
      <c r="I121" s="9"/>
      <c r="J121" s="9"/>
      <c r="K121" s="9"/>
    </row>
    <row r="123" spans="1:11">
      <c r="B123" s="82" t="s">
        <v>289</v>
      </c>
    </row>
    <row r="124" spans="1:11">
      <c r="A124" s="120">
        <f>A112+1</f>
        <v>65</v>
      </c>
      <c r="B124" t="s">
        <v>112</v>
      </c>
      <c r="H124" s="16"/>
      <c r="I124" s="14" t="str">
        <f>"19-OandM, Line "&amp;'19-OandM'!A170&amp;", Col. 6"</f>
        <v>19-OandM, Line 137, Col. 6</v>
      </c>
      <c r="K124" s="65">
        <f>'19-OandM'!G170</f>
        <v>78494545.217356786</v>
      </c>
    </row>
    <row r="125" spans="1:11">
      <c r="A125" s="120">
        <f t="shared" ref="A125:A139" si="1">A124+1</f>
        <v>66</v>
      </c>
      <c r="B125" s="12" t="s">
        <v>290</v>
      </c>
      <c r="H125" s="16"/>
      <c r="I125" s="14" t="str">
        <f>"20-AandG, Line "&amp;'20-AandG'!A30&amp;""</f>
        <v>20-AandG, Line 23</v>
      </c>
      <c r="K125" s="65">
        <f>'20-AandG'!F30</f>
        <v>46430177.474536479</v>
      </c>
    </row>
    <row r="126" spans="1:11">
      <c r="A126" s="120">
        <f t="shared" si="1"/>
        <v>67</v>
      </c>
      <c r="B126" t="s">
        <v>65</v>
      </c>
      <c r="H126" s="16"/>
      <c r="I126" s="15" t="str">
        <f>"22-NUCs, Line "&amp;'22-NUCs'!A19&amp;""</f>
        <v>22-NUCs, Line 10</v>
      </c>
      <c r="K126" s="7">
        <f>'22-NUCs'!E19</f>
        <v>6116850.9299999997</v>
      </c>
    </row>
    <row r="127" spans="1:11">
      <c r="A127" s="120">
        <f t="shared" si="1"/>
        <v>68</v>
      </c>
      <c r="B127" s="12" t="s">
        <v>276</v>
      </c>
      <c r="H127" s="16"/>
      <c r="I127" s="14" t="str">
        <f>"17-Depreciation, Line "&amp;'17-Depreciation'!A95&amp;""</f>
        <v>17-Depreciation, Line 70</v>
      </c>
      <c r="K127" s="7">
        <f>'17-Depreciation'!F95</f>
        <v>239554986.6705533</v>
      </c>
    </row>
    <row r="128" spans="1:11">
      <c r="A128" s="120">
        <f t="shared" si="1"/>
        <v>69</v>
      </c>
      <c r="B128" s="12" t="s">
        <v>322</v>
      </c>
      <c r="H128" s="16"/>
      <c r="I128" s="14" t="str">
        <f>"12-AbandonedPlant, Line "&amp;'12-AbandonedPlant'!A18&amp;""</f>
        <v>12-AbandonedPlant, Line 1</v>
      </c>
      <c r="K128" s="7">
        <f>'12-AbandonedPlant'!G18</f>
        <v>0</v>
      </c>
    </row>
    <row r="129" spans="1:11">
      <c r="A129" s="120">
        <f t="shared" si="1"/>
        <v>70</v>
      </c>
      <c r="B129" s="12" t="s">
        <v>89</v>
      </c>
      <c r="H129" s="16"/>
      <c r="I129" s="14" t="str">
        <f>"Line "&amp;A58&amp;""</f>
        <v>Line 35</v>
      </c>
      <c r="K129" s="7">
        <f>K58</f>
        <v>60984748.52148059</v>
      </c>
    </row>
    <row r="130" spans="1:11">
      <c r="A130" s="120">
        <f t="shared" si="1"/>
        <v>71</v>
      </c>
      <c r="B130" t="s">
        <v>11</v>
      </c>
      <c r="H130" s="47" t="s">
        <v>168</v>
      </c>
      <c r="I130" s="14" t="str">
        <f>"21-Revenue Credits, Line "&amp;'21-RevenueCredits'!A236&amp;""</f>
        <v>21-Revenue Credits, Line 44</v>
      </c>
      <c r="K130" s="7">
        <f>-'21-RevenueCredits'!E236</f>
        <v>-58832605.54180719</v>
      </c>
    </row>
    <row r="131" spans="1:11">
      <c r="A131" s="120">
        <f t="shared" si="1"/>
        <v>72</v>
      </c>
      <c r="B131" t="s">
        <v>97</v>
      </c>
      <c r="H131" s="16"/>
      <c r="I131" s="14" t="str">
        <f>"Line "&amp;A95&amp;""</f>
        <v>Line 55</v>
      </c>
      <c r="K131" s="7">
        <f>K95</f>
        <v>401115723.03984708</v>
      </c>
    </row>
    <row r="132" spans="1:11">
      <c r="A132" s="120">
        <f t="shared" si="1"/>
        <v>73</v>
      </c>
      <c r="B132" t="s">
        <v>5</v>
      </c>
      <c r="H132" s="16"/>
      <c r="I132" s="14" t="str">
        <f>"Line "&amp;A110&amp;""</f>
        <v>Line 63</v>
      </c>
      <c r="K132" s="110">
        <f>K110</f>
        <v>206039913.45695734</v>
      </c>
    </row>
    <row r="133" spans="1:11">
      <c r="A133" s="120">
        <f t="shared" si="1"/>
        <v>74</v>
      </c>
      <c r="B133" t="s">
        <v>1037</v>
      </c>
      <c r="H133" s="13" t="s">
        <v>1273</v>
      </c>
      <c r="I133" s="15" t="str">
        <f>"11-PHFU, Line "&amp;'11-PHFU'!A46&amp;""</f>
        <v>11-PHFU, Line 10</v>
      </c>
      <c r="K133" s="48">
        <f>-'11-PHFU'!E46</f>
        <v>0</v>
      </c>
    </row>
    <row r="134" spans="1:11">
      <c r="A134" s="120">
        <f t="shared" si="1"/>
        <v>75</v>
      </c>
      <c r="B134" s="651" t="s">
        <v>1936</v>
      </c>
      <c r="C134" s="775"/>
      <c r="D134" s="14"/>
      <c r="E134" s="14"/>
      <c r="H134" s="16"/>
      <c r="I134" s="15" t="str">
        <f>"23-RegAssets, Line "&amp;'23-RegAssets'!A19&amp;""</f>
        <v>23-RegAssets, Line 16</v>
      </c>
      <c r="K134" s="48">
        <f>'23-RegAssets'!E19</f>
        <v>0</v>
      </c>
    </row>
    <row r="135" spans="1:11">
      <c r="A135" s="120">
        <f t="shared" si="1"/>
        <v>76</v>
      </c>
      <c r="B135" s="12" t="s">
        <v>291</v>
      </c>
      <c r="H135" s="16"/>
      <c r="I135" s="14" t="str">
        <f>"15-IncentiveAdder, Line "&amp;'15-IncentiveAdder'!A44&amp;""</f>
        <v>15-IncentiveAdder, Line 14</v>
      </c>
      <c r="K135" s="98">
        <f>'15-IncentiveAdder'!G44</f>
        <v>34550170.821931869</v>
      </c>
    </row>
    <row r="136" spans="1:11">
      <c r="A136" s="120">
        <f t="shared" si="1"/>
        <v>77</v>
      </c>
      <c r="B136" s="12" t="s">
        <v>1616</v>
      </c>
      <c r="H136" s="16"/>
      <c r="I136" s="14" t="str">
        <f>"Sum of Lines "&amp;A124&amp;" to "&amp;A135&amp;""</f>
        <v>Sum of Lines 65 to 76</v>
      </c>
      <c r="K136" s="7">
        <f>SUM(K124:K135)</f>
        <v>1014454510.5908563</v>
      </c>
    </row>
    <row r="137" spans="1:11">
      <c r="A137" s="120"/>
      <c r="B137" s="12"/>
      <c r="H137" s="16"/>
      <c r="I137" s="14"/>
      <c r="K137" s="7"/>
    </row>
    <row r="138" spans="1:11">
      <c r="A138" s="120">
        <f>A136+1</f>
        <v>78</v>
      </c>
      <c r="B138" s="12" t="s">
        <v>316</v>
      </c>
      <c r="I138" s="14" t="str">
        <f>"L "&amp;A136&amp;" * FF Factor (28-FFU, L "&amp;'28-FFU'!A22&amp;")"</f>
        <v>L 77 * FF Factor (28-FFU, L 5)</v>
      </c>
      <c r="J138" s="14"/>
      <c r="K138" s="7">
        <f>'28-FFU'!D22*K136</f>
        <v>9338763.8881462459</v>
      </c>
    </row>
    <row r="139" spans="1:11">
      <c r="A139" s="120">
        <f t="shared" si="1"/>
        <v>79</v>
      </c>
      <c r="B139" s="12" t="s">
        <v>315</v>
      </c>
      <c r="I139" s="14" t="str">
        <f>"L "&amp;A136&amp;" * U Factor (28-FFU, L "&amp;'28-FFU'!A22&amp;")"</f>
        <v>L 77 * U Factor (28-FFU, L 5)</v>
      </c>
      <c r="J139" s="14"/>
      <c r="K139" s="7">
        <f>'28-FFU'!E22*K136</f>
        <v>2442400.679698546</v>
      </c>
    </row>
    <row r="140" spans="1:11">
      <c r="A140" s="120"/>
      <c r="B140" s="12"/>
      <c r="K140" s="7"/>
    </row>
    <row r="141" spans="1:11">
      <c r="A141" s="120">
        <f>A139+1</f>
        <v>80</v>
      </c>
      <c r="B141" s="12" t="s">
        <v>106</v>
      </c>
      <c r="I141" t="str">
        <f>"Line "&amp;A136&amp;" + Line "&amp;A138&amp;"+ Line "&amp;A139&amp;""</f>
        <v>Line 77 + Line 78+ Line 79</v>
      </c>
      <c r="K141" s="7">
        <f>K136+K138+K139</f>
        <v>1026235675.1587012</v>
      </c>
    </row>
    <row r="143" spans="1:11">
      <c r="A143" s="10" t="s">
        <v>292</v>
      </c>
      <c r="B143" s="11"/>
      <c r="C143" s="11"/>
      <c r="D143" s="11"/>
      <c r="E143" s="11"/>
      <c r="F143" s="11"/>
      <c r="G143" s="11"/>
      <c r="H143" s="9"/>
      <c r="I143" s="9"/>
      <c r="J143" s="9"/>
      <c r="K143" s="9"/>
    </row>
    <row r="145" spans="1:11">
      <c r="B145" s="82" t="s">
        <v>1844</v>
      </c>
    </row>
    <row r="146" spans="1:11">
      <c r="A146" s="120">
        <f>A141+1</f>
        <v>81</v>
      </c>
      <c r="B146" t="s">
        <v>106</v>
      </c>
      <c r="I146" t="str">
        <f>"Line "&amp;A141&amp;""</f>
        <v>Line 80</v>
      </c>
      <c r="K146" s="7">
        <f>K141</f>
        <v>1026235675.1587012</v>
      </c>
    </row>
    <row r="147" spans="1:11">
      <c r="A147" s="120">
        <f>A146+1</f>
        <v>82</v>
      </c>
      <c r="B147" t="s">
        <v>349</v>
      </c>
      <c r="I147" s="15" t="str">
        <f>"2-IFPTRR, Line "&amp;'2-IFPTRR'!A91&amp;""</f>
        <v>2-IFPTRR, Line 82</v>
      </c>
      <c r="K147" s="7">
        <f>'2-IFPTRR'!D91</f>
        <v>100660990.75655727</v>
      </c>
    </row>
    <row r="148" spans="1:11">
      <c r="A148" s="120">
        <f>A147+1</f>
        <v>83</v>
      </c>
      <c r="B148" s="12" t="s">
        <v>29</v>
      </c>
      <c r="H148" s="12" t="s">
        <v>1280</v>
      </c>
      <c r="I148" s="15" t="str">
        <f>"3-TrueUpAdjust, Line "&amp;'3-TrueUpAdjust'!A75&amp;""</f>
        <v>3-TrueUpAdjust, Line 62</v>
      </c>
      <c r="K148" s="110">
        <f>IF(E149="Yes",0,'3-TrueUpAdjust'!E75)</f>
        <v>59638033.681000389</v>
      </c>
    </row>
    <row r="149" spans="1:11">
      <c r="A149" s="120">
        <f t="shared" ref="A149:A150" si="2">A148+1</f>
        <v>84</v>
      </c>
      <c r="B149" s="12"/>
      <c r="D149" s="101" t="s">
        <v>1328</v>
      </c>
      <c r="E149" s="525" t="s">
        <v>248</v>
      </c>
      <c r="F149" s="12" t="s">
        <v>1329</v>
      </c>
      <c r="I149" s="15"/>
      <c r="K149" s="110"/>
    </row>
    <row r="150" spans="1:11">
      <c r="A150" s="120">
        <f t="shared" si="2"/>
        <v>85</v>
      </c>
      <c r="B150" s="517" t="s">
        <v>2260</v>
      </c>
      <c r="C150" s="14"/>
      <c r="H150" s="12" t="s">
        <v>1295</v>
      </c>
      <c r="I150" s="14"/>
      <c r="K150" s="129">
        <v>0</v>
      </c>
    </row>
    <row r="151" spans="1:11">
      <c r="A151" s="120"/>
      <c r="I151" s="14"/>
      <c r="K151" s="7"/>
    </row>
    <row r="152" spans="1:11">
      <c r="A152" s="120">
        <f>A150+1</f>
        <v>86</v>
      </c>
      <c r="B152" s="515" t="s">
        <v>1842</v>
      </c>
      <c r="H152" s="12" t="s">
        <v>293</v>
      </c>
      <c r="I152" s="14" t="str">
        <f>"L "&amp;A146&amp;" + L "&amp;A147&amp;" + L "&amp;A148&amp;" + L "&amp;A150&amp;""</f>
        <v>L 81 + L 82 + L 83 + L 85</v>
      </c>
      <c r="K152" s="7">
        <f>K146+K147+K148+K150</f>
        <v>1186534699.5962589</v>
      </c>
    </row>
    <row r="153" spans="1:11">
      <c r="A153" s="120"/>
      <c r="I153" s="14"/>
      <c r="K153" s="7"/>
    </row>
    <row r="154" spans="1:11">
      <c r="A154" s="120"/>
      <c r="B154" s="82" t="s">
        <v>1843</v>
      </c>
      <c r="I154" s="14"/>
      <c r="K154" s="7"/>
    </row>
    <row r="155" spans="1:11">
      <c r="A155" s="120">
        <f>A152+1</f>
        <v>87</v>
      </c>
      <c r="B155" t="s">
        <v>1539</v>
      </c>
      <c r="I155" s="14" t="str">
        <f>"Line "&amp;A152&amp;""</f>
        <v>Line 86</v>
      </c>
      <c r="K155" s="7">
        <f>K152</f>
        <v>1186534699.5962589</v>
      </c>
    </row>
    <row r="156" spans="1:11">
      <c r="A156" s="120">
        <f>A155+1</f>
        <v>88</v>
      </c>
      <c r="B156" t="s">
        <v>1538</v>
      </c>
      <c r="I156" s="15" t="str">
        <f>"25-WholesaleDifference, Line "&amp;'25-WholesaleDifference'!A92&amp;""</f>
        <v>25-WholesaleDifference, Line 44</v>
      </c>
      <c r="K156" s="98">
        <f>'25-WholesaleDifference'!H92</f>
        <v>-6023550.3537282236</v>
      </c>
    </row>
    <row r="157" spans="1:11">
      <c r="A157" s="120">
        <f>A156+1</f>
        <v>89</v>
      </c>
      <c r="B157" t="s">
        <v>1843</v>
      </c>
      <c r="I157" t="str">
        <f>"Line "&amp;A155&amp;" + Line "&amp;A156&amp;""</f>
        <v>Line 87 + Line 88</v>
      </c>
      <c r="K157" s="7">
        <f>K155+K156</f>
        <v>1180511149.2425306</v>
      </c>
    </row>
    <row r="158" spans="1:11">
      <c r="A158" s="14"/>
      <c r="H158" s="12"/>
    </row>
    <row r="160" spans="1:11">
      <c r="B160" s="53" t="s">
        <v>256</v>
      </c>
    </row>
    <row r="161" spans="2:11">
      <c r="B161" s="517" t="s">
        <v>2691</v>
      </c>
      <c r="C161" s="14"/>
      <c r="D161" s="14"/>
      <c r="E161" s="14"/>
      <c r="F161" s="14"/>
      <c r="G161" s="14"/>
      <c r="H161" s="14"/>
      <c r="I161" s="14"/>
      <c r="J161" s="14"/>
      <c r="K161" s="14"/>
    </row>
    <row r="162" spans="2:11">
      <c r="B162" s="515" t="s">
        <v>1861</v>
      </c>
    </row>
    <row r="163" spans="2:11">
      <c r="B163" s="517" t="s">
        <v>2149</v>
      </c>
      <c r="C163" s="14"/>
      <c r="D163" s="14"/>
      <c r="E163" s="14"/>
      <c r="F163" s="14"/>
      <c r="G163" s="14"/>
      <c r="H163" s="14"/>
      <c r="I163" s="14"/>
      <c r="J163" s="14"/>
      <c r="K163" s="14"/>
    </row>
    <row r="164" spans="2:11">
      <c r="B164" s="517"/>
      <c r="C164" s="14" t="s">
        <v>2148</v>
      </c>
      <c r="D164" s="14"/>
      <c r="E164" s="14"/>
      <c r="F164" s="104"/>
      <c r="G164" s="104"/>
      <c r="H164" s="104"/>
      <c r="I164" s="14"/>
      <c r="J164" s="14"/>
      <c r="K164" s="14"/>
    </row>
    <row r="165" spans="2:11">
      <c r="B165" s="515" t="s">
        <v>2160</v>
      </c>
      <c r="C165" s="14"/>
      <c r="D165" s="14"/>
      <c r="E165" s="14"/>
      <c r="F165" s="14"/>
      <c r="G165" s="14"/>
      <c r="H165" s="14"/>
      <c r="I165" s="14"/>
    </row>
    <row r="166" spans="2:11">
      <c r="B166" s="12" t="s">
        <v>1600</v>
      </c>
    </row>
    <row r="167" spans="2:11">
      <c r="B167" s="517" t="s">
        <v>2663</v>
      </c>
    </row>
  </sheetData>
  <phoneticPr fontId="23" type="noConversion"/>
  <pageMargins left="0.75" right="0.75" top="1" bottom="1" header="0.5" footer="0.5"/>
  <pageSetup scale="68" orientation="portrait" cellComments="asDisplayed" r:id="rId1"/>
  <headerFooter alignWithMargins="0">
    <oddHeader>&amp;CSchedule 1
Base TRR
&amp;RTO2019 Draft Annual Update
Attachment 5
TO13 True Up TRR</oddHeader>
    <oddFooter>&amp;R&amp;A</oddFooter>
  </headerFooter>
  <rowBreaks count="2" manualBreakCount="2">
    <brk id="59" max="16383" man="1"/>
    <brk id="120" max="16383"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1177</v>
      </c>
    </row>
    <row r="2" spans="1:6">
      <c r="A2" s="1"/>
    </row>
    <row r="3" spans="1:6">
      <c r="B3" s="12" t="s">
        <v>451</v>
      </c>
    </row>
    <row r="4" spans="1:6">
      <c r="A4" s="1"/>
      <c r="B4" s="13" t="s">
        <v>371</v>
      </c>
    </row>
    <row r="5" spans="1:6">
      <c r="A5" s="1"/>
      <c r="B5" s="13" t="s">
        <v>372</v>
      </c>
    </row>
    <row r="7" spans="1:6">
      <c r="B7" s="1" t="s">
        <v>1090</v>
      </c>
    </row>
    <row r="8" spans="1:6">
      <c r="E8" s="16"/>
    </row>
    <row r="9" spans="1:6">
      <c r="A9" s="53" t="s">
        <v>360</v>
      </c>
      <c r="B9" s="76" t="s">
        <v>1176</v>
      </c>
    </row>
    <row r="10" spans="1:6">
      <c r="A10" s="2">
        <v>1</v>
      </c>
    </row>
    <row r="11" spans="1:6">
      <c r="A11" s="2">
        <f>A10+1</f>
        <v>2</v>
      </c>
      <c r="B11" s="397" t="s">
        <v>1606</v>
      </c>
      <c r="C11" s="14"/>
      <c r="D11" s="14"/>
      <c r="E11" s="14"/>
      <c r="F11" s="14"/>
    </row>
    <row r="12" spans="1:6">
      <c r="A12" s="2">
        <f t="shared" ref="A12:A87" si="0">A11+1</f>
        <v>3</v>
      </c>
      <c r="B12" s="397" t="s">
        <v>1136</v>
      </c>
      <c r="C12" s="14"/>
      <c r="D12" s="14"/>
      <c r="E12" s="14"/>
      <c r="F12" s="14"/>
    </row>
    <row r="13" spans="1:6">
      <c r="A13" s="2">
        <f t="shared" si="0"/>
        <v>4</v>
      </c>
      <c r="B13" s="397"/>
      <c r="C13" s="14"/>
      <c r="D13" s="14"/>
      <c r="E13" s="14"/>
      <c r="F13" s="14"/>
    </row>
    <row r="14" spans="1:6">
      <c r="A14" s="2">
        <f t="shared" si="0"/>
        <v>5</v>
      </c>
      <c r="B14" s="1011" t="s">
        <v>2692</v>
      </c>
      <c r="C14" s="14"/>
      <c r="D14" s="14"/>
      <c r="E14" s="14"/>
      <c r="F14" s="14"/>
    </row>
    <row r="15" spans="1:6">
      <c r="A15" s="2">
        <f t="shared" si="0"/>
        <v>6</v>
      </c>
      <c r="B15" s="398"/>
      <c r="C15" s="14"/>
      <c r="D15" s="14"/>
      <c r="E15" s="14"/>
      <c r="F15" s="14"/>
    </row>
    <row r="16" spans="1:6">
      <c r="A16" s="2">
        <f t="shared" si="0"/>
        <v>7</v>
      </c>
      <c r="B16" s="397" t="s">
        <v>396</v>
      </c>
      <c r="C16" s="14"/>
      <c r="D16" s="14"/>
      <c r="E16" s="14"/>
      <c r="F16" s="395"/>
    </row>
    <row r="17" spans="1:6">
      <c r="A17" s="2">
        <f t="shared" si="0"/>
        <v>8</v>
      </c>
      <c r="B17" s="399" t="s">
        <v>1132</v>
      </c>
      <c r="C17" s="14"/>
      <c r="D17" s="14"/>
      <c r="E17" s="14"/>
      <c r="F17" s="72"/>
    </row>
    <row r="18" spans="1:6">
      <c r="A18" s="2">
        <f t="shared" si="0"/>
        <v>9</v>
      </c>
      <c r="B18" s="399" t="s">
        <v>1133</v>
      </c>
      <c r="C18" s="14"/>
      <c r="D18" s="14"/>
      <c r="E18" s="14"/>
      <c r="F18" s="72"/>
    </row>
    <row r="19" spans="1:6">
      <c r="A19" s="2">
        <f t="shared" si="0"/>
        <v>10</v>
      </c>
      <c r="B19" s="399" t="s">
        <v>242</v>
      </c>
      <c r="C19" s="14"/>
      <c r="D19" s="14"/>
      <c r="E19" s="385"/>
      <c r="F19" s="65"/>
    </row>
    <row r="20" spans="1:6">
      <c r="A20" s="2">
        <f t="shared" si="0"/>
        <v>11</v>
      </c>
      <c r="B20" s="45"/>
      <c r="C20" s="14"/>
      <c r="D20" s="385"/>
      <c r="E20" s="134" t="s">
        <v>224</v>
      </c>
      <c r="F20" s="14"/>
    </row>
    <row r="21" spans="1:6">
      <c r="A21" s="2">
        <f t="shared" si="0"/>
        <v>12</v>
      </c>
      <c r="C21" s="385" t="s">
        <v>1191</v>
      </c>
      <c r="D21" s="396">
        <f>'1-BaseTRR'!K88</f>
        <v>1.9907646765737794E-2</v>
      </c>
      <c r="E21" s="47" t="str">
        <f>"1-BaseTRR, Line "&amp;'1-BaseTRR'!A88&amp;""</f>
        <v>1-BaseTRR, Line 50</v>
      </c>
      <c r="F21" s="14"/>
    </row>
    <row r="22" spans="1:6">
      <c r="A22" s="2">
        <f t="shared" si="0"/>
        <v>13</v>
      </c>
      <c r="C22" s="385" t="s">
        <v>1192</v>
      </c>
      <c r="D22" s="396">
        <f>'1-BaseTRR'!K93</f>
        <v>5.2592059258897372E-2</v>
      </c>
      <c r="E22" s="47" t="str">
        <f>"1-BaseTRR, Line "&amp;'1-BaseTRR'!A93&amp;""</f>
        <v>1-BaseTRR, Line 54</v>
      </c>
      <c r="F22" s="14"/>
    </row>
    <row r="23" spans="1:6">
      <c r="A23" s="2">
        <f t="shared" si="0"/>
        <v>14</v>
      </c>
      <c r="C23" s="385" t="s">
        <v>1135</v>
      </c>
      <c r="D23" s="396">
        <f>'1-BaseTRR'!K102</f>
        <v>0.40745999999999999</v>
      </c>
      <c r="E23" s="47" t="str">
        <f>"1-BaseTRR, Line "&amp;'1-BaseTRR'!A102&amp;""</f>
        <v>1-BaseTRR, Line 58</v>
      </c>
      <c r="F23" s="14"/>
    </row>
    <row r="24" spans="1:6">
      <c r="A24" s="2">
        <f t="shared" si="0"/>
        <v>15</v>
      </c>
      <c r="B24" s="15"/>
      <c r="C24" s="14"/>
      <c r="D24" s="396"/>
      <c r="E24" s="47"/>
      <c r="F24" s="14"/>
    </row>
    <row r="25" spans="1:6">
      <c r="A25" s="2">
        <f t="shared" si="0"/>
        <v>16</v>
      </c>
      <c r="C25" s="385" t="s">
        <v>1134</v>
      </c>
      <c r="D25" s="396">
        <f>D21 + (D22*(1/(1-D23)))</f>
        <v>0.10866462394685193</v>
      </c>
      <c r="E25" s="47" t="str">
        <f>"Line "&amp;A21&amp;" + (Line "&amp;A22&amp;" * (1/(1 - Line "&amp;A23&amp;")))"</f>
        <v>Line 12 + (Line 13 * (1/(1 - Line 14)))</v>
      </c>
      <c r="F25" s="14"/>
    </row>
    <row r="26" spans="1:6">
      <c r="A26" s="2">
        <f t="shared" si="0"/>
        <v>17</v>
      </c>
      <c r="B26" s="15"/>
      <c r="C26" s="14"/>
      <c r="D26" s="385"/>
      <c r="E26" s="47"/>
      <c r="F26" s="14"/>
    </row>
    <row r="27" spans="1:6">
      <c r="A27" s="2">
        <f t="shared" si="0"/>
        <v>18</v>
      </c>
      <c r="B27" s="76" t="s">
        <v>1088</v>
      </c>
      <c r="C27" s="14"/>
      <c r="D27" s="385"/>
      <c r="E27" s="47"/>
      <c r="F27" s="14"/>
    </row>
    <row r="28" spans="1:6">
      <c r="A28" s="2">
        <f t="shared" si="0"/>
        <v>19</v>
      </c>
      <c r="B28" s="15"/>
      <c r="C28" s="14"/>
      <c r="D28" s="385"/>
      <c r="E28" s="47"/>
      <c r="F28" s="14"/>
    </row>
    <row r="29" spans="1:6">
      <c r="A29" s="2">
        <f t="shared" si="0"/>
        <v>20</v>
      </c>
      <c r="B29" s="397" t="s">
        <v>1193</v>
      </c>
      <c r="C29" s="14"/>
      <c r="D29" s="385"/>
      <c r="E29" s="47"/>
      <c r="F29" s="14"/>
    </row>
    <row r="30" spans="1:6">
      <c r="A30" s="2">
        <f t="shared" si="0"/>
        <v>21</v>
      </c>
      <c r="B30" s="397" t="s">
        <v>1194</v>
      </c>
      <c r="C30" s="14"/>
      <c r="D30" s="385"/>
      <c r="E30" s="47"/>
      <c r="F30" s="14"/>
    </row>
    <row r="31" spans="1:6">
      <c r="A31" s="2">
        <f t="shared" si="0"/>
        <v>22</v>
      </c>
      <c r="C31" s="14"/>
      <c r="D31" s="385"/>
      <c r="E31" s="47"/>
      <c r="F31" s="14"/>
    </row>
    <row r="32" spans="1:6">
      <c r="A32" s="2">
        <f t="shared" si="0"/>
        <v>23</v>
      </c>
      <c r="B32" s="399" t="s">
        <v>1137</v>
      </c>
      <c r="C32" s="14"/>
      <c r="D32" s="385"/>
      <c r="E32" s="47"/>
      <c r="F32" s="14"/>
    </row>
    <row r="33" spans="1:11">
      <c r="A33" s="2">
        <f t="shared" si="0"/>
        <v>24</v>
      </c>
      <c r="F33" s="14"/>
    </row>
    <row r="34" spans="1:11">
      <c r="A34" s="2">
        <f t="shared" si="0"/>
        <v>25</v>
      </c>
      <c r="B34" s="76" t="s">
        <v>1175</v>
      </c>
      <c r="F34" s="14"/>
    </row>
    <row r="35" spans="1:11">
      <c r="A35" s="2">
        <f t="shared" si="0"/>
        <v>26</v>
      </c>
      <c r="B35" s="12"/>
      <c r="E35" s="3" t="s">
        <v>224</v>
      </c>
      <c r="F35" s="14"/>
    </row>
    <row r="36" spans="1:11">
      <c r="A36" s="2">
        <f t="shared" si="0"/>
        <v>27</v>
      </c>
      <c r="C36" s="101" t="s">
        <v>1143</v>
      </c>
      <c r="D36" s="110">
        <f>'6-PlantInService'!M23</f>
        <v>8573445553.3305378</v>
      </c>
      <c r="E36" s="47" t="str">
        <f>"6-PlantInService, Line "&amp;'6-PlantInService'!A23&amp;""</f>
        <v>6-PlantInService, Line 13</v>
      </c>
      <c r="F36" s="14"/>
      <c r="G36" s="14"/>
    </row>
    <row r="37" spans="1:11">
      <c r="A37" s="2">
        <f t="shared" si="0"/>
        <v>28</v>
      </c>
      <c r="C37" s="101" t="s">
        <v>1144</v>
      </c>
      <c r="D37" s="110">
        <f>'6-PlantInService'!F35</f>
        <v>0</v>
      </c>
      <c r="E37" s="47" t="str">
        <f>"6-PlantInService, Line "&amp;'6-PlantInService'!A35&amp;""</f>
        <v>6-PlantInService, Line 16</v>
      </c>
      <c r="F37" s="14"/>
      <c r="G37" s="14"/>
    </row>
    <row r="38" spans="1:11">
      <c r="A38" s="2">
        <f t="shared" si="0"/>
        <v>29</v>
      </c>
      <c r="C38" s="101" t="s">
        <v>1173</v>
      </c>
      <c r="D38" s="110">
        <f>'8-AccDep'!N24</f>
        <v>1633677099.9487538</v>
      </c>
      <c r="E38" s="47" t="str">
        <f>"8-AccDep, Line "&amp;'8-AccDep'!A24&amp;""</f>
        <v>8-AccDep, Line 13</v>
      </c>
      <c r="F38" s="14"/>
      <c r="G38" s="14"/>
    </row>
    <row r="39" spans="1:11">
      <c r="A39" s="2">
        <f t="shared" si="0"/>
        <v>30</v>
      </c>
      <c r="C39" s="101" t="s">
        <v>1174</v>
      </c>
      <c r="D39" s="98">
        <f>'8-AccDep'!G34</f>
        <v>0</v>
      </c>
      <c r="E39" s="47" t="str">
        <f>"8-AccDep, Line "&amp;'8-AccDep'!A34&amp;""</f>
        <v>8-AccDep, Line 16</v>
      </c>
      <c r="F39" s="14"/>
      <c r="G39" s="14"/>
    </row>
    <row r="40" spans="1:11">
      <c r="A40" s="2">
        <f t="shared" si="0"/>
        <v>31</v>
      </c>
      <c r="C40" s="101" t="s">
        <v>1089</v>
      </c>
      <c r="D40" s="7">
        <f>(D36+D37)-(D38+D39)</f>
        <v>6939768453.3817844</v>
      </c>
      <c r="E40" s="47" t="str">
        <f>"(L"&amp;A36&amp;" + L"&amp;A37&amp;") - (L"&amp;A38&amp;" + L"&amp;A39&amp;")"</f>
        <v>(L27 + L28) - (L29 + L30)</v>
      </c>
      <c r="F40" s="14"/>
      <c r="G40" s="14"/>
    </row>
    <row r="41" spans="1:11">
      <c r="A41" s="2">
        <f t="shared" si="0"/>
        <v>32</v>
      </c>
      <c r="C41" s="101"/>
      <c r="D41" s="7"/>
      <c r="E41" s="47"/>
      <c r="F41" s="14"/>
      <c r="G41" s="14"/>
    </row>
    <row r="42" spans="1:11">
      <c r="A42" s="2">
        <f t="shared" si="0"/>
        <v>33</v>
      </c>
      <c r="B42" s="76" t="s">
        <v>1586</v>
      </c>
      <c r="E42" s="14"/>
      <c r="F42" s="14"/>
      <c r="G42" s="14"/>
    </row>
    <row r="43" spans="1:11">
      <c r="A43" s="501">
        <f t="shared" si="0"/>
        <v>34</v>
      </c>
      <c r="B43" s="76"/>
      <c r="E43" s="14"/>
      <c r="F43" s="14"/>
      <c r="G43" s="14"/>
    </row>
    <row r="44" spans="1:11">
      <c r="A44" s="501">
        <f t="shared" si="0"/>
        <v>35</v>
      </c>
      <c r="B44" s="76" t="s">
        <v>1587</v>
      </c>
      <c r="E44" s="14"/>
      <c r="F44" s="14"/>
      <c r="G44" s="14"/>
    </row>
    <row r="45" spans="1:11">
      <c r="A45" s="501">
        <f t="shared" si="0"/>
        <v>36</v>
      </c>
      <c r="B45" s="57" t="s">
        <v>1588</v>
      </c>
      <c r="E45" s="14"/>
      <c r="F45" s="14"/>
      <c r="G45" s="14"/>
    </row>
    <row r="46" spans="1:11">
      <c r="A46" s="501">
        <f t="shared" si="0"/>
        <v>37</v>
      </c>
      <c r="B46" s="76"/>
      <c r="C46" s="101" t="s">
        <v>1607</v>
      </c>
      <c r="D46" s="110">
        <f>'10-CWIP'!D25</f>
        <v>150629631.90000001</v>
      </c>
      <c r="E46" s="47" t="str">
        <f>"10-CWIP, L "&amp;'10-CWIP'!A25&amp;" C1"</f>
        <v>10-CWIP, L 13 C1</v>
      </c>
      <c r="F46" s="14"/>
      <c r="G46" s="14"/>
      <c r="K46" s="7"/>
    </row>
    <row r="47" spans="1:11">
      <c r="A47" s="501">
        <f t="shared" si="0"/>
        <v>38</v>
      </c>
      <c r="B47" s="76"/>
      <c r="C47" s="101" t="s">
        <v>384</v>
      </c>
      <c r="D47" s="135">
        <f>D25</f>
        <v>0.10866462394685193</v>
      </c>
      <c r="E47" s="47" t="str">
        <f>"Line "&amp;A25&amp;""</f>
        <v>Line 16</v>
      </c>
      <c r="F47" s="14"/>
      <c r="G47" s="14"/>
      <c r="K47" s="7"/>
    </row>
    <row r="48" spans="1:11">
      <c r="A48" s="501">
        <f t="shared" si="0"/>
        <v>39</v>
      </c>
      <c r="B48" s="76"/>
      <c r="C48" s="101" t="s">
        <v>1581</v>
      </c>
      <c r="D48" s="110">
        <f>D46*D47</f>
        <v>16368112.305666232</v>
      </c>
      <c r="E48" s="47" t="str">
        <f>"Line "&amp;A46&amp;" * Line "&amp;A47&amp;""</f>
        <v>Line 37 * Line 38</v>
      </c>
      <c r="F48" s="14"/>
      <c r="G48" s="14"/>
      <c r="K48" s="7"/>
    </row>
    <row r="49" spans="1:11">
      <c r="A49" s="501">
        <f t="shared" si="0"/>
        <v>40</v>
      </c>
      <c r="B49" s="76"/>
      <c r="C49" s="101"/>
      <c r="D49" s="110"/>
      <c r="E49" s="47"/>
      <c r="F49" s="14"/>
      <c r="G49" s="14"/>
      <c r="K49" s="7"/>
    </row>
    <row r="50" spans="1:11">
      <c r="A50" s="501">
        <f t="shared" si="0"/>
        <v>41</v>
      </c>
      <c r="B50" s="57" t="s">
        <v>1589</v>
      </c>
      <c r="E50" s="14"/>
      <c r="F50" s="14"/>
      <c r="G50" s="14"/>
      <c r="K50" s="7"/>
    </row>
    <row r="51" spans="1:11">
      <c r="A51" s="501">
        <f t="shared" si="0"/>
        <v>42</v>
      </c>
      <c r="B51" s="76"/>
      <c r="C51" s="101" t="s">
        <v>1595</v>
      </c>
      <c r="D51" s="110">
        <f>'15-IncentiveAdder'!G17</f>
        <v>8204.1523319658863</v>
      </c>
      <c r="E51" s="123" t="str">
        <f>"15-IncentiveAdder, Line "&amp;'15-IncentiveAdder'!A17&amp;""</f>
        <v>15-IncentiveAdder, Line 3</v>
      </c>
      <c r="F51" s="14"/>
      <c r="G51" s="14"/>
      <c r="K51" s="7"/>
    </row>
    <row r="52" spans="1:11">
      <c r="A52" s="501">
        <f t="shared" si="0"/>
        <v>43</v>
      </c>
      <c r="B52" s="76"/>
      <c r="C52" s="101"/>
      <c r="E52" s="14"/>
      <c r="F52" s="14"/>
      <c r="G52" s="14"/>
      <c r="K52" s="7"/>
    </row>
    <row r="53" spans="1:11">
      <c r="A53" s="501">
        <f t="shared" si="0"/>
        <v>44</v>
      </c>
      <c r="B53" s="76"/>
      <c r="C53" s="101" t="s">
        <v>1568</v>
      </c>
      <c r="D53" s="7">
        <f>'10-CWIP'!E25</f>
        <v>150976.49</v>
      </c>
      <c r="E53" s="47" t="str">
        <f>"10-CWIP, Line "&amp;'10-CWIP'!A25&amp;""</f>
        <v>10-CWIP, Line 13</v>
      </c>
      <c r="F53" s="15"/>
      <c r="G53" s="14"/>
      <c r="K53" s="7"/>
    </row>
    <row r="54" spans="1:11">
      <c r="A54" s="501">
        <f t="shared" si="0"/>
        <v>45</v>
      </c>
      <c r="B54" s="76"/>
      <c r="C54" s="101" t="s">
        <v>1592</v>
      </c>
      <c r="D54" s="43">
        <f>'15-IncentiveAdder'!E26</f>
        <v>1.2500000000000001E-2</v>
      </c>
      <c r="E54" s="123" t="str">
        <f>"15-IncentiveAdder, Line "&amp;'15-IncentiveAdder'!A26&amp;""</f>
        <v>15-IncentiveAdder, Line 5</v>
      </c>
      <c r="F54" s="15"/>
      <c r="G54" s="14"/>
      <c r="K54" s="7"/>
    </row>
    <row r="55" spans="1:11">
      <c r="A55" s="501">
        <f t="shared" si="0"/>
        <v>46</v>
      </c>
      <c r="B55" s="76"/>
      <c r="C55" s="101" t="s">
        <v>1591</v>
      </c>
      <c r="D55" s="7">
        <f>(D53/1000000)*($D$51*(D54/0.01))</f>
        <v>1548.2926531319054</v>
      </c>
      <c r="E55" s="514" t="str">
        <f>"Formula on Line "&amp;A61&amp;""</f>
        <v>Formula on Line 52</v>
      </c>
      <c r="F55" s="14"/>
      <c r="G55" s="14"/>
      <c r="K55" s="7"/>
    </row>
    <row r="56" spans="1:11">
      <c r="A56" s="501">
        <f t="shared" si="0"/>
        <v>47</v>
      </c>
      <c r="B56" s="76"/>
      <c r="C56" s="101"/>
      <c r="E56" s="65"/>
      <c r="F56" s="14"/>
      <c r="G56" s="14"/>
      <c r="K56" s="7"/>
    </row>
    <row r="57" spans="1:11">
      <c r="A57" s="501">
        <f t="shared" si="0"/>
        <v>48</v>
      </c>
      <c r="C57" s="101" t="s">
        <v>1590</v>
      </c>
      <c r="D57" s="7">
        <f>'10-CWIP'!F25</f>
        <v>0</v>
      </c>
      <c r="E57" s="47" t="str">
        <f>"10-CWIP, Line "&amp;'10-CWIP'!A25&amp;""</f>
        <v>10-CWIP, Line 13</v>
      </c>
      <c r="F57" s="14"/>
      <c r="G57" s="14"/>
      <c r="K57" s="7"/>
    </row>
    <row r="58" spans="1:11">
      <c r="A58" s="501">
        <f t="shared" si="0"/>
        <v>49</v>
      </c>
      <c r="C58" s="101" t="s">
        <v>1593</v>
      </c>
      <c r="D58" s="43">
        <f>'15-IncentiveAdder'!E27</f>
        <v>0.01</v>
      </c>
      <c r="E58" s="123" t="str">
        <f>"15-IncentiveAdder, Line "&amp;'15-IncentiveAdder'!A27&amp;""</f>
        <v>15-IncentiveAdder, Line 6</v>
      </c>
      <c r="F58" s="14"/>
      <c r="G58" s="14"/>
      <c r="K58" s="7"/>
    </row>
    <row r="59" spans="1:11">
      <c r="A59" s="501">
        <f t="shared" si="0"/>
        <v>50</v>
      </c>
      <c r="C59" s="101" t="s">
        <v>1594</v>
      </c>
      <c r="D59" s="7">
        <f>(D57/1000000)*($D$51*(D58/0.01))</f>
        <v>0</v>
      </c>
      <c r="E59" s="47" t="str">
        <f>"Formula on Line "&amp;A61&amp;""</f>
        <v>Formula on Line 52</v>
      </c>
      <c r="F59" s="14"/>
      <c r="G59" s="14"/>
      <c r="K59" s="7"/>
    </row>
    <row r="60" spans="1:11">
      <c r="A60" s="501">
        <f t="shared" si="0"/>
        <v>51</v>
      </c>
      <c r="C60" s="101"/>
      <c r="D60" s="7"/>
      <c r="E60" s="47"/>
      <c r="F60" s="14"/>
      <c r="G60" s="14"/>
      <c r="K60" s="7"/>
    </row>
    <row r="61" spans="1:11">
      <c r="A61" s="501">
        <f t="shared" si="0"/>
        <v>52</v>
      </c>
      <c r="C61" s="52" t="s">
        <v>1570</v>
      </c>
      <c r="D61" s="7"/>
      <c r="E61" s="47"/>
      <c r="F61" s="14"/>
      <c r="G61" s="14"/>
      <c r="K61" s="7"/>
    </row>
    <row r="62" spans="1:11">
      <c r="A62" s="501">
        <f t="shared" si="0"/>
        <v>53</v>
      </c>
      <c r="E62" s="14"/>
      <c r="F62" s="14"/>
      <c r="G62" s="14"/>
      <c r="K62" s="7"/>
    </row>
    <row r="63" spans="1:11">
      <c r="A63" s="501">
        <f t="shared" si="0"/>
        <v>54</v>
      </c>
      <c r="C63" s="513" t="s">
        <v>1633</v>
      </c>
      <c r="D63" s="110">
        <f>D48+D55+D59</f>
        <v>16369660.598319365</v>
      </c>
      <c r="E63" s="47" t="str">
        <f>"Line "&amp;A48&amp;" + Line "&amp;A55&amp;" + Line "&amp;A59&amp;""</f>
        <v>Line 39 + Line 46 + Line 50</v>
      </c>
      <c r="F63" s="14"/>
      <c r="G63" s="14"/>
      <c r="K63" s="7"/>
    </row>
    <row r="64" spans="1:11">
      <c r="A64" s="512">
        <f t="shared" si="0"/>
        <v>55</v>
      </c>
      <c r="C64" s="513" t="s">
        <v>1632</v>
      </c>
      <c r="D64" s="98">
        <f>('28-FFU'!D22+'28-FFU'!E22)*D63</f>
        <v>190105.77942646228</v>
      </c>
      <c r="E64" s="514" t="str">
        <f>"(28-FFU, L"&amp;'28-FFU'!A22&amp;" FF Factor + U Factor) * L"&amp;A63&amp;""</f>
        <v>(28-FFU, L5 FF Factor + U Factor) * L54</v>
      </c>
      <c r="F64" s="14"/>
      <c r="G64" s="14"/>
      <c r="K64" s="7"/>
    </row>
    <row r="65" spans="1:11">
      <c r="A65" s="512">
        <f t="shared" si="0"/>
        <v>56</v>
      </c>
      <c r="C65" s="513" t="s">
        <v>1634</v>
      </c>
      <c r="D65" s="110">
        <f>SUM(D63:D64)</f>
        <v>16559766.377745828</v>
      </c>
      <c r="E65" s="47" t="str">
        <f>"Line "&amp;A63&amp;" + Line "&amp;A64&amp;""</f>
        <v>Line 54 + Line 55</v>
      </c>
      <c r="F65" s="14"/>
      <c r="K65" s="7"/>
    </row>
    <row r="66" spans="1:11">
      <c r="A66" s="512">
        <f t="shared" si="0"/>
        <v>57</v>
      </c>
      <c r="C66" s="101"/>
      <c r="D66" s="110"/>
      <c r="E66" s="47"/>
      <c r="F66" s="14"/>
      <c r="K66" s="7"/>
    </row>
    <row r="67" spans="1:11">
      <c r="A67" s="512">
        <f t="shared" si="0"/>
        <v>58</v>
      </c>
      <c r="B67" s="76" t="s">
        <v>1596</v>
      </c>
      <c r="C67" s="101"/>
      <c r="D67" s="110"/>
      <c r="E67" s="47"/>
      <c r="F67" s="14"/>
      <c r="K67" s="7"/>
    </row>
    <row r="68" spans="1:11">
      <c r="A68" s="512">
        <f t="shared" si="0"/>
        <v>59</v>
      </c>
      <c r="F68" s="14"/>
      <c r="K68" s="7"/>
    </row>
    <row r="69" spans="1:11">
      <c r="A69" s="120">
        <f t="shared" si="0"/>
        <v>60</v>
      </c>
      <c r="B69" s="14"/>
      <c r="C69" s="1008" t="s">
        <v>1633</v>
      </c>
      <c r="D69" s="48">
        <f>D63</f>
        <v>16369660.598319365</v>
      </c>
      <c r="E69" s="47" t="str">
        <f>"Line "&amp;A63&amp;""</f>
        <v>Line 54</v>
      </c>
      <c r="F69" s="14"/>
      <c r="K69" s="7"/>
    </row>
    <row r="70" spans="1:11">
      <c r="A70" s="120">
        <f t="shared" si="0"/>
        <v>61</v>
      </c>
      <c r="B70" s="14"/>
      <c r="C70" s="1008" t="s">
        <v>1946</v>
      </c>
      <c r="D70" s="48">
        <f>'1-BaseTRR'!K136</f>
        <v>1014454510.5908563</v>
      </c>
      <c r="E70" s="47" t="str">
        <f>"1-BaseTRR, Line "&amp;'1-BaseTRR'!A136&amp;""</f>
        <v>1-BaseTRR, Line 77</v>
      </c>
      <c r="F70" s="14"/>
      <c r="K70" s="7"/>
    </row>
    <row r="71" spans="1:11">
      <c r="A71" s="120">
        <f t="shared" si="0"/>
        <v>62</v>
      </c>
      <c r="B71" s="14"/>
      <c r="C71" s="385" t="s">
        <v>1608</v>
      </c>
      <c r="D71" s="48">
        <f>D70-D69</f>
        <v>998084849.9925369</v>
      </c>
      <c r="E71" s="47" t="str">
        <f>"Line "&amp;A70&amp;" - Line "&amp;A69&amp;""</f>
        <v>Line 61 - Line 60</v>
      </c>
      <c r="F71" s="14"/>
      <c r="K71" s="7"/>
    </row>
    <row r="72" spans="1:11">
      <c r="A72" s="120">
        <f t="shared" si="0"/>
        <v>63</v>
      </c>
      <c r="B72" s="14"/>
      <c r="C72" s="1009" t="s">
        <v>2179</v>
      </c>
      <c r="D72" s="65">
        <f>('1-BaseTRR'!K124+'1-BaseTRR'!K125)*0.75</f>
        <v>93693542.018919945</v>
      </c>
      <c r="E72" s="47" t="str">
        <f>"(1-BaseTRR, Line "&amp;'1-BaseTRR'!A124&amp;" + Line "&amp;'1-BaseTRR'!A125&amp;") * .75"</f>
        <v>(1-BaseTRR, Line 65 + Line 66) * .75</v>
      </c>
      <c r="F72" s="14"/>
      <c r="K72" s="7"/>
    </row>
    <row r="73" spans="1:11">
      <c r="A73" s="120">
        <f t="shared" si="0"/>
        <v>64</v>
      </c>
      <c r="B73" s="14"/>
      <c r="C73" s="385" t="s">
        <v>299</v>
      </c>
      <c r="D73" s="1006">
        <f xml:space="preserve"> (D71-D72)/D40</f>
        <v>0.13032009843684372</v>
      </c>
      <c r="E73" s="47" t="str">
        <f>"(Line "&amp;A71&amp;" - Line "&amp;A72&amp;") / Line "&amp;A40&amp;""</f>
        <v>(Line 62 - Line 63) / Line 31</v>
      </c>
      <c r="F73" s="14"/>
      <c r="K73" s="7"/>
    </row>
    <row r="74" spans="1:11">
      <c r="A74" s="120">
        <f t="shared" si="0"/>
        <v>65</v>
      </c>
      <c r="B74" s="14"/>
      <c r="C74" s="14"/>
      <c r="D74" s="65"/>
      <c r="E74" s="47"/>
      <c r="F74" s="14"/>
    </row>
    <row r="75" spans="1:11">
      <c r="A75" s="120">
        <f t="shared" si="0"/>
        <v>66</v>
      </c>
      <c r="B75" s="45" t="s">
        <v>382</v>
      </c>
      <c r="C75" s="14"/>
      <c r="D75" s="14"/>
      <c r="E75" s="14"/>
      <c r="F75" s="14"/>
    </row>
    <row r="76" spans="1:11">
      <c r="A76" s="120">
        <f t="shared" si="0"/>
        <v>67</v>
      </c>
      <c r="B76" s="14"/>
      <c r="C76" s="14"/>
      <c r="D76" s="14"/>
      <c r="E76" s="14"/>
      <c r="F76" s="14"/>
    </row>
    <row r="77" spans="1:11">
      <c r="A77" s="120">
        <f t="shared" si="0"/>
        <v>68</v>
      </c>
      <c r="B77" s="14"/>
      <c r="C77" s="14"/>
      <c r="D77" s="14"/>
      <c r="E77" s="134" t="s">
        <v>224</v>
      </c>
      <c r="F77" s="14"/>
      <c r="I77" s="1"/>
    </row>
    <row r="78" spans="1:11">
      <c r="A78" s="120">
        <f t="shared" si="0"/>
        <v>69</v>
      </c>
      <c r="B78" s="14"/>
      <c r="C78" s="385" t="s">
        <v>298</v>
      </c>
      <c r="D78" s="65">
        <f>'16-PlantAdditions'!N37</f>
        <v>512181616.80484289</v>
      </c>
      <c r="E78" s="47" t="str">
        <f>"16-PlantAdditions, L "&amp;'16-PlantAdditions'!A37&amp;", C10"</f>
        <v>16-PlantAdditions, L 25, C10</v>
      </c>
      <c r="F78" s="14"/>
      <c r="K78" s="7"/>
    </row>
    <row r="79" spans="1:11">
      <c r="A79" s="120">
        <f t="shared" si="0"/>
        <v>70</v>
      </c>
      <c r="B79" s="14"/>
      <c r="C79" s="385" t="s">
        <v>299</v>
      </c>
      <c r="D79" s="1010">
        <f>D73</f>
        <v>0.13032009843684372</v>
      </c>
      <c r="E79" s="47" t="str">
        <f>"Line "&amp;A73&amp;""</f>
        <v>Line 64</v>
      </c>
      <c r="F79" s="14"/>
      <c r="K79" s="771"/>
    </row>
    <row r="80" spans="1:11">
      <c r="A80" s="120">
        <f t="shared" si="0"/>
        <v>71</v>
      </c>
      <c r="B80" s="14"/>
      <c r="C80" s="385" t="s">
        <v>383</v>
      </c>
      <c r="D80" s="65">
        <f>D78*D79</f>
        <v>66747558.719548896</v>
      </c>
      <c r="E80" s="47" t="str">
        <f>"Line "&amp;A78&amp;" * Line "&amp;A79&amp;""</f>
        <v>Line 69 * Line 70</v>
      </c>
      <c r="F80" s="14"/>
      <c r="K80" s="7"/>
    </row>
    <row r="81" spans="1:11">
      <c r="A81" s="120">
        <f t="shared" si="0"/>
        <v>72</v>
      </c>
      <c r="B81" s="14"/>
      <c r="C81" s="14"/>
      <c r="D81" s="14"/>
      <c r="E81" s="14"/>
      <c r="F81" s="14"/>
      <c r="K81" s="7"/>
    </row>
    <row r="82" spans="1:11">
      <c r="A82" s="120">
        <f t="shared" si="0"/>
        <v>73</v>
      </c>
      <c r="B82" s="14"/>
      <c r="C82" s="385" t="s">
        <v>386</v>
      </c>
      <c r="D82" s="65">
        <f>'10-CWIP'!K79</f>
        <v>301458236.65036392</v>
      </c>
      <c r="E82" s="47" t="str">
        <f>"10-CWIP, L "&amp;'10-CWIP'!A79&amp;", C8"</f>
        <v>10-CWIP, L 54, C8</v>
      </c>
      <c r="F82" s="14"/>
      <c r="K82" s="7"/>
    </row>
    <row r="83" spans="1:11">
      <c r="A83" s="120">
        <f t="shared" si="0"/>
        <v>74</v>
      </c>
      <c r="B83" s="14"/>
      <c r="C83" s="385" t="s">
        <v>384</v>
      </c>
      <c r="D83" s="1010">
        <f>D25</f>
        <v>0.10866462394685193</v>
      </c>
      <c r="E83" s="47" t="str">
        <f>"Line "&amp;A25&amp;""</f>
        <v>Line 16</v>
      </c>
      <c r="F83" s="14"/>
      <c r="K83" s="771"/>
    </row>
    <row r="84" spans="1:11">
      <c r="A84" s="120">
        <f t="shared" si="0"/>
        <v>75</v>
      </c>
      <c r="B84" s="14"/>
      <c r="C84" s="385" t="s">
        <v>385</v>
      </c>
      <c r="D84" s="65">
        <f>D82*D83</f>
        <v>32757845.921292894</v>
      </c>
      <c r="E84" s="47" t="str">
        <f>"Line "&amp;A82&amp;" * Line "&amp;A83&amp;""</f>
        <v>Line 73 * Line 74</v>
      </c>
      <c r="F84" s="14"/>
      <c r="K84" s="7"/>
    </row>
    <row r="85" spans="1:11">
      <c r="A85" s="120">
        <f t="shared" si="0"/>
        <v>76</v>
      </c>
      <c r="B85" s="14"/>
      <c r="C85" s="14"/>
      <c r="D85" s="14"/>
      <c r="E85" s="14"/>
      <c r="F85" s="14"/>
      <c r="K85" s="7"/>
    </row>
    <row r="86" spans="1:11">
      <c r="A86" s="120">
        <f t="shared" si="0"/>
        <v>77</v>
      </c>
      <c r="B86" s="14"/>
      <c r="C86" s="385" t="s">
        <v>1617</v>
      </c>
      <c r="D86" s="65">
        <f>D80+D84</f>
        <v>99505404.640841782</v>
      </c>
      <c r="E86" s="47" t="str">
        <f>"Line "&amp;A80&amp;" + Line "&amp;A84&amp;""</f>
        <v>Line 71 + Line 75</v>
      </c>
      <c r="F86" s="14"/>
      <c r="K86" s="7"/>
    </row>
    <row r="87" spans="1:11">
      <c r="A87" s="120">
        <f t="shared" si="0"/>
        <v>78</v>
      </c>
      <c r="B87" s="14"/>
      <c r="C87" s="14"/>
      <c r="D87" s="14"/>
      <c r="E87" s="14"/>
      <c r="F87" s="14"/>
      <c r="K87" s="7"/>
    </row>
    <row r="88" spans="1:11">
      <c r="A88" s="120">
        <f t="shared" ref="A88:A91" si="1">A87+1</f>
        <v>79</v>
      </c>
      <c r="B88" s="14"/>
      <c r="C88" s="385" t="s">
        <v>1618</v>
      </c>
      <c r="D88" s="65">
        <f>'28-FFU'!D22*D86</f>
        <v>916016.90350219724</v>
      </c>
      <c r="E88" s="123" t="str">
        <f>"Line "&amp;A86&amp;" * FF (from 28-FFU, L "&amp;'28-FFU'!A22&amp;")"</f>
        <v>Line 77 * FF (from 28-FFU, L 5)</v>
      </c>
      <c r="F88" s="14"/>
      <c r="K88" s="7"/>
    </row>
    <row r="89" spans="1:11">
      <c r="A89" s="120">
        <f t="shared" si="1"/>
        <v>80</v>
      </c>
      <c r="B89" s="14"/>
      <c r="C89" s="86" t="s">
        <v>1619</v>
      </c>
      <c r="D89" s="65">
        <f>'28-FFU'!E22*D86</f>
        <v>239569.21221329068</v>
      </c>
      <c r="E89" s="123" t="str">
        <f>"Line "&amp;A86&amp;" * U (from 28-FFU, L "&amp;'28-FFU'!A22&amp;")"</f>
        <v>Line 77 * U (from 28-FFU, L 5)</v>
      </c>
      <c r="F89" s="14"/>
      <c r="K89" s="7"/>
    </row>
    <row r="90" spans="1:11">
      <c r="A90" s="120">
        <f t="shared" si="1"/>
        <v>81</v>
      </c>
      <c r="B90" s="14"/>
      <c r="C90" s="14"/>
      <c r="D90" s="65"/>
      <c r="E90" s="14"/>
      <c r="F90" s="14"/>
      <c r="K90" s="7"/>
    </row>
    <row r="91" spans="1:11">
      <c r="A91" s="120">
        <f t="shared" si="1"/>
        <v>82</v>
      </c>
      <c r="B91" s="14"/>
      <c r="C91" s="86" t="s">
        <v>387</v>
      </c>
      <c r="D91" s="65">
        <f>D86+D88+D89</f>
        <v>100660990.75655727</v>
      </c>
      <c r="E91" s="47"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&amp;RTO2019 Draft Annual Update
Attachment 5
TO13 True Up TRR</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4"/>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1898</v>
      </c>
      <c r="B1" s="246"/>
      <c r="C1" s="246"/>
      <c r="D1" s="246"/>
      <c r="E1" s="246"/>
      <c r="F1" s="246"/>
      <c r="G1" s="246"/>
      <c r="H1" s="246"/>
      <c r="I1" s="246"/>
      <c r="J1" s="246"/>
      <c r="K1" s="246"/>
      <c r="L1" s="246"/>
    </row>
    <row r="2" spans="1:12">
      <c r="A2" s="246"/>
      <c r="B2" s="246"/>
      <c r="C2" s="246"/>
      <c r="D2" s="246"/>
      <c r="E2" s="246"/>
      <c r="F2" s="246"/>
      <c r="G2" s="246"/>
      <c r="H2" s="246"/>
      <c r="I2" s="246"/>
      <c r="J2" s="246"/>
      <c r="K2" s="246"/>
      <c r="L2" s="246"/>
    </row>
    <row r="3" spans="1:12">
      <c r="A3" s="246"/>
      <c r="B3" s="1" t="s">
        <v>539</v>
      </c>
      <c r="C3" s="246"/>
      <c r="D3" s="246"/>
      <c r="E3" s="246"/>
      <c r="F3" s="246"/>
      <c r="G3" s="246"/>
      <c r="H3" s="246"/>
      <c r="I3" s="246"/>
      <c r="J3" s="246"/>
      <c r="K3" s="246"/>
      <c r="L3" s="246"/>
    </row>
    <row r="4" spans="1:12">
      <c r="A4" s="246"/>
      <c r="B4" s="519" t="s">
        <v>1669</v>
      </c>
      <c r="C4" s="246"/>
      <c r="D4" s="246"/>
      <c r="E4" s="246"/>
      <c r="F4" s="246"/>
      <c r="G4" s="246"/>
      <c r="H4" s="246"/>
      <c r="I4" s="246"/>
      <c r="J4" s="246"/>
      <c r="K4" s="246"/>
      <c r="L4" s="246"/>
    </row>
    <row r="5" spans="1:12">
      <c r="A5" s="246"/>
      <c r="B5" s="106" t="str">
        <f>"for each month (see Note #2).  If formula was not in effect in Prior Year, do not populate Column 2 or 3, Lines "&amp;A24&amp;" to "&amp;A35&amp;"."</f>
        <v>for each month (see Note #2).  If formula was not in effect in Prior Year, do not populate Column 2 or 3, Lines 11 to 22.</v>
      </c>
      <c r="C5" s="246"/>
      <c r="D5" s="246"/>
      <c r="E5" s="246"/>
      <c r="F5" s="246"/>
      <c r="G5" s="246"/>
      <c r="H5" s="246"/>
      <c r="I5" s="246"/>
      <c r="J5" s="246"/>
      <c r="K5" s="246"/>
      <c r="L5" s="246"/>
    </row>
    <row r="6" spans="1:12">
      <c r="A6" s="246"/>
      <c r="B6" s="519" t="s">
        <v>1670</v>
      </c>
      <c r="C6" s="246"/>
      <c r="D6" s="246"/>
      <c r="E6" s="246"/>
      <c r="F6" s="246"/>
      <c r="G6" s="246"/>
      <c r="H6" s="246"/>
      <c r="I6" s="246"/>
      <c r="J6" s="246"/>
      <c r="K6" s="246"/>
      <c r="L6" s="246"/>
    </row>
    <row r="7" spans="1:12">
      <c r="A7" s="246"/>
      <c r="B7" s="13" t="s">
        <v>1145</v>
      </c>
      <c r="C7" s="246"/>
      <c r="D7" s="246"/>
      <c r="E7" s="246"/>
      <c r="F7" s="246"/>
      <c r="G7" s="246"/>
      <c r="H7" s="246"/>
      <c r="I7" s="246"/>
      <c r="J7" s="246"/>
      <c r="K7" s="246"/>
      <c r="L7" s="246"/>
    </row>
    <row r="8" spans="1:12">
      <c r="A8" s="246"/>
      <c r="B8" s="13" t="str">
        <f>"d) Continue interest calculation through the end of the previous Rate Effective Period (Line "&amp;A44&amp;")."</f>
        <v>d) Continue interest calculation through the end of the previous Rate Effective Period (Line 31).</v>
      </c>
      <c r="C8" s="246"/>
      <c r="D8" s="246"/>
      <c r="E8" s="246"/>
      <c r="F8" s="246"/>
      <c r="G8" s="246"/>
      <c r="H8" s="246"/>
      <c r="I8" s="246"/>
      <c r="J8" s="246"/>
      <c r="K8" s="246"/>
      <c r="L8" s="246"/>
    </row>
    <row r="9" spans="1:12">
      <c r="A9" s="246"/>
      <c r="B9" s="13" t="str">
        <f>"e) Amortize this ending balance from (d) over the current Rate Effective Period so that the ending balance on Line "&amp;A67&amp;" is equal to $0."</f>
        <v>e) Amortize this ending balance from (d) over the current Rate Effective Period so that the ending balance on Line 54 is equal to $0.</v>
      </c>
      <c r="C9" s="246"/>
      <c r="D9" s="246"/>
      <c r="E9" s="246"/>
      <c r="F9" s="246"/>
      <c r="G9" s="246"/>
      <c r="H9" s="246"/>
      <c r="I9" s="246"/>
      <c r="J9" s="246"/>
      <c r="K9" s="246"/>
      <c r="L9" s="246"/>
    </row>
    <row r="10" spans="1:12">
      <c r="A10" s="246"/>
      <c r="B10" s="246"/>
      <c r="C10" s="246"/>
      <c r="D10" s="246"/>
      <c r="E10" s="246"/>
      <c r="F10" s="246"/>
      <c r="G10" s="246"/>
      <c r="H10" s="246"/>
      <c r="I10" s="246"/>
      <c r="J10" s="246"/>
      <c r="K10" s="246"/>
      <c r="L10" s="246"/>
    </row>
    <row r="11" spans="1:12">
      <c r="A11" s="2"/>
      <c r="B11" s="90" t="s">
        <v>1671</v>
      </c>
      <c r="C11" s="246"/>
      <c r="D11" s="247"/>
      <c r="E11" s="248"/>
      <c r="F11" s="246"/>
      <c r="G11" s="246"/>
      <c r="H11" s="246"/>
      <c r="I11" s="246"/>
      <c r="J11" s="246"/>
      <c r="K11" s="110"/>
      <c r="L11" s="246"/>
    </row>
    <row r="12" spans="1:12">
      <c r="A12" s="2"/>
      <c r="B12" s="90" t="s">
        <v>558</v>
      </c>
      <c r="C12" s="246"/>
      <c r="D12" s="247"/>
      <c r="E12" s="248"/>
      <c r="F12" s="246"/>
      <c r="G12" s="246"/>
      <c r="H12" s="246"/>
      <c r="I12" s="246"/>
      <c r="J12" s="246"/>
      <c r="K12" s="246"/>
      <c r="L12" s="246"/>
    </row>
    <row r="13" spans="1:12">
      <c r="A13" s="55" t="s">
        <v>350</v>
      </c>
      <c r="B13" s="246"/>
      <c r="C13" s="90"/>
      <c r="D13" s="247"/>
      <c r="E13" s="248"/>
      <c r="F13" s="3"/>
      <c r="G13" s="246"/>
      <c r="H13" s="246"/>
      <c r="I13" s="246"/>
      <c r="J13" s="246"/>
      <c r="K13" s="246"/>
      <c r="L13" s="246"/>
    </row>
    <row r="14" spans="1:12">
      <c r="A14" s="2">
        <f>A7+1</f>
        <v>1</v>
      </c>
      <c r="B14" s="246"/>
      <c r="C14" s="246"/>
      <c r="D14" s="542" t="s">
        <v>1668</v>
      </c>
      <c r="E14" s="248">
        <f>'4-TUTRR'!E73</f>
        <v>1014193033.4914542</v>
      </c>
      <c r="F14" s="543" t="s">
        <v>2039</v>
      </c>
      <c r="G14" s="256"/>
      <c r="H14" s="246" t="str">
        <f>"Line "&amp;'4-TUTRR'!A73&amp;""</f>
        <v>Line 45</v>
      </c>
      <c r="I14" s="246"/>
      <c r="J14" s="246"/>
      <c r="K14" s="246"/>
      <c r="L14" s="246"/>
    </row>
    <row r="15" spans="1:12">
      <c r="A15" s="2">
        <f>A14+1</f>
        <v>2</v>
      </c>
      <c r="B15" s="90"/>
      <c r="C15" s="246"/>
      <c r="D15" s="246"/>
      <c r="E15" s="246"/>
      <c r="F15" s="246"/>
      <c r="G15" s="246"/>
      <c r="H15" s="248"/>
      <c r="I15" s="246"/>
      <c r="J15" s="246"/>
      <c r="K15" s="246"/>
      <c r="L15" s="246"/>
    </row>
    <row r="16" spans="1:12">
      <c r="A16" s="2">
        <f t="shared" ref="A16:A81" si="0">A15+1</f>
        <v>3</v>
      </c>
      <c r="B16" s="246"/>
      <c r="C16" s="246"/>
      <c r="D16" s="91" t="s">
        <v>391</v>
      </c>
      <c r="E16" s="91" t="s">
        <v>375</v>
      </c>
      <c r="F16" s="91" t="s">
        <v>376</v>
      </c>
      <c r="G16" s="91" t="s">
        <v>377</v>
      </c>
      <c r="H16" s="91" t="s">
        <v>378</v>
      </c>
      <c r="I16" s="91" t="s">
        <v>379</v>
      </c>
      <c r="J16" s="91" t="s">
        <v>380</v>
      </c>
      <c r="K16" s="91" t="s">
        <v>593</v>
      </c>
      <c r="L16" s="91" t="s">
        <v>1040</v>
      </c>
    </row>
    <row r="17" spans="1:12">
      <c r="A17" s="2">
        <f t="shared" si="0"/>
        <v>4</v>
      </c>
      <c r="B17" s="246"/>
      <c r="C17" s="247" t="s">
        <v>1041</v>
      </c>
      <c r="D17" s="91"/>
      <c r="E17" s="94" t="s">
        <v>235</v>
      </c>
      <c r="F17" s="94" t="s">
        <v>311</v>
      </c>
      <c r="G17" s="94" t="s">
        <v>1042</v>
      </c>
      <c r="H17" s="103" t="s">
        <v>582</v>
      </c>
      <c r="I17" s="94" t="s">
        <v>1043</v>
      </c>
      <c r="J17" s="94" t="s">
        <v>580</v>
      </c>
      <c r="K17" s="94" t="s">
        <v>581</v>
      </c>
      <c r="L17" s="103" t="s">
        <v>1044</v>
      </c>
    </row>
    <row r="18" spans="1:12">
      <c r="A18" s="2">
        <f t="shared" si="0"/>
        <v>5</v>
      </c>
      <c r="B18" s="246"/>
      <c r="C18" s="246"/>
      <c r="D18" s="91"/>
      <c r="G18" s="91"/>
      <c r="I18" s="91"/>
      <c r="J18" s="2" t="s">
        <v>223</v>
      </c>
      <c r="K18" s="91"/>
      <c r="L18" s="91"/>
    </row>
    <row r="19" spans="1:12" ht="15">
      <c r="A19" s="2">
        <f t="shared" si="0"/>
        <v>6</v>
      </c>
      <c r="B19" s="246"/>
      <c r="C19" s="246"/>
      <c r="D19" s="91"/>
      <c r="G19" s="259" t="s">
        <v>1146</v>
      </c>
      <c r="I19" s="246"/>
      <c r="J19" s="2" t="s">
        <v>30</v>
      </c>
      <c r="K19" s="246"/>
      <c r="L19" s="2" t="s">
        <v>223</v>
      </c>
    </row>
    <row r="20" spans="1:12">
      <c r="A20" s="2">
        <f t="shared" si="0"/>
        <v>7</v>
      </c>
      <c r="B20" s="246"/>
      <c r="C20" s="246"/>
      <c r="D20" s="91"/>
      <c r="F20" s="2" t="s">
        <v>557</v>
      </c>
      <c r="G20" s="2" t="s">
        <v>1045</v>
      </c>
      <c r="H20" s="2" t="s">
        <v>19</v>
      </c>
      <c r="I20" s="246"/>
      <c r="J20" s="2" t="s">
        <v>31</v>
      </c>
      <c r="K20" s="246"/>
      <c r="L20" s="2" t="s">
        <v>30</v>
      </c>
    </row>
    <row r="21" spans="1:12">
      <c r="A21" s="2">
        <f t="shared" si="0"/>
        <v>8</v>
      </c>
      <c r="B21" s="246"/>
      <c r="C21" s="246"/>
      <c r="D21" s="2"/>
      <c r="E21" s="2" t="s">
        <v>19</v>
      </c>
      <c r="F21" s="2" t="s">
        <v>578</v>
      </c>
      <c r="G21" s="2" t="s">
        <v>218</v>
      </c>
      <c r="H21" s="2" t="s">
        <v>30</v>
      </c>
      <c r="I21" s="2" t="s">
        <v>19</v>
      </c>
      <c r="J21" s="2" t="s">
        <v>22</v>
      </c>
      <c r="K21" s="249" t="s">
        <v>23</v>
      </c>
      <c r="L21" s="2" t="s">
        <v>31</v>
      </c>
    </row>
    <row r="22" spans="1:12">
      <c r="A22" s="2">
        <f t="shared" si="0"/>
        <v>9</v>
      </c>
      <c r="B22" s="246"/>
      <c r="C22" s="246"/>
      <c r="D22" s="2"/>
      <c r="E22" s="2" t="s">
        <v>307</v>
      </c>
      <c r="F22" s="2" t="s">
        <v>337</v>
      </c>
      <c r="G22" s="2" t="s">
        <v>307</v>
      </c>
      <c r="H22" s="2" t="s">
        <v>31</v>
      </c>
      <c r="I22" s="2" t="s">
        <v>23</v>
      </c>
      <c r="J22" s="2" t="s">
        <v>1147</v>
      </c>
      <c r="K22" s="2" t="s">
        <v>1148</v>
      </c>
      <c r="L22" s="2" t="s">
        <v>22</v>
      </c>
    </row>
    <row r="23" spans="1:12">
      <c r="A23" s="2">
        <f t="shared" si="0"/>
        <v>10</v>
      </c>
      <c r="B23" s="246"/>
      <c r="C23" s="25" t="s">
        <v>211</v>
      </c>
      <c r="D23" s="25" t="s">
        <v>212</v>
      </c>
      <c r="E23" s="3" t="s">
        <v>1047</v>
      </c>
      <c r="F23" s="3" t="s">
        <v>21</v>
      </c>
      <c r="G23" s="3" t="s">
        <v>176</v>
      </c>
      <c r="H23" s="3" t="s">
        <v>22</v>
      </c>
      <c r="I23" s="3" t="s">
        <v>13</v>
      </c>
      <c r="J23" s="3" t="s">
        <v>1149</v>
      </c>
      <c r="K23" s="3" t="s">
        <v>211</v>
      </c>
      <c r="L23" s="3" t="s">
        <v>1048</v>
      </c>
    </row>
    <row r="24" spans="1:12">
      <c r="A24" s="2">
        <f t="shared" si="0"/>
        <v>11</v>
      </c>
      <c r="B24" s="246"/>
      <c r="C24" s="20" t="s">
        <v>200</v>
      </c>
      <c r="D24" s="157">
        <v>2017</v>
      </c>
      <c r="E24" s="263">
        <f>$E$14/12</f>
        <v>84516086.124287859</v>
      </c>
      <c r="F24" s="250">
        <f>C108</f>
        <v>88876405.790000007</v>
      </c>
      <c r="G24" s="1230"/>
      <c r="H24" s="248">
        <f>E24-F24+G24</f>
        <v>-4360319.665712148</v>
      </c>
      <c r="I24" s="252">
        <v>2.8999999999999998E-3</v>
      </c>
      <c r="J24" s="253">
        <f>H24</f>
        <v>-4360319.665712148</v>
      </c>
      <c r="K24" s="253">
        <f>((J24)/2)*I24</f>
        <v>-6322.463515282614</v>
      </c>
      <c r="L24" s="253">
        <f>J24+K24</f>
        <v>-4366642.1292274306</v>
      </c>
    </row>
    <row r="25" spans="1:12">
      <c r="A25" s="2">
        <f t="shared" si="0"/>
        <v>12</v>
      </c>
      <c r="B25" s="246"/>
      <c r="C25" s="21" t="s">
        <v>201</v>
      </c>
      <c r="D25" s="157">
        <v>2017</v>
      </c>
      <c r="E25" s="263">
        <f t="shared" ref="E25:E35" si="1">$E$14/12</f>
        <v>84516086.124287859</v>
      </c>
      <c r="F25" s="250">
        <f t="shared" ref="F25:F35" si="2">C109</f>
        <v>76214393.859999999</v>
      </c>
      <c r="G25" s="387"/>
      <c r="H25" s="248">
        <f t="shared" ref="H25:H34" si="3">E25-F25+G25</f>
        <v>8301692.2642878592</v>
      </c>
      <c r="I25" s="252">
        <v>2.8999999999999998E-3</v>
      </c>
      <c r="J25" s="253">
        <f>L24+H25</f>
        <v>3935050.1350604286</v>
      </c>
      <c r="K25" s="253">
        <f>((L24+J25)/2)*I25</f>
        <v>-625.80839154215278</v>
      </c>
      <c r="L25" s="253">
        <f t="shared" ref="L25:L44" si="4">J25+K25</f>
        <v>3934424.3266688865</v>
      </c>
    </row>
    <row r="26" spans="1:12">
      <c r="A26" s="2">
        <f t="shared" si="0"/>
        <v>13</v>
      </c>
      <c r="B26" s="246"/>
      <c r="C26" s="21" t="s">
        <v>214</v>
      </c>
      <c r="D26" s="157">
        <v>2017</v>
      </c>
      <c r="E26" s="263">
        <f t="shared" si="1"/>
        <v>84516086.124287859</v>
      </c>
      <c r="F26" s="250">
        <f t="shared" si="2"/>
        <v>88623013.280000001</v>
      </c>
      <c r="G26" s="387"/>
      <c r="H26" s="248">
        <f t="shared" si="3"/>
        <v>-4106927.1557121426</v>
      </c>
      <c r="I26" s="252">
        <v>2.8999999999999998E-3</v>
      </c>
      <c r="J26" s="253">
        <f t="shared" ref="J26:J44" si="5">L25+H26</f>
        <v>-172502.82904325612</v>
      </c>
      <c r="K26" s="253">
        <f t="shared" ref="K26:K44" si="6">((L25+J26)/2)*I26</f>
        <v>5454.7861715571635</v>
      </c>
      <c r="L26" s="253">
        <f t="shared" si="4"/>
        <v>-167048.04287169897</v>
      </c>
    </row>
    <row r="27" spans="1:12">
      <c r="A27" s="2">
        <f t="shared" si="0"/>
        <v>14</v>
      </c>
      <c r="B27" s="246"/>
      <c r="C27" s="20" t="s">
        <v>202</v>
      </c>
      <c r="D27" s="157">
        <v>2017</v>
      </c>
      <c r="E27" s="263">
        <f t="shared" si="1"/>
        <v>84516086.124287859</v>
      </c>
      <c r="F27" s="250">
        <f t="shared" si="2"/>
        <v>83996141.510000005</v>
      </c>
      <c r="G27" s="387"/>
      <c r="H27" s="248">
        <f t="shared" si="3"/>
        <v>519944.61428785324</v>
      </c>
      <c r="I27" s="252">
        <v>3.0999999999999999E-3</v>
      </c>
      <c r="J27" s="253">
        <f t="shared" si="5"/>
        <v>352896.57141615427</v>
      </c>
      <c r="K27" s="253">
        <f t="shared" si="6"/>
        <v>288.06521924390569</v>
      </c>
      <c r="L27" s="253">
        <f t="shared" si="4"/>
        <v>353184.6366353982</v>
      </c>
    </row>
    <row r="28" spans="1:12">
      <c r="A28" s="2">
        <f t="shared" si="0"/>
        <v>15</v>
      </c>
      <c r="B28" s="246"/>
      <c r="C28" s="21" t="s">
        <v>203</v>
      </c>
      <c r="D28" s="157">
        <v>2017</v>
      </c>
      <c r="E28" s="263">
        <f t="shared" si="1"/>
        <v>84516086.124287859</v>
      </c>
      <c r="F28" s="250">
        <f t="shared" si="2"/>
        <v>92695249.209999993</v>
      </c>
      <c r="G28" s="387"/>
      <c r="H28" s="248">
        <f t="shared" si="3"/>
        <v>-8179163.0857121348</v>
      </c>
      <c r="I28" s="252">
        <v>3.0999999999999999E-3</v>
      </c>
      <c r="J28" s="253">
        <f t="shared" si="5"/>
        <v>-7825978.4490767363</v>
      </c>
      <c r="K28" s="253">
        <f t="shared" si="6"/>
        <v>-11582.830409284074</v>
      </c>
      <c r="L28" s="253">
        <f t="shared" si="4"/>
        <v>-7837561.2794860201</v>
      </c>
    </row>
    <row r="29" spans="1:12">
      <c r="A29" s="2">
        <f t="shared" si="0"/>
        <v>16</v>
      </c>
      <c r="B29" s="246"/>
      <c r="C29" s="21" t="s">
        <v>204</v>
      </c>
      <c r="D29" s="157">
        <v>2017</v>
      </c>
      <c r="E29" s="263">
        <f t="shared" si="1"/>
        <v>84516086.124287859</v>
      </c>
      <c r="F29" s="250">
        <f t="shared" si="2"/>
        <v>104845652.2</v>
      </c>
      <c r="G29" s="387"/>
      <c r="H29" s="248">
        <f t="shared" si="3"/>
        <v>-20329566.075712144</v>
      </c>
      <c r="I29" s="252">
        <v>3.0999999999999999E-3</v>
      </c>
      <c r="J29" s="253">
        <f t="shared" si="5"/>
        <v>-28167127.355198164</v>
      </c>
      <c r="K29" s="253">
        <f t="shared" si="6"/>
        <v>-55807.267383760482</v>
      </c>
      <c r="L29" s="253">
        <f t="shared" si="4"/>
        <v>-28222934.622581925</v>
      </c>
    </row>
    <row r="30" spans="1:12">
      <c r="A30" s="2">
        <f t="shared" si="0"/>
        <v>17</v>
      </c>
      <c r="B30" s="246"/>
      <c r="C30" s="20" t="s">
        <v>205</v>
      </c>
      <c r="D30" s="157">
        <v>2017</v>
      </c>
      <c r="E30" s="263">
        <f t="shared" si="1"/>
        <v>84516086.124287859</v>
      </c>
      <c r="F30" s="250">
        <f t="shared" si="2"/>
        <v>123594050.2</v>
      </c>
      <c r="G30" s="387"/>
      <c r="H30" s="248">
        <f t="shared" si="3"/>
        <v>-39077964.075712144</v>
      </c>
      <c r="I30" s="252">
        <v>3.3E-3</v>
      </c>
      <c r="J30" s="253">
        <f t="shared" si="5"/>
        <v>-67300898.698294073</v>
      </c>
      <c r="K30" s="253">
        <f t="shared" si="6"/>
        <v>-157614.3249794454</v>
      </c>
      <c r="L30" s="253">
        <f t="shared" si="4"/>
        <v>-67458513.023273513</v>
      </c>
    </row>
    <row r="31" spans="1:12">
      <c r="A31" s="2">
        <f t="shared" si="0"/>
        <v>18</v>
      </c>
      <c r="B31" s="246"/>
      <c r="C31" s="21" t="s">
        <v>206</v>
      </c>
      <c r="D31" s="157">
        <v>2017</v>
      </c>
      <c r="E31" s="263">
        <f t="shared" si="1"/>
        <v>84516086.124287859</v>
      </c>
      <c r="F31" s="250">
        <f t="shared" si="2"/>
        <v>125785395.62</v>
      </c>
      <c r="G31" s="387"/>
      <c r="H31" s="248">
        <f t="shared" si="3"/>
        <v>-41269309.495712146</v>
      </c>
      <c r="I31" s="252">
        <v>3.3E-3</v>
      </c>
      <c r="J31" s="253">
        <f t="shared" si="5"/>
        <v>-108727822.51898566</v>
      </c>
      <c r="K31" s="253">
        <f t="shared" si="6"/>
        <v>-290707.45364472759</v>
      </c>
      <c r="L31" s="253">
        <f t="shared" si="4"/>
        <v>-109018529.97263038</v>
      </c>
    </row>
    <row r="32" spans="1:12">
      <c r="A32" s="2">
        <f t="shared" si="0"/>
        <v>19</v>
      </c>
      <c r="B32" s="246"/>
      <c r="C32" s="21" t="s">
        <v>207</v>
      </c>
      <c r="D32" s="157">
        <v>2017</v>
      </c>
      <c r="E32" s="263">
        <f t="shared" si="1"/>
        <v>84516086.124287859</v>
      </c>
      <c r="F32" s="250">
        <f t="shared" si="2"/>
        <v>106851758.05</v>
      </c>
      <c r="G32" s="387"/>
      <c r="H32" s="248">
        <f t="shared" si="3"/>
        <v>-22335671.925712138</v>
      </c>
      <c r="I32" s="252">
        <v>3.3E-3</v>
      </c>
      <c r="J32" s="253">
        <f t="shared" si="5"/>
        <v>-131354201.89834252</v>
      </c>
      <c r="K32" s="253">
        <f t="shared" si="6"/>
        <v>-396615.00758710527</v>
      </c>
      <c r="L32" s="253">
        <f t="shared" si="4"/>
        <v>-131750816.90592963</v>
      </c>
    </row>
    <row r="33" spans="1:12">
      <c r="A33" s="2">
        <f t="shared" si="0"/>
        <v>20</v>
      </c>
      <c r="B33" s="246"/>
      <c r="C33" s="20" t="s">
        <v>210</v>
      </c>
      <c r="D33" s="157">
        <v>2017</v>
      </c>
      <c r="E33" s="263">
        <f t="shared" si="1"/>
        <v>84516086.124287859</v>
      </c>
      <c r="F33" s="250">
        <f t="shared" si="2"/>
        <v>100653472.02</v>
      </c>
      <c r="G33" s="387"/>
      <c r="H33" s="248">
        <f t="shared" si="3"/>
        <v>-16137385.895712137</v>
      </c>
      <c r="I33" s="252">
        <v>3.5000000000000001E-3</v>
      </c>
      <c r="J33" s="253">
        <f t="shared" si="5"/>
        <v>-147888202.80164176</v>
      </c>
      <c r="K33" s="253">
        <f t="shared" si="6"/>
        <v>-489368.28448824992</v>
      </c>
      <c r="L33" s="253">
        <f t="shared" si="4"/>
        <v>-148377571.08613002</v>
      </c>
    </row>
    <row r="34" spans="1:12">
      <c r="A34" s="2">
        <f t="shared" si="0"/>
        <v>21</v>
      </c>
      <c r="B34" s="246"/>
      <c r="C34" s="20" t="s">
        <v>209</v>
      </c>
      <c r="D34" s="157">
        <v>2017</v>
      </c>
      <c r="E34" s="263">
        <f t="shared" si="1"/>
        <v>84516086.124287859</v>
      </c>
      <c r="F34" s="250">
        <f t="shared" si="2"/>
        <v>88159107.019999996</v>
      </c>
      <c r="G34" s="387"/>
      <c r="H34" s="248">
        <f t="shared" si="3"/>
        <v>-3643020.8957121372</v>
      </c>
      <c r="I34" s="252">
        <v>3.5000000000000001E-3</v>
      </c>
      <c r="J34" s="253">
        <f t="shared" si="5"/>
        <v>-152020591.98184216</v>
      </c>
      <c r="K34" s="253">
        <f t="shared" si="6"/>
        <v>-525696.78536895139</v>
      </c>
      <c r="L34" s="253">
        <f t="shared" si="4"/>
        <v>-152546288.76721111</v>
      </c>
    </row>
    <row r="35" spans="1:12">
      <c r="A35" s="2">
        <f t="shared" si="0"/>
        <v>22</v>
      </c>
      <c r="B35" s="246"/>
      <c r="C35" s="21" t="s">
        <v>199</v>
      </c>
      <c r="D35" s="157">
        <v>2017</v>
      </c>
      <c r="E35" s="263">
        <f t="shared" si="1"/>
        <v>84516086.124287859</v>
      </c>
      <c r="F35" s="250">
        <f t="shared" si="2"/>
        <v>89149113.290000007</v>
      </c>
      <c r="G35" s="387"/>
      <c r="H35" s="248">
        <f>E35-F35+G35</f>
        <v>-4633027.165712148</v>
      </c>
      <c r="I35" s="252">
        <v>3.5000000000000001E-3</v>
      </c>
      <c r="J35" s="253">
        <f t="shared" si="5"/>
        <v>-157179315.93292326</v>
      </c>
      <c r="K35" s="253">
        <f t="shared" si="6"/>
        <v>-542019.8082252352</v>
      </c>
      <c r="L35" s="253">
        <f t="shared" si="4"/>
        <v>-157721335.7411485</v>
      </c>
    </row>
    <row r="36" spans="1:12">
      <c r="A36" s="2">
        <f t="shared" si="0"/>
        <v>23</v>
      </c>
      <c r="B36" s="246"/>
      <c r="C36" s="20" t="s">
        <v>200</v>
      </c>
      <c r="D36" s="157">
        <v>2018</v>
      </c>
      <c r="E36" s="254" t="s">
        <v>86</v>
      </c>
      <c r="F36" s="254" t="s">
        <v>86</v>
      </c>
      <c r="G36" s="387"/>
      <c r="H36" s="248">
        <f>+G36</f>
        <v>0</v>
      </c>
      <c r="I36" s="252">
        <v>3.5000000000000001E-3</v>
      </c>
      <c r="J36" s="253">
        <f t="shared" si="5"/>
        <v>-157721335.7411485</v>
      </c>
      <c r="K36" s="253">
        <f t="shared" si="6"/>
        <v>-552024.67509401974</v>
      </c>
      <c r="L36" s="253">
        <f t="shared" si="4"/>
        <v>-158273360.41624251</v>
      </c>
    </row>
    <row r="37" spans="1:12">
      <c r="A37" s="2">
        <f t="shared" si="0"/>
        <v>24</v>
      </c>
      <c r="B37" s="246"/>
      <c r="C37" s="21" t="s">
        <v>201</v>
      </c>
      <c r="D37" s="157">
        <v>2018</v>
      </c>
      <c r="E37" s="254" t="s">
        <v>86</v>
      </c>
      <c r="F37" s="254" t="s">
        <v>86</v>
      </c>
      <c r="G37" s="387"/>
      <c r="H37" s="248">
        <f t="shared" ref="H37:H44" si="7">+G37</f>
        <v>0</v>
      </c>
      <c r="I37" s="252">
        <v>3.5000000000000001E-3</v>
      </c>
      <c r="J37" s="253">
        <f t="shared" si="5"/>
        <v>-158273360.41624251</v>
      </c>
      <c r="K37" s="253">
        <f t="shared" si="6"/>
        <v>-553956.76145684882</v>
      </c>
      <c r="L37" s="253">
        <f t="shared" si="4"/>
        <v>-158827317.17769936</v>
      </c>
    </row>
    <row r="38" spans="1:12">
      <c r="A38" s="2">
        <f t="shared" si="0"/>
        <v>25</v>
      </c>
      <c r="B38" s="246"/>
      <c r="C38" s="21" t="s">
        <v>214</v>
      </c>
      <c r="D38" s="157">
        <v>2018</v>
      </c>
      <c r="E38" s="254" t="s">
        <v>86</v>
      </c>
      <c r="F38" s="254" t="s">
        <v>86</v>
      </c>
      <c r="G38" s="387"/>
      <c r="H38" s="248">
        <f t="shared" si="7"/>
        <v>0</v>
      </c>
      <c r="I38" s="252">
        <v>3.5000000000000001E-3</v>
      </c>
      <c r="J38" s="253">
        <f t="shared" si="5"/>
        <v>-158827317.17769936</v>
      </c>
      <c r="K38" s="253">
        <f t="shared" si="6"/>
        <v>-555895.61012194771</v>
      </c>
      <c r="L38" s="253">
        <f t="shared" si="4"/>
        <v>-159383212.78782129</v>
      </c>
    </row>
    <row r="39" spans="1:12">
      <c r="A39" s="2">
        <f t="shared" si="0"/>
        <v>26</v>
      </c>
      <c r="B39" s="246"/>
      <c r="C39" s="20" t="s">
        <v>202</v>
      </c>
      <c r="D39" s="157">
        <v>2018</v>
      </c>
      <c r="E39" s="254" t="s">
        <v>86</v>
      </c>
      <c r="F39" s="254" t="s">
        <v>86</v>
      </c>
      <c r="G39" s="387"/>
      <c r="H39" s="248">
        <f t="shared" si="7"/>
        <v>0</v>
      </c>
      <c r="I39" s="252">
        <v>3.7000000000000002E-3</v>
      </c>
      <c r="J39" s="253">
        <f t="shared" si="5"/>
        <v>-159383212.78782129</v>
      </c>
      <c r="K39" s="253">
        <f t="shared" si="6"/>
        <v>-589717.88731493882</v>
      </c>
      <c r="L39" s="253">
        <f t="shared" si="4"/>
        <v>-159972930.67513624</v>
      </c>
    </row>
    <row r="40" spans="1:12">
      <c r="A40" s="2">
        <f t="shared" si="0"/>
        <v>27</v>
      </c>
      <c r="B40" s="246"/>
      <c r="C40" s="21" t="s">
        <v>203</v>
      </c>
      <c r="D40" s="157">
        <v>2018</v>
      </c>
      <c r="E40" s="254" t="s">
        <v>86</v>
      </c>
      <c r="F40" s="254" t="s">
        <v>86</v>
      </c>
      <c r="G40" s="387"/>
      <c r="H40" s="248">
        <f t="shared" si="7"/>
        <v>0</v>
      </c>
      <c r="I40" s="252">
        <v>3.7000000000000002E-3</v>
      </c>
      <c r="J40" s="253">
        <f t="shared" si="5"/>
        <v>-159972930.67513624</v>
      </c>
      <c r="K40" s="253">
        <f t="shared" si="6"/>
        <v>-591899.84349800413</v>
      </c>
      <c r="L40" s="253">
        <f t="shared" si="4"/>
        <v>-160564830.51863423</v>
      </c>
    </row>
    <row r="41" spans="1:12">
      <c r="A41" s="2">
        <f t="shared" si="0"/>
        <v>28</v>
      </c>
      <c r="B41" s="246"/>
      <c r="C41" s="21" t="s">
        <v>204</v>
      </c>
      <c r="D41" s="157">
        <v>2018</v>
      </c>
      <c r="E41" s="254" t="s">
        <v>86</v>
      </c>
      <c r="F41" s="254" t="s">
        <v>86</v>
      </c>
      <c r="G41" s="387"/>
      <c r="H41" s="248">
        <f t="shared" si="7"/>
        <v>0</v>
      </c>
      <c r="I41" s="252">
        <v>3.7000000000000002E-3</v>
      </c>
      <c r="J41" s="253">
        <f t="shared" si="5"/>
        <v>-160564830.51863423</v>
      </c>
      <c r="K41" s="253">
        <f t="shared" si="6"/>
        <v>-594089.87291894667</v>
      </c>
      <c r="L41" s="253">
        <f t="shared" si="4"/>
        <v>-161158920.39155316</v>
      </c>
    </row>
    <row r="42" spans="1:12">
      <c r="A42" s="2">
        <f t="shared" si="0"/>
        <v>29</v>
      </c>
      <c r="B42" s="246"/>
      <c r="C42" s="20" t="s">
        <v>205</v>
      </c>
      <c r="D42" s="157">
        <v>2018</v>
      </c>
      <c r="E42" s="254" t="s">
        <v>86</v>
      </c>
      <c r="F42" s="254" t="s">
        <v>86</v>
      </c>
      <c r="G42" s="387"/>
      <c r="H42" s="248">
        <f t="shared" si="7"/>
        <v>0</v>
      </c>
      <c r="I42" s="252">
        <v>3.7000000000000002E-3</v>
      </c>
      <c r="J42" s="253">
        <f t="shared" si="5"/>
        <v>-161158920.39155316</v>
      </c>
      <c r="K42" s="253">
        <f t="shared" si="6"/>
        <v>-596288.00544874673</v>
      </c>
      <c r="L42" s="253">
        <f t="shared" si="4"/>
        <v>-161755208.39700192</v>
      </c>
    </row>
    <row r="43" spans="1:12">
      <c r="A43" s="2">
        <f t="shared" si="0"/>
        <v>30</v>
      </c>
      <c r="B43" s="246"/>
      <c r="C43" s="21" t="s">
        <v>206</v>
      </c>
      <c r="D43" s="157">
        <v>2018</v>
      </c>
      <c r="E43" s="254" t="s">
        <v>86</v>
      </c>
      <c r="F43" s="254" t="s">
        <v>86</v>
      </c>
      <c r="G43" s="387"/>
      <c r="H43" s="248">
        <f t="shared" si="7"/>
        <v>0</v>
      </c>
      <c r="I43" s="252">
        <v>3.7000000000000002E-3</v>
      </c>
      <c r="J43" s="253">
        <f t="shared" si="5"/>
        <v>-161755208.39700192</v>
      </c>
      <c r="K43" s="253">
        <f t="shared" si="6"/>
        <v>-598494.27106890711</v>
      </c>
      <c r="L43" s="253">
        <f t="shared" si="4"/>
        <v>-162353702.66807082</v>
      </c>
    </row>
    <row r="44" spans="1:12">
      <c r="A44" s="2">
        <f t="shared" si="0"/>
        <v>31</v>
      </c>
      <c r="B44" s="246"/>
      <c r="C44" s="21" t="s">
        <v>207</v>
      </c>
      <c r="D44" s="157">
        <v>2018</v>
      </c>
      <c r="E44" s="254" t="s">
        <v>86</v>
      </c>
      <c r="F44" s="254" t="s">
        <v>86</v>
      </c>
      <c r="G44" s="387"/>
      <c r="H44" s="248">
        <f t="shared" si="7"/>
        <v>0</v>
      </c>
      <c r="I44" s="252">
        <v>3.7000000000000002E-3</v>
      </c>
      <c r="J44" s="253">
        <f t="shared" si="5"/>
        <v>-162353702.66807082</v>
      </c>
      <c r="K44" s="253">
        <f t="shared" si="6"/>
        <v>-600708.69987186207</v>
      </c>
      <c r="L44" s="253">
        <f t="shared" si="4"/>
        <v>-162954411.36794269</v>
      </c>
    </row>
    <row r="45" spans="1:12">
      <c r="A45" s="120">
        <f t="shared" si="0"/>
        <v>32</v>
      </c>
      <c r="B45" s="246"/>
      <c r="C45" s="21" t="s">
        <v>210</v>
      </c>
      <c r="D45" s="157">
        <v>2018</v>
      </c>
      <c r="E45" s="254" t="s">
        <v>86</v>
      </c>
      <c r="F45" s="254" t="s">
        <v>86</v>
      </c>
      <c r="G45" s="387"/>
      <c r="H45" s="248">
        <f t="shared" ref="H45:H47" si="8">+G45</f>
        <v>0</v>
      </c>
      <c r="I45" s="252">
        <v>3.7000000000000002E-3</v>
      </c>
      <c r="J45" s="253">
        <f t="shared" ref="J45:J47" si="9">L44+H45</f>
        <v>-162954411.36794269</v>
      </c>
      <c r="K45" s="253">
        <f t="shared" ref="K45:K47" si="10">((L44+J45)/2)*I45</f>
        <v>-602931.32206138794</v>
      </c>
      <c r="L45" s="253">
        <f t="shared" ref="L45:L47" si="11">J45+K45</f>
        <v>-163557342.69000408</v>
      </c>
    </row>
    <row r="46" spans="1:12">
      <c r="A46" s="120">
        <f t="shared" si="0"/>
        <v>33</v>
      </c>
      <c r="B46" s="246"/>
      <c r="C46" s="21" t="s">
        <v>209</v>
      </c>
      <c r="D46" s="157">
        <v>2018</v>
      </c>
      <c r="E46" s="254" t="s">
        <v>86</v>
      </c>
      <c r="F46" s="254" t="s">
        <v>86</v>
      </c>
      <c r="G46" s="387"/>
      <c r="H46" s="248">
        <f t="shared" si="8"/>
        <v>0</v>
      </c>
      <c r="I46" s="252">
        <v>3.7000000000000002E-3</v>
      </c>
      <c r="J46" s="253">
        <f t="shared" si="9"/>
        <v>-163557342.69000408</v>
      </c>
      <c r="K46" s="253">
        <f t="shared" si="10"/>
        <v>-605162.16795301507</v>
      </c>
      <c r="L46" s="253">
        <f t="shared" si="11"/>
        <v>-164162504.85795709</v>
      </c>
    </row>
    <row r="47" spans="1:12">
      <c r="A47" s="120">
        <f t="shared" si="0"/>
        <v>34</v>
      </c>
      <c r="B47" s="246"/>
      <c r="C47" s="21" t="s">
        <v>199</v>
      </c>
      <c r="D47" s="157">
        <v>2018</v>
      </c>
      <c r="E47" s="254" t="s">
        <v>86</v>
      </c>
      <c r="F47" s="254" t="s">
        <v>86</v>
      </c>
      <c r="G47" s="387"/>
      <c r="H47" s="248">
        <f t="shared" si="8"/>
        <v>0</v>
      </c>
      <c r="I47" s="252">
        <v>3.7000000000000002E-3</v>
      </c>
      <c r="J47" s="253">
        <f t="shared" si="9"/>
        <v>-164162504.85795709</v>
      </c>
      <c r="K47" s="253">
        <f t="shared" si="10"/>
        <v>-607401.26797444129</v>
      </c>
      <c r="L47" s="253">
        <f t="shared" si="11"/>
        <v>-164769906.12593153</v>
      </c>
    </row>
    <row r="48" spans="1:12">
      <c r="A48" s="120">
        <f t="shared" si="0"/>
        <v>35</v>
      </c>
      <c r="B48" s="246"/>
      <c r="C48" s="21"/>
      <c r="D48" s="24"/>
      <c r="E48" s="255"/>
      <c r="F48" s="255"/>
      <c r="G48" s="256"/>
      <c r="H48" s="250"/>
      <c r="I48" s="257"/>
      <c r="J48" s="253"/>
      <c r="K48" s="253"/>
      <c r="L48" s="253"/>
    </row>
    <row r="49" spans="1:12">
      <c r="A49" s="120">
        <f t="shared" si="0"/>
        <v>36</v>
      </c>
      <c r="B49" s="22" t="s">
        <v>2545</v>
      </c>
      <c r="D49" s="24"/>
      <c r="E49" s="255"/>
      <c r="F49" s="255"/>
      <c r="G49" s="256"/>
      <c r="H49" s="250"/>
      <c r="I49" s="257"/>
      <c r="J49" s="253"/>
      <c r="K49" s="253"/>
      <c r="L49" s="253"/>
    </row>
    <row r="50" spans="1:12">
      <c r="A50" s="120">
        <f t="shared" si="0"/>
        <v>37</v>
      </c>
      <c r="B50" s="22"/>
      <c r="D50" s="91" t="s">
        <v>391</v>
      </c>
      <c r="E50" s="91" t="s">
        <v>375</v>
      </c>
      <c r="F50" s="91" t="s">
        <v>376</v>
      </c>
      <c r="G50" s="91" t="s">
        <v>377</v>
      </c>
      <c r="H50" s="91" t="s">
        <v>378</v>
      </c>
      <c r="I50" s="91" t="s">
        <v>379</v>
      </c>
      <c r="J50" s="91" t="s">
        <v>380</v>
      </c>
      <c r="K50" s="91" t="s">
        <v>593</v>
      </c>
      <c r="L50" s="253"/>
    </row>
    <row r="51" spans="1:12">
      <c r="A51" s="120">
        <f t="shared" si="0"/>
        <v>38</v>
      </c>
      <c r="B51" s="22"/>
      <c r="D51" s="91"/>
      <c r="E51" s="94" t="s">
        <v>1150</v>
      </c>
      <c r="F51" s="94" t="s">
        <v>1151</v>
      </c>
      <c r="G51" s="94" t="s">
        <v>1152</v>
      </c>
      <c r="H51" s="103" t="s">
        <v>1153</v>
      </c>
      <c r="I51" s="94" t="s">
        <v>1154</v>
      </c>
      <c r="J51" s="103" t="s">
        <v>1155</v>
      </c>
      <c r="K51" s="254" t="s">
        <v>1156</v>
      </c>
      <c r="L51" s="253"/>
    </row>
    <row r="52" spans="1:12" ht="15">
      <c r="A52" s="120">
        <f t="shared" si="0"/>
        <v>39</v>
      </c>
      <c r="B52" s="22"/>
      <c r="D52" s="91"/>
      <c r="E52" s="94"/>
      <c r="F52" s="94"/>
      <c r="G52" s="259"/>
      <c r="H52" s="259" t="s">
        <v>211</v>
      </c>
      <c r="I52" s="94"/>
      <c r="J52" s="253"/>
      <c r="K52" s="259" t="s">
        <v>307</v>
      </c>
      <c r="L52" s="253"/>
    </row>
    <row r="53" spans="1:12" ht="15">
      <c r="A53" s="120">
        <f t="shared" si="0"/>
        <v>40</v>
      </c>
      <c r="B53" s="246"/>
      <c r="C53" s="21"/>
      <c r="D53" s="24"/>
      <c r="E53" s="2" t="s">
        <v>19</v>
      </c>
      <c r="F53" s="258" t="s">
        <v>211</v>
      </c>
      <c r="G53" s="259"/>
      <c r="H53" s="258" t="s">
        <v>1050</v>
      </c>
      <c r="I53" s="249" t="s">
        <v>23</v>
      </c>
      <c r="J53" s="259" t="s">
        <v>211</v>
      </c>
      <c r="K53" s="259" t="s">
        <v>176</v>
      </c>
      <c r="L53" s="253"/>
    </row>
    <row r="54" spans="1:12" ht="15">
      <c r="A54" s="120">
        <f t="shared" si="0"/>
        <v>41</v>
      </c>
      <c r="B54" s="246"/>
      <c r="D54" s="24"/>
      <c r="E54" s="2" t="s">
        <v>23</v>
      </c>
      <c r="F54" s="258" t="s">
        <v>1049</v>
      </c>
      <c r="G54" s="259"/>
      <c r="H54" s="258" t="s">
        <v>1051</v>
      </c>
      <c r="I54" s="2" t="s">
        <v>1148</v>
      </c>
      <c r="J54" s="258" t="s">
        <v>1050</v>
      </c>
      <c r="K54" s="259" t="s">
        <v>1157</v>
      </c>
      <c r="L54" s="253"/>
    </row>
    <row r="55" spans="1:12" ht="15">
      <c r="A55" s="120">
        <f t="shared" si="0"/>
        <v>42</v>
      </c>
      <c r="B55" s="246"/>
      <c r="C55" s="21"/>
      <c r="D55" s="25" t="s">
        <v>212</v>
      </c>
      <c r="E55" s="3" t="s">
        <v>13</v>
      </c>
      <c r="F55" s="260" t="s">
        <v>1051</v>
      </c>
      <c r="G55" s="261" t="s">
        <v>1158</v>
      </c>
      <c r="H55" s="261" t="s">
        <v>1046</v>
      </c>
      <c r="I55" s="3" t="s">
        <v>211</v>
      </c>
      <c r="J55" s="260" t="s">
        <v>1051</v>
      </c>
      <c r="K55" s="261" t="s">
        <v>1159</v>
      </c>
      <c r="L55" s="253"/>
    </row>
    <row r="56" spans="1:12">
      <c r="A56" s="120">
        <f t="shared" si="0"/>
        <v>43</v>
      </c>
      <c r="B56" s="246"/>
      <c r="C56" s="554" t="s">
        <v>200</v>
      </c>
      <c r="D56" s="700">
        <v>2019</v>
      </c>
      <c r="E56" s="257">
        <f>AVERAGE($I$36:$I$47)</f>
        <v>3.6500000000000009E-3</v>
      </c>
      <c r="F56" s="253">
        <f>L47</f>
        <v>-164769906.12593153</v>
      </c>
      <c r="G56" s="7">
        <f>$I$70/12</f>
        <v>-4969836.140083367</v>
      </c>
      <c r="H56" s="7">
        <f>F56+G56</f>
        <v>-169739742.2660149</v>
      </c>
      <c r="I56" s="7">
        <f>((F56+H56)/2)*E56</f>
        <v>-610480.10831530241</v>
      </c>
      <c r="J56" s="7">
        <f>H56+I56</f>
        <v>-170350222.37433019</v>
      </c>
      <c r="K56" s="7">
        <f>-G56</f>
        <v>4969836.140083367</v>
      </c>
      <c r="L56" s="253"/>
    </row>
    <row r="57" spans="1:12">
      <c r="A57" s="120">
        <f t="shared" si="0"/>
        <v>44</v>
      </c>
      <c r="B57" s="246"/>
      <c r="C57" s="554" t="s">
        <v>201</v>
      </c>
      <c r="D57" s="700">
        <v>2019</v>
      </c>
      <c r="E57" s="257">
        <f t="shared" ref="E57:E67" si="12">AVERAGE($I$36:$I$47)</f>
        <v>3.6500000000000009E-3</v>
      </c>
      <c r="F57" s="253">
        <f>J56</f>
        <v>-170350222.37433019</v>
      </c>
      <c r="G57" s="7">
        <f t="shared" ref="G57:G67" si="13">$I$70/12</f>
        <v>-4969836.140083367</v>
      </c>
      <c r="H57" s="7">
        <f t="shared" ref="H57:H67" si="14">F57+G57</f>
        <v>-175320058.51441357</v>
      </c>
      <c r="I57" s="7">
        <f t="shared" ref="I57:I67" si="15">((F57+H57)/2)*E57</f>
        <v>-630848.26262195746</v>
      </c>
      <c r="J57" s="7">
        <f>H57+I57</f>
        <v>-175950906.77703553</v>
      </c>
      <c r="K57" s="7">
        <f t="shared" ref="K57:K67" si="16">-G57</f>
        <v>4969836.140083367</v>
      </c>
      <c r="L57" s="253"/>
    </row>
    <row r="58" spans="1:12">
      <c r="A58" s="120">
        <f t="shared" si="0"/>
        <v>45</v>
      </c>
      <c r="B58" s="246"/>
      <c r="C58" s="554" t="s">
        <v>214</v>
      </c>
      <c r="D58" s="700">
        <v>2019</v>
      </c>
      <c r="E58" s="257">
        <f t="shared" si="12"/>
        <v>3.6500000000000009E-3</v>
      </c>
      <c r="F58" s="253">
        <f t="shared" ref="F58:F67" si="17">J57</f>
        <v>-175950906.77703553</v>
      </c>
      <c r="G58" s="7">
        <f t="shared" si="13"/>
        <v>-4969836.140083367</v>
      </c>
      <c r="H58" s="7">
        <f t="shared" si="14"/>
        <v>-180920742.91711891</v>
      </c>
      <c r="I58" s="7">
        <f t="shared" si="15"/>
        <v>-651290.76069183205</v>
      </c>
      <c r="J58" s="7">
        <f t="shared" ref="J58:J67" si="18">H58+I58</f>
        <v>-181572033.67781073</v>
      </c>
      <c r="K58" s="7">
        <f t="shared" si="16"/>
        <v>4969836.140083367</v>
      </c>
      <c r="L58" s="253"/>
    </row>
    <row r="59" spans="1:12">
      <c r="A59" s="120">
        <f t="shared" si="0"/>
        <v>46</v>
      </c>
      <c r="B59" s="246"/>
      <c r="C59" s="554" t="s">
        <v>202</v>
      </c>
      <c r="D59" s="700">
        <v>2019</v>
      </c>
      <c r="E59" s="257">
        <f t="shared" si="12"/>
        <v>3.6500000000000009E-3</v>
      </c>
      <c r="F59" s="253">
        <f t="shared" si="17"/>
        <v>-181572033.67781073</v>
      </c>
      <c r="G59" s="7">
        <f t="shared" si="13"/>
        <v>-4969836.140083367</v>
      </c>
      <c r="H59" s="7">
        <f t="shared" si="14"/>
        <v>-186541869.8178941</v>
      </c>
      <c r="I59" s="7">
        <f t="shared" si="15"/>
        <v>-671807.87387966143</v>
      </c>
      <c r="J59" s="7">
        <f t="shared" si="18"/>
        <v>-187213677.69177377</v>
      </c>
      <c r="K59" s="7">
        <f t="shared" si="16"/>
        <v>4969836.140083367</v>
      </c>
      <c r="L59" s="253"/>
    </row>
    <row r="60" spans="1:12">
      <c r="A60" s="120">
        <f t="shared" si="0"/>
        <v>47</v>
      </c>
      <c r="B60" s="246"/>
      <c r="C60" s="554" t="s">
        <v>203</v>
      </c>
      <c r="D60" s="700">
        <v>2019</v>
      </c>
      <c r="E60" s="257">
        <f t="shared" si="12"/>
        <v>3.6500000000000009E-3</v>
      </c>
      <c r="F60" s="253">
        <f t="shared" si="17"/>
        <v>-187213677.69177377</v>
      </c>
      <c r="G60" s="7">
        <f t="shared" si="13"/>
        <v>-4969836.140083367</v>
      </c>
      <c r="H60" s="7">
        <f t="shared" si="14"/>
        <v>-192183513.83185714</v>
      </c>
      <c r="I60" s="7">
        <f t="shared" si="15"/>
        <v>-692399.87453062658</v>
      </c>
      <c r="J60" s="7">
        <f t="shared" si="18"/>
        <v>-192875913.70638776</v>
      </c>
      <c r="K60" s="7">
        <f t="shared" si="16"/>
        <v>4969836.140083367</v>
      </c>
      <c r="L60" s="253"/>
    </row>
    <row r="61" spans="1:12">
      <c r="A61" s="120">
        <f t="shared" si="0"/>
        <v>48</v>
      </c>
      <c r="B61" s="246"/>
      <c r="C61" s="554" t="s">
        <v>1650</v>
      </c>
      <c r="D61" s="700">
        <v>2019</v>
      </c>
      <c r="E61" s="257">
        <f t="shared" si="12"/>
        <v>3.6500000000000009E-3</v>
      </c>
      <c r="F61" s="253">
        <f t="shared" si="17"/>
        <v>-192875913.70638776</v>
      </c>
      <c r="G61" s="7">
        <f t="shared" si="13"/>
        <v>-4969836.140083367</v>
      </c>
      <c r="H61" s="7">
        <f t="shared" si="14"/>
        <v>-197845749.84647113</v>
      </c>
      <c r="I61" s="7">
        <f t="shared" si="15"/>
        <v>-713067.03598396759</v>
      </c>
      <c r="J61" s="7">
        <f t="shared" si="18"/>
        <v>-198558816.88245511</v>
      </c>
      <c r="K61" s="7">
        <f t="shared" si="16"/>
        <v>4969836.140083367</v>
      </c>
      <c r="L61" s="253"/>
    </row>
    <row r="62" spans="1:12">
      <c r="A62" s="120">
        <f t="shared" si="0"/>
        <v>49</v>
      </c>
      <c r="B62" s="246"/>
      <c r="C62" s="554" t="s">
        <v>205</v>
      </c>
      <c r="D62" s="700">
        <v>2019</v>
      </c>
      <c r="E62" s="257">
        <f t="shared" si="12"/>
        <v>3.6500000000000009E-3</v>
      </c>
      <c r="F62" s="253">
        <f t="shared" si="17"/>
        <v>-198558816.88245511</v>
      </c>
      <c r="G62" s="7">
        <f t="shared" si="13"/>
        <v>-4969836.140083367</v>
      </c>
      <c r="H62" s="7">
        <f t="shared" si="14"/>
        <v>-203528653.02253848</v>
      </c>
      <c r="I62" s="7">
        <f t="shared" si="15"/>
        <v>-733809.63257661345</v>
      </c>
      <c r="J62" s="7">
        <f t="shared" si="18"/>
        <v>-204262462.6551151</v>
      </c>
      <c r="K62" s="7">
        <f t="shared" si="16"/>
        <v>4969836.140083367</v>
      </c>
      <c r="L62" s="253"/>
    </row>
    <row r="63" spans="1:12">
      <c r="A63" s="120">
        <f t="shared" si="0"/>
        <v>50</v>
      </c>
      <c r="B63" s="246"/>
      <c r="C63" s="554" t="s">
        <v>206</v>
      </c>
      <c r="D63" s="700">
        <v>2019</v>
      </c>
      <c r="E63" s="257">
        <f t="shared" si="12"/>
        <v>3.6500000000000009E-3</v>
      </c>
      <c r="F63" s="253">
        <f t="shared" si="17"/>
        <v>-204262462.6551151</v>
      </c>
      <c r="G63" s="7">
        <f t="shared" si="13"/>
        <v>-4969836.140083367</v>
      </c>
      <c r="H63" s="7">
        <f t="shared" si="14"/>
        <v>-209232298.79519847</v>
      </c>
      <c r="I63" s="7">
        <f t="shared" si="15"/>
        <v>-754627.9396468224</v>
      </c>
      <c r="J63" s="7">
        <f t="shared" si="18"/>
        <v>-209986926.73484528</v>
      </c>
      <c r="K63" s="7">
        <f t="shared" si="16"/>
        <v>4969836.140083367</v>
      </c>
      <c r="L63" s="253"/>
    </row>
    <row r="64" spans="1:12">
      <c r="A64" s="120">
        <f t="shared" si="0"/>
        <v>51</v>
      </c>
      <c r="B64" s="246"/>
      <c r="C64" s="554" t="s">
        <v>207</v>
      </c>
      <c r="D64" s="700">
        <v>2019</v>
      </c>
      <c r="E64" s="257">
        <f t="shared" si="12"/>
        <v>3.6500000000000009E-3</v>
      </c>
      <c r="F64" s="253">
        <f t="shared" si="17"/>
        <v>-209986926.73484528</v>
      </c>
      <c r="G64" s="7">
        <f t="shared" si="13"/>
        <v>-4969836.140083367</v>
      </c>
      <c r="H64" s="7">
        <f t="shared" si="14"/>
        <v>-214956762.87492865</v>
      </c>
      <c r="I64" s="7">
        <f t="shared" si="15"/>
        <v>-775522.23353783763</v>
      </c>
      <c r="J64" s="7">
        <f t="shared" si="18"/>
        <v>-215732285.10846648</v>
      </c>
      <c r="K64" s="7">
        <f t="shared" si="16"/>
        <v>4969836.140083367</v>
      </c>
      <c r="L64" s="253"/>
    </row>
    <row r="65" spans="1:12">
      <c r="A65" s="120">
        <f t="shared" si="0"/>
        <v>52</v>
      </c>
      <c r="B65" s="246"/>
      <c r="C65" s="554" t="s">
        <v>210</v>
      </c>
      <c r="D65" s="700">
        <v>2019</v>
      </c>
      <c r="E65" s="257">
        <f t="shared" si="12"/>
        <v>3.6500000000000009E-3</v>
      </c>
      <c r="F65" s="253">
        <f t="shared" si="17"/>
        <v>-215732285.10846648</v>
      </c>
      <c r="G65" s="7">
        <f t="shared" si="13"/>
        <v>-4969836.140083367</v>
      </c>
      <c r="H65" s="7">
        <f t="shared" si="14"/>
        <v>-220702121.24854985</v>
      </c>
      <c r="I65" s="7">
        <f t="shared" si="15"/>
        <v>-796492.79160155496</v>
      </c>
      <c r="J65" s="7">
        <f t="shared" si="18"/>
        <v>-221498614.04015142</v>
      </c>
      <c r="K65" s="7">
        <f t="shared" si="16"/>
        <v>4969836.140083367</v>
      </c>
      <c r="L65" s="253"/>
    </row>
    <row r="66" spans="1:12">
      <c r="A66" s="120">
        <f t="shared" si="0"/>
        <v>53</v>
      </c>
      <c r="B66" s="246"/>
      <c r="C66" s="554" t="s">
        <v>209</v>
      </c>
      <c r="D66" s="700">
        <v>2019</v>
      </c>
      <c r="E66" s="257">
        <f t="shared" si="12"/>
        <v>3.6500000000000009E-3</v>
      </c>
      <c r="F66" s="253">
        <f t="shared" si="17"/>
        <v>-221498614.04015142</v>
      </c>
      <c r="G66" s="7">
        <f t="shared" si="13"/>
        <v>-4969836.140083367</v>
      </c>
      <c r="H66" s="7">
        <f t="shared" si="14"/>
        <v>-226468450.18023479</v>
      </c>
      <c r="I66" s="7">
        <f t="shared" si="15"/>
        <v>-817539.89220220502</v>
      </c>
      <c r="J66" s="7">
        <f t="shared" si="18"/>
        <v>-227285990.07243699</v>
      </c>
      <c r="K66" s="7">
        <f t="shared" si="16"/>
        <v>4969836.140083367</v>
      </c>
      <c r="L66" s="253"/>
    </row>
    <row r="67" spans="1:12" ht="12.75" customHeight="1">
      <c r="A67" s="120">
        <f t="shared" si="0"/>
        <v>54</v>
      </c>
      <c r="B67" s="246"/>
      <c r="C67" s="554" t="s">
        <v>199</v>
      </c>
      <c r="D67" s="700">
        <v>2019</v>
      </c>
      <c r="E67" s="257">
        <f t="shared" si="12"/>
        <v>3.6500000000000009E-3</v>
      </c>
      <c r="F67" s="253">
        <f t="shared" si="17"/>
        <v>-227285990.07243699</v>
      </c>
      <c r="G67" s="98">
        <f t="shared" si="13"/>
        <v>-4969836.140083367</v>
      </c>
      <c r="H67" s="7">
        <f t="shared" si="14"/>
        <v>-232255826.21252036</v>
      </c>
      <c r="I67" s="7">
        <f t="shared" si="15"/>
        <v>-838663.8147200474</v>
      </c>
      <c r="J67" s="7">
        <f t="shared" si="18"/>
        <v>-233094490.0272404</v>
      </c>
      <c r="K67" s="98">
        <f t="shared" si="16"/>
        <v>4969836.140083367</v>
      </c>
      <c r="L67" s="253"/>
    </row>
    <row r="68" spans="1:12">
      <c r="A68" s="120">
        <f t="shared" si="0"/>
        <v>55</v>
      </c>
      <c r="B68" s="246"/>
      <c r="C68" s="21"/>
      <c r="D68" s="24"/>
      <c r="E68" s="255"/>
      <c r="F68" s="255"/>
      <c r="G68" s="250">
        <f>SUM(G56:G67)</f>
        <v>-59638033.681000389</v>
      </c>
      <c r="I68" s="257"/>
      <c r="J68" s="247" t="s">
        <v>1161</v>
      </c>
      <c r="K68" s="253">
        <f>SUM(K56:K67)</f>
        <v>59638033.681000389</v>
      </c>
      <c r="L68" s="253"/>
    </row>
    <row r="69" spans="1:12">
      <c r="A69" s="120">
        <f t="shared" si="0"/>
        <v>56</v>
      </c>
      <c r="B69" s="246"/>
      <c r="C69" s="21"/>
      <c r="D69" s="24"/>
      <c r="E69" s="255"/>
      <c r="F69" s="255"/>
      <c r="G69" s="256"/>
      <c r="H69" s="250"/>
      <c r="I69" s="257"/>
      <c r="J69" s="253"/>
      <c r="K69" s="253"/>
      <c r="L69" s="253"/>
    </row>
    <row r="70" spans="1:12">
      <c r="A70" s="120">
        <f t="shared" si="0"/>
        <v>57</v>
      </c>
      <c r="B70" s="246"/>
      <c r="C70" s="21"/>
      <c r="D70" s="24"/>
      <c r="E70" s="255"/>
      <c r="F70" s="255"/>
      <c r="G70" s="256"/>
      <c r="H70" s="262" t="s">
        <v>1160</v>
      </c>
      <c r="I70" s="250">
        <v>-59638033.681000404</v>
      </c>
      <c r="J70" s="253"/>
      <c r="K70" s="253"/>
      <c r="L70" s="253"/>
    </row>
    <row r="71" spans="1:12">
      <c r="A71" s="120">
        <f t="shared" si="0"/>
        <v>58</v>
      </c>
      <c r="B71" s="246"/>
      <c r="C71" s="21"/>
      <c r="D71" s="24"/>
      <c r="E71" s="246"/>
      <c r="F71" s="263"/>
      <c r="G71" s="257"/>
      <c r="H71" s="400"/>
      <c r="I71" s="246"/>
      <c r="J71" s="246"/>
      <c r="K71" s="246"/>
      <c r="L71" s="246"/>
    </row>
    <row r="72" spans="1:12">
      <c r="A72" s="120">
        <f t="shared" si="0"/>
        <v>59</v>
      </c>
      <c r="B72" s="1" t="s">
        <v>540</v>
      </c>
      <c r="C72" s="21"/>
      <c r="D72" s="24"/>
      <c r="E72" s="246"/>
      <c r="F72" s="263"/>
      <c r="G72" s="257"/>
      <c r="H72" s="263"/>
      <c r="I72" s="246"/>
      <c r="J72" s="246"/>
      <c r="K72" s="246"/>
      <c r="L72" s="246"/>
    </row>
    <row r="73" spans="1:12">
      <c r="A73" s="120">
        <f t="shared" si="0"/>
        <v>60</v>
      </c>
      <c r="B73" s="1"/>
      <c r="C73" s="21"/>
      <c r="D73" s="24"/>
      <c r="E73" s="246"/>
      <c r="F73" s="550" t="s">
        <v>256</v>
      </c>
      <c r="G73" s="257"/>
      <c r="H73" s="263"/>
      <c r="I73" s="246"/>
      <c r="J73" s="246"/>
      <c r="K73" s="246"/>
      <c r="L73" s="246"/>
    </row>
    <row r="74" spans="1:12">
      <c r="A74" s="120">
        <f t="shared" si="0"/>
        <v>61</v>
      </c>
      <c r="B74" s="246"/>
      <c r="C74" s="21"/>
      <c r="D74" s="247" t="s">
        <v>1161</v>
      </c>
      <c r="E74" s="389">
        <f>K68</f>
        <v>59638033.681000389</v>
      </c>
      <c r="F74" s="514" t="s">
        <v>2569</v>
      </c>
      <c r="G74" s="257"/>
      <c r="H74" s="263"/>
      <c r="I74" s="246"/>
      <c r="J74" s="246"/>
      <c r="K74" s="246"/>
      <c r="L74" s="246"/>
    </row>
    <row r="75" spans="1:12">
      <c r="A75" s="120">
        <f t="shared" si="0"/>
        <v>62</v>
      </c>
      <c r="B75" s="246"/>
      <c r="C75" s="21"/>
      <c r="D75" s="92" t="s">
        <v>32</v>
      </c>
      <c r="E75" s="248">
        <f>E74</f>
        <v>59638033.681000389</v>
      </c>
      <c r="F75" s="156" t="str">
        <f>"Line "&amp;A74&amp;".  Positive amount is to be collected by SCE (included in Base TRR as a positive amount)."</f>
        <v>Line 61.  Positive amount is to be collected by SCE (included in Base TRR as a positive amount).</v>
      </c>
      <c r="G75" s="257"/>
      <c r="H75" s="263"/>
      <c r="I75" s="246"/>
      <c r="J75" s="246"/>
      <c r="K75" s="246"/>
      <c r="L75" s="246"/>
    </row>
    <row r="76" spans="1:12">
      <c r="A76" s="120">
        <f t="shared" si="0"/>
        <v>63</v>
      </c>
      <c r="B76" s="246"/>
      <c r="C76" s="246"/>
      <c r="D76" s="246"/>
      <c r="E76" s="246"/>
      <c r="F76" s="549" t="s">
        <v>1719</v>
      </c>
      <c r="G76" s="246"/>
      <c r="H76" s="246"/>
      <c r="I76" s="246"/>
      <c r="J76" s="246"/>
      <c r="K76" s="246"/>
      <c r="L76" s="246"/>
    </row>
    <row r="77" spans="1:12">
      <c r="A77" s="120">
        <f t="shared" si="0"/>
        <v>64</v>
      </c>
      <c r="B77" s="1" t="s">
        <v>1052</v>
      </c>
      <c r="C77" s="246"/>
      <c r="D77" s="246"/>
      <c r="E77" s="246"/>
      <c r="F77" s="265"/>
      <c r="G77" s="246"/>
      <c r="H77" s="246"/>
      <c r="I77" s="246"/>
      <c r="J77" s="246"/>
      <c r="K77" s="246"/>
      <c r="L77" s="246"/>
    </row>
    <row r="78" spans="1:12">
      <c r="A78" s="120">
        <f t="shared" si="0"/>
        <v>65</v>
      </c>
      <c r="B78" s="13" t="s">
        <v>406</v>
      </c>
      <c r="C78" s="246"/>
      <c r="D78" s="246"/>
      <c r="E78" s="246"/>
      <c r="F78" s="246"/>
      <c r="G78" s="246"/>
      <c r="H78" s="246"/>
      <c r="I78" s="246"/>
      <c r="J78" s="246"/>
      <c r="K78" s="246"/>
      <c r="L78" s="246"/>
    </row>
    <row r="79" spans="1:12">
      <c r="A79" s="120">
        <f t="shared" si="0"/>
        <v>66</v>
      </c>
      <c r="B79" s="13" t="s">
        <v>407</v>
      </c>
      <c r="C79" s="246"/>
      <c r="D79" s="246"/>
      <c r="E79" s="246"/>
      <c r="F79" s="246"/>
      <c r="G79" s="246"/>
      <c r="H79" s="246"/>
      <c r="I79" s="246"/>
      <c r="J79" s="246"/>
      <c r="K79" s="246"/>
      <c r="L79" s="246"/>
    </row>
    <row r="80" spans="1:12">
      <c r="A80" s="120">
        <f t="shared" si="0"/>
        <v>67</v>
      </c>
      <c r="B80" s="13" t="s">
        <v>408</v>
      </c>
      <c r="C80" s="246"/>
      <c r="D80" s="246"/>
      <c r="E80" s="246"/>
      <c r="F80" s="246"/>
      <c r="G80" s="246"/>
      <c r="H80" s="246"/>
      <c r="I80" s="246"/>
      <c r="J80" s="246"/>
      <c r="K80" s="246"/>
      <c r="L80" s="246"/>
    </row>
    <row r="81" spans="1:12">
      <c r="A81" s="120">
        <f t="shared" si="0"/>
        <v>68</v>
      </c>
      <c r="B81" s="246"/>
      <c r="C81" s="246"/>
      <c r="D81" s="246"/>
      <c r="E81" s="246"/>
      <c r="F81" s="246"/>
      <c r="G81" s="246"/>
      <c r="H81" s="246"/>
      <c r="I81" s="246"/>
      <c r="J81" s="246"/>
      <c r="K81" s="246"/>
      <c r="L81" s="246"/>
    </row>
    <row r="82" spans="1:12">
      <c r="A82" s="120">
        <f t="shared" ref="A82:A122" si="19">A81+1</f>
        <v>69</v>
      </c>
      <c r="B82" s="1" t="s">
        <v>1326</v>
      </c>
      <c r="C82" s="246"/>
      <c r="D82" s="246"/>
      <c r="E82" s="246"/>
      <c r="F82" s="246"/>
      <c r="G82" s="246"/>
      <c r="H82" s="246"/>
      <c r="I82" s="246"/>
      <c r="J82" s="246"/>
      <c r="K82" s="246"/>
      <c r="L82" s="246"/>
    </row>
    <row r="83" spans="1:12">
      <c r="A83" s="120">
        <f t="shared" si="19"/>
        <v>70</v>
      </c>
      <c r="B83" s="246"/>
      <c r="C83" s="246"/>
      <c r="D83" s="249" t="s">
        <v>1274</v>
      </c>
      <c r="E83" s="246"/>
      <c r="G83" s="246"/>
      <c r="H83" s="246"/>
      <c r="I83" s="246"/>
      <c r="J83" s="246"/>
      <c r="K83" s="246"/>
      <c r="L83" s="246"/>
    </row>
    <row r="84" spans="1:12">
      <c r="A84" s="120">
        <f t="shared" si="19"/>
        <v>71</v>
      </c>
      <c r="B84" s="246"/>
      <c r="C84" s="25" t="s">
        <v>211</v>
      </c>
      <c r="D84" s="3" t="s">
        <v>1162</v>
      </c>
      <c r="E84" s="3" t="s">
        <v>262</v>
      </c>
      <c r="G84" s="256"/>
      <c r="H84" s="256"/>
      <c r="I84" s="256"/>
      <c r="J84" s="256"/>
      <c r="K84" s="256"/>
      <c r="L84" s="256"/>
    </row>
    <row r="85" spans="1:12">
      <c r="A85" s="120">
        <f t="shared" si="19"/>
        <v>72</v>
      </c>
      <c r="B85" s="246"/>
      <c r="C85" s="20" t="s">
        <v>200</v>
      </c>
      <c r="D85" s="135">
        <v>6.3763211440757639E-2</v>
      </c>
      <c r="E85" s="13" t="s">
        <v>1334</v>
      </c>
      <c r="G85" s="256"/>
      <c r="H85" s="256"/>
      <c r="I85" s="256"/>
      <c r="J85" s="256"/>
      <c r="K85" s="256"/>
      <c r="L85" s="256"/>
    </row>
    <row r="86" spans="1:12">
      <c r="A86" s="120">
        <f t="shared" si="19"/>
        <v>73</v>
      </c>
      <c r="B86" s="246"/>
      <c r="C86" s="21" t="s">
        <v>201</v>
      </c>
      <c r="D86" s="135">
        <v>5.6553289888256801E-2</v>
      </c>
      <c r="G86" s="256"/>
      <c r="H86" s="256"/>
      <c r="I86" s="256"/>
      <c r="J86" s="256"/>
      <c r="K86" s="256"/>
      <c r="L86" s="256"/>
    </row>
    <row r="87" spans="1:12">
      <c r="A87" s="120">
        <f t="shared" si="19"/>
        <v>74</v>
      </c>
      <c r="B87" s="246"/>
      <c r="C87" s="21" t="s">
        <v>214</v>
      </c>
      <c r="D87" s="135">
        <v>7.1828142218240867E-2</v>
      </c>
      <c r="E87" s="13"/>
      <c r="G87" s="256"/>
      <c r="H87" s="256"/>
      <c r="I87" s="256"/>
      <c r="J87" s="256"/>
      <c r="K87" s="256"/>
      <c r="L87" s="256"/>
    </row>
    <row r="88" spans="1:12">
      <c r="A88" s="120">
        <f t="shared" si="19"/>
        <v>75</v>
      </c>
      <c r="B88" s="246"/>
      <c r="C88" s="20" t="s">
        <v>202</v>
      </c>
      <c r="D88" s="135">
        <v>8.2236801934806855E-2</v>
      </c>
      <c r="E88" s="160"/>
      <c r="G88" s="256"/>
      <c r="H88" s="256"/>
      <c r="I88" s="256"/>
      <c r="J88" s="256"/>
      <c r="K88" s="256"/>
      <c r="L88" s="256"/>
    </row>
    <row r="89" spans="1:12">
      <c r="A89" s="120">
        <f t="shared" si="19"/>
        <v>76</v>
      </c>
      <c r="B89" s="246"/>
      <c r="C89" s="21" t="s">
        <v>203</v>
      </c>
      <c r="D89" s="135">
        <v>8.01837425905748E-2</v>
      </c>
      <c r="E89" s="266"/>
      <c r="G89" s="256"/>
      <c r="H89" s="256"/>
      <c r="I89" s="256"/>
      <c r="J89" s="256"/>
      <c r="K89" s="256"/>
      <c r="L89" s="256"/>
    </row>
    <row r="90" spans="1:12">
      <c r="A90" s="120">
        <f t="shared" si="19"/>
        <v>77</v>
      </c>
      <c r="B90" s="246"/>
      <c r="C90" s="21" t="s">
        <v>204</v>
      </c>
      <c r="D90" s="135">
        <v>8.9450501877561497E-2</v>
      </c>
      <c r="E90" s="266"/>
      <c r="G90" s="256"/>
      <c r="H90" s="256"/>
      <c r="I90" s="256"/>
      <c r="J90" s="256"/>
      <c r="K90" s="256"/>
      <c r="L90" s="256"/>
    </row>
    <row r="91" spans="1:12">
      <c r="A91" s="120">
        <f t="shared" si="19"/>
        <v>78</v>
      </c>
      <c r="B91" s="246"/>
      <c r="C91" s="20" t="s">
        <v>205</v>
      </c>
      <c r="D91" s="135">
        <v>9.8908415854749826E-2</v>
      </c>
      <c r="E91" s="266"/>
      <c r="G91" s="256"/>
      <c r="H91" s="256"/>
      <c r="I91" s="256"/>
      <c r="J91" s="256"/>
      <c r="K91" s="256"/>
      <c r="L91" s="256"/>
    </row>
    <row r="92" spans="1:12">
      <c r="A92" s="120">
        <f t="shared" si="19"/>
        <v>79</v>
      </c>
      <c r="B92" s="246"/>
      <c r="C92" s="21" t="s">
        <v>206</v>
      </c>
      <c r="D92" s="135">
        <v>0.10141004323318151</v>
      </c>
      <c r="E92" s="266"/>
      <c r="G92" s="256"/>
      <c r="H92" s="256"/>
      <c r="I92" s="256"/>
      <c r="J92" s="256"/>
      <c r="K92" s="256"/>
      <c r="L92" s="256"/>
    </row>
    <row r="93" spans="1:12">
      <c r="A93" s="120">
        <f t="shared" si="19"/>
        <v>80</v>
      </c>
      <c r="B93" s="246"/>
      <c r="C93" s="21" t="s">
        <v>207</v>
      </c>
      <c r="D93" s="135">
        <v>0.10217900008822713</v>
      </c>
      <c r="E93" s="266"/>
      <c r="G93" s="256"/>
      <c r="H93" s="256"/>
      <c r="I93" s="256"/>
      <c r="J93" s="256"/>
      <c r="K93" s="256"/>
      <c r="L93" s="256"/>
    </row>
    <row r="94" spans="1:12">
      <c r="A94" s="120">
        <f t="shared" si="19"/>
        <v>81</v>
      </c>
      <c r="B94" s="246"/>
      <c r="C94" s="20" t="s">
        <v>210</v>
      </c>
      <c r="D94" s="135">
        <v>9.1787269171678454E-2</v>
      </c>
      <c r="E94" s="266"/>
      <c r="G94" s="256"/>
      <c r="H94" s="256"/>
      <c r="I94" s="256"/>
      <c r="J94" s="256"/>
      <c r="K94" s="256"/>
      <c r="L94" s="256"/>
    </row>
    <row r="95" spans="1:12">
      <c r="A95" s="120">
        <f t="shared" si="19"/>
        <v>82</v>
      </c>
      <c r="B95" s="246"/>
      <c r="C95" s="20" t="s">
        <v>209</v>
      </c>
      <c r="D95" s="135">
        <v>7.5296938318149625E-2</v>
      </c>
      <c r="E95" s="266"/>
      <c r="G95" s="246"/>
      <c r="H95" s="246"/>
      <c r="I95" s="246"/>
      <c r="J95" s="246"/>
      <c r="K95" s="246"/>
      <c r="L95" s="246"/>
    </row>
    <row r="96" spans="1:12">
      <c r="A96" s="120">
        <f t="shared" si="19"/>
        <v>83</v>
      </c>
      <c r="B96" s="246"/>
      <c r="C96" s="21" t="s">
        <v>199</v>
      </c>
      <c r="D96" s="401">
        <v>8.640264338381512E-2</v>
      </c>
      <c r="E96" s="165"/>
      <c r="G96" s="246"/>
      <c r="H96" s="246"/>
      <c r="I96" s="246"/>
      <c r="J96" s="246"/>
      <c r="K96" s="246"/>
      <c r="L96" s="246"/>
    </row>
    <row r="97" spans="1:16">
      <c r="A97" s="120">
        <f t="shared" si="19"/>
        <v>84</v>
      </c>
      <c r="B97" s="246"/>
      <c r="C97" s="34" t="s">
        <v>4</v>
      </c>
      <c r="D97" s="415">
        <f>SUM(D85:D96)</f>
        <v>1.0000000000000002</v>
      </c>
      <c r="E97" s="246"/>
      <c r="G97" s="246"/>
      <c r="H97" s="246"/>
      <c r="I97" s="246"/>
      <c r="J97" s="246"/>
      <c r="K97" s="246"/>
      <c r="L97" s="246"/>
    </row>
    <row r="98" spans="1:16">
      <c r="A98" s="120">
        <f t="shared" si="19"/>
        <v>85</v>
      </c>
      <c r="B98" s="246"/>
      <c r="C98" s="246"/>
      <c r="D98" s="246"/>
      <c r="E98" s="246"/>
      <c r="F98" s="2"/>
      <c r="G98" s="246"/>
      <c r="H98" s="246"/>
      <c r="I98" s="246"/>
      <c r="J98" s="246"/>
      <c r="K98" s="246"/>
      <c r="L98" s="246"/>
    </row>
    <row r="99" spans="1:16">
      <c r="A99" s="120">
        <f t="shared" si="19"/>
        <v>86</v>
      </c>
      <c r="B99" s="1" t="s">
        <v>1394</v>
      </c>
      <c r="C99" s="246"/>
      <c r="D99" s="246"/>
      <c r="E99" s="246"/>
      <c r="F99" s="2"/>
      <c r="G99" s="246"/>
      <c r="H99" s="246"/>
      <c r="I99" s="246"/>
      <c r="J99" s="246"/>
      <c r="K99" s="246"/>
      <c r="L99" s="246"/>
    </row>
    <row r="100" spans="1:16">
      <c r="A100" s="120">
        <f t="shared" si="19"/>
        <v>87</v>
      </c>
      <c r="B100" s="246"/>
      <c r="C100" s="246"/>
      <c r="D100" s="246"/>
      <c r="E100" s="246"/>
      <c r="F100" s="2"/>
      <c r="G100" s="246"/>
      <c r="H100" s="246"/>
      <c r="I100" s="246"/>
      <c r="J100" s="246"/>
      <c r="K100" s="246"/>
      <c r="L100" s="246"/>
    </row>
    <row r="101" spans="1:16">
      <c r="A101" s="120">
        <f t="shared" si="19"/>
        <v>88</v>
      </c>
      <c r="B101" s="246"/>
      <c r="C101" s="91" t="s">
        <v>391</v>
      </c>
      <c r="D101" s="91" t="s">
        <v>375</v>
      </c>
      <c r="E101" s="91" t="s">
        <v>376</v>
      </c>
      <c r="F101" s="91" t="s">
        <v>377</v>
      </c>
      <c r="G101" s="91" t="s">
        <v>378</v>
      </c>
      <c r="H101" s="91" t="s">
        <v>379</v>
      </c>
      <c r="I101" s="91" t="s">
        <v>380</v>
      </c>
      <c r="J101" s="246"/>
    </row>
    <row r="102" spans="1:16">
      <c r="A102" s="120">
        <f t="shared" si="19"/>
        <v>89</v>
      </c>
      <c r="B102" s="246"/>
      <c r="C102" s="94" t="s">
        <v>1163</v>
      </c>
      <c r="D102" s="94" t="s">
        <v>1398</v>
      </c>
      <c r="E102" s="91"/>
      <c r="F102" s="91"/>
      <c r="G102" s="91"/>
      <c r="H102" s="91"/>
      <c r="I102" s="94" t="s">
        <v>584</v>
      </c>
      <c r="J102" s="246"/>
      <c r="K102" s="246"/>
      <c r="L102" s="246"/>
    </row>
    <row r="103" spans="1:16">
      <c r="A103" s="120">
        <f t="shared" si="19"/>
        <v>90</v>
      </c>
      <c r="B103" s="246"/>
      <c r="C103" s="246"/>
      <c r="D103" s="246"/>
      <c r="E103" s="246"/>
      <c r="F103" s="2"/>
      <c r="G103" s="246"/>
      <c r="H103" s="246"/>
      <c r="I103" s="246"/>
      <c r="J103" s="246"/>
      <c r="K103" s="418"/>
      <c r="L103" s="246"/>
    </row>
    <row r="104" spans="1:16">
      <c r="A104" s="120">
        <f t="shared" si="19"/>
        <v>91</v>
      </c>
      <c r="B104" s="246"/>
      <c r="C104" s="2" t="s">
        <v>557</v>
      </c>
      <c r="D104" s="246"/>
      <c r="E104" s="246"/>
      <c r="F104" s="2"/>
      <c r="G104" s="246"/>
      <c r="H104" s="246"/>
      <c r="I104" s="2" t="s">
        <v>19</v>
      </c>
      <c r="J104" s="246"/>
      <c r="K104" s="535"/>
      <c r="L104" s="246"/>
    </row>
    <row r="105" spans="1:16">
      <c r="A105" s="120">
        <f t="shared" si="19"/>
        <v>92</v>
      </c>
      <c r="B105" s="249" t="s">
        <v>443</v>
      </c>
      <c r="C105" s="2" t="s">
        <v>578</v>
      </c>
      <c r="D105" s="246"/>
      <c r="E105" s="246"/>
      <c r="F105" s="91"/>
      <c r="G105" s="246"/>
      <c r="H105" s="246"/>
      <c r="I105" s="2" t="s">
        <v>215</v>
      </c>
      <c r="J105" s="246"/>
    </row>
    <row r="106" spans="1:16" ht="15">
      <c r="A106" s="120">
        <f t="shared" si="19"/>
        <v>93</v>
      </c>
      <c r="B106" s="249" t="s">
        <v>212</v>
      </c>
      <c r="C106" s="2" t="s">
        <v>337</v>
      </c>
      <c r="D106" s="2" t="s">
        <v>389</v>
      </c>
      <c r="E106" s="2"/>
      <c r="F106" s="2"/>
      <c r="G106" s="2" t="s">
        <v>576</v>
      </c>
      <c r="H106" s="2"/>
      <c r="I106" s="2" t="s">
        <v>20</v>
      </c>
      <c r="J106" s="246"/>
      <c r="P106" s="259"/>
    </row>
    <row r="107" spans="1:16" ht="15">
      <c r="A107" s="120">
        <f t="shared" si="19"/>
        <v>94</v>
      </c>
      <c r="B107" s="3" t="s">
        <v>211</v>
      </c>
      <c r="C107" s="3" t="s">
        <v>21</v>
      </c>
      <c r="D107" s="3" t="s">
        <v>337</v>
      </c>
      <c r="E107" s="3" t="s">
        <v>336</v>
      </c>
      <c r="F107" s="3" t="s">
        <v>575</v>
      </c>
      <c r="G107" s="3" t="s">
        <v>577</v>
      </c>
      <c r="H107" s="3" t="s">
        <v>389</v>
      </c>
      <c r="I107" s="3" t="s">
        <v>87</v>
      </c>
      <c r="J107" s="246"/>
      <c r="K107" s="261"/>
      <c r="L107" s="261"/>
      <c r="M107" s="261"/>
      <c r="N107" s="261"/>
      <c r="O107" s="261"/>
      <c r="P107" s="261"/>
    </row>
    <row r="108" spans="1:16">
      <c r="A108" s="120">
        <f t="shared" si="19"/>
        <v>95</v>
      </c>
      <c r="B108" s="267" t="s">
        <v>74</v>
      </c>
      <c r="C108" s="264">
        <v>88876405.790000007</v>
      </c>
      <c r="D108" s="264">
        <v>-7087025.2800000003</v>
      </c>
      <c r="E108" s="264">
        <v>363695813.60000002</v>
      </c>
      <c r="F108" s="264">
        <v>311346757.66999996</v>
      </c>
      <c r="G108" s="264">
        <v>49601039.910000004</v>
      </c>
      <c r="H108" s="251">
        <v>51035736.079999998</v>
      </c>
      <c r="I108" s="248">
        <f>SUM(C108:H108)</f>
        <v>857468727.76999998</v>
      </c>
      <c r="J108" s="246"/>
      <c r="K108" s="54"/>
      <c r="M108" s="7"/>
      <c r="N108" s="7"/>
      <c r="O108" s="7"/>
      <c r="P108" s="7"/>
    </row>
    <row r="109" spans="1:16">
      <c r="A109" s="120">
        <f t="shared" si="19"/>
        <v>96</v>
      </c>
      <c r="B109" s="267" t="s">
        <v>75</v>
      </c>
      <c r="C109" s="264">
        <v>76214393.859999999</v>
      </c>
      <c r="D109" s="264">
        <v>-6699589.3600000003</v>
      </c>
      <c r="E109" s="264">
        <v>307753182.08999997</v>
      </c>
      <c r="F109" s="264">
        <v>259118518.43000001</v>
      </c>
      <c r="G109" s="264">
        <v>36338088.100000001</v>
      </c>
      <c r="H109" s="264">
        <v>47178057.239999995</v>
      </c>
      <c r="I109" s="248">
        <f t="shared" ref="I109:I118" si="20">SUM(C109:H109)</f>
        <v>719902650.36000001</v>
      </c>
      <c r="J109" s="246"/>
      <c r="K109" s="54"/>
      <c r="M109" s="7"/>
      <c r="N109" s="7"/>
      <c r="O109" s="7"/>
      <c r="P109" s="7"/>
    </row>
    <row r="110" spans="1:16">
      <c r="A110" s="120">
        <f t="shared" si="19"/>
        <v>97</v>
      </c>
      <c r="B110" s="267" t="s">
        <v>76</v>
      </c>
      <c r="C110" s="264">
        <v>88623013.280000001</v>
      </c>
      <c r="D110" s="264">
        <v>-7723145.5899999999</v>
      </c>
      <c r="E110" s="264">
        <v>356417097.34000003</v>
      </c>
      <c r="F110" s="264">
        <v>297947006.99000001</v>
      </c>
      <c r="G110" s="264">
        <v>38088668.530000001</v>
      </c>
      <c r="H110" s="264">
        <v>54002238.420000002</v>
      </c>
      <c r="I110" s="248">
        <f t="shared" si="20"/>
        <v>827354878.96999991</v>
      </c>
      <c r="J110" s="246"/>
      <c r="K110" s="54"/>
      <c r="M110" s="7"/>
      <c r="N110" s="7"/>
      <c r="O110" s="7"/>
      <c r="P110" s="7"/>
    </row>
    <row r="111" spans="1:16">
      <c r="A111" s="120">
        <f t="shared" si="19"/>
        <v>98</v>
      </c>
      <c r="B111" s="267" t="s">
        <v>77</v>
      </c>
      <c r="C111" s="264">
        <v>83996141.510000005</v>
      </c>
      <c r="D111" s="264">
        <v>-7536483.5499999989</v>
      </c>
      <c r="E111" s="264">
        <v>188886686.20999998</v>
      </c>
      <c r="F111" s="264">
        <v>282082099.15999997</v>
      </c>
      <c r="G111" s="264">
        <v>37109156.090000004</v>
      </c>
      <c r="H111" s="264">
        <v>51830193.259999998</v>
      </c>
      <c r="I111" s="248">
        <f t="shared" si="20"/>
        <v>636367792.67999995</v>
      </c>
      <c r="J111" s="246"/>
      <c r="K111" s="54"/>
      <c r="M111" s="7"/>
      <c r="N111" s="7"/>
      <c r="O111" s="7"/>
      <c r="P111" s="7"/>
    </row>
    <row r="112" spans="1:16">
      <c r="A112" s="120">
        <f t="shared" si="19"/>
        <v>99</v>
      </c>
      <c r="B112" s="94" t="s">
        <v>203</v>
      </c>
      <c r="C112" s="264">
        <v>92695249.209999993</v>
      </c>
      <c r="D112" s="264">
        <v>-8104571.5099999988</v>
      </c>
      <c r="E112" s="264">
        <v>355261646.01999998</v>
      </c>
      <c r="F112" s="264">
        <v>311024347.45999998</v>
      </c>
      <c r="G112" s="264">
        <v>43230141.75</v>
      </c>
      <c r="H112" s="264">
        <v>56581146.129999995</v>
      </c>
      <c r="I112" s="248">
        <f t="shared" si="20"/>
        <v>850687959.05999994</v>
      </c>
      <c r="J112" s="246"/>
      <c r="K112" s="54"/>
      <c r="M112" s="7"/>
      <c r="N112" s="7"/>
      <c r="O112" s="7"/>
      <c r="P112" s="7"/>
    </row>
    <row r="113" spans="1:16">
      <c r="A113" s="120">
        <f t="shared" si="19"/>
        <v>100</v>
      </c>
      <c r="B113" s="267" t="s">
        <v>78</v>
      </c>
      <c r="C113" s="264">
        <v>104845652.2</v>
      </c>
      <c r="D113" s="264">
        <v>-12956108.67</v>
      </c>
      <c r="E113" s="264">
        <v>402432157.86000001</v>
      </c>
      <c r="F113" s="264">
        <v>527362391.88</v>
      </c>
      <c r="G113" s="264">
        <v>45581306.109999999</v>
      </c>
      <c r="H113" s="264">
        <v>64335179.689999998</v>
      </c>
      <c r="I113" s="248">
        <f t="shared" si="20"/>
        <v>1131600579.0699999</v>
      </c>
      <c r="J113" s="246"/>
      <c r="K113" s="54"/>
      <c r="M113" s="7"/>
      <c r="N113" s="7"/>
      <c r="O113" s="7"/>
      <c r="P113" s="7"/>
    </row>
    <row r="114" spans="1:16">
      <c r="A114" s="120">
        <f t="shared" si="19"/>
        <v>101</v>
      </c>
      <c r="B114" s="267" t="s">
        <v>79</v>
      </c>
      <c r="C114" s="264">
        <v>123594050.2</v>
      </c>
      <c r="D114" s="264">
        <v>-19621539.999999996</v>
      </c>
      <c r="E114" s="264">
        <v>460524055.99000001</v>
      </c>
      <c r="F114" s="264">
        <v>644206333.99000001</v>
      </c>
      <c r="G114" s="264">
        <v>73983881.809999987</v>
      </c>
      <c r="H114" s="264">
        <v>77772627.200000003</v>
      </c>
      <c r="I114" s="248">
        <f t="shared" si="20"/>
        <v>1360459409.1900001</v>
      </c>
      <c r="J114" s="246"/>
      <c r="K114" s="54"/>
      <c r="M114" s="7"/>
      <c r="N114" s="7"/>
      <c r="O114" s="7"/>
      <c r="P114" s="7"/>
    </row>
    <row r="115" spans="1:16">
      <c r="A115" s="120">
        <f t="shared" si="19"/>
        <v>102</v>
      </c>
      <c r="B115" s="267" t="s">
        <v>80</v>
      </c>
      <c r="C115" s="264">
        <v>125785395.62</v>
      </c>
      <c r="D115" s="264">
        <v>-18661551.910000004</v>
      </c>
      <c r="E115" s="264">
        <v>472206915.98000002</v>
      </c>
      <c r="F115" s="264">
        <v>682290749.38999999</v>
      </c>
      <c r="G115" s="264">
        <v>79884678.980000004</v>
      </c>
      <c r="H115" s="264">
        <v>78382836.030000001</v>
      </c>
      <c r="I115" s="248">
        <f t="shared" si="20"/>
        <v>1419889024.0899999</v>
      </c>
      <c r="J115" s="246"/>
      <c r="K115" s="54"/>
      <c r="M115" s="7"/>
      <c r="N115" s="7"/>
      <c r="O115" s="7"/>
      <c r="P115" s="7"/>
    </row>
    <row r="116" spans="1:16">
      <c r="A116" s="120">
        <f t="shared" si="19"/>
        <v>103</v>
      </c>
      <c r="B116" s="267" t="s">
        <v>81</v>
      </c>
      <c r="C116" s="264">
        <v>106851758.05</v>
      </c>
      <c r="D116" s="264">
        <v>-15843048.290000003</v>
      </c>
      <c r="E116" s="264">
        <v>396942805.63999999</v>
      </c>
      <c r="F116" s="264">
        <v>580474930.38999999</v>
      </c>
      <c r="G116" s="264">
        <v>62680551.57</v>
      </c>
      <c r="H116" s="264">
        <v>65928575.859999999</v>
      </c>
      <c r="I116" s="248">
        <f t="shared" si="20"/>
        <v>1197035573.2199998</v>
      </c>
      <c r="J116" s="246"/>
      <c r="K116" s="54"/>
      <c r="M116" s="7"/>
      <c r="N116" s="7"/>
      <c r="O116" s="7"/>
      <c r="P116" s="7"/>
    </row>
    <row r="117" spans="1:16">
      <c r="A117" s="120">
        <f t="shared" si="19"/>
        <v>104</v>
      </c>
      <c r="B117" s="267" t="s">
        <v>82</v>
      </c>
      <c r="C117" s="264">
        <v>100653472.02</v>
      </c>
      <c r="D117" s="264">
        <v>-15014566.739999998</v>
      </c>
      <c r="E117" s="264">
        <v>247390825.06000003</v>
      </c>
      <c r="F117" s="264">
        <v>390764398.99999994</v>
      </c>
      <c r="G117" s="264">
        <v>42021233.840000004</v>
      </c>
      <c r="H117" s="264">
        <v>61154922.710000001</v>
      </c>
      <c r="I117" s="248">
        <f t="shared" si="20"/>
        <v>826970285.88999999</v>
      </c>
      <c r="J117" s="246"/>
      <c r="K117" s="54"/>
      <c r="M117" s="7"/>
      <c r="N117" s="7"/>
      <c r="O117" s="7"/>
      <c r="P117" s="7"/>
    </row>
    <row r="118" spans="1:16">
      <c r="A118" s="120">
        <f t="shared" si="19"/>
        <v>105</v>
      </c>
      <c r="B118" s="267" t="s">
        <v>83</v>
      </c>
      <c r="C118" s="264">
        <v>88159107.019999996</v>
      </c>
      <c r="D118" s="264">
        <v>-13029919.08</v>
      </c>
      <c r="E118" s="264">
        <v>343372179.05000001</v>
      </c>
      <c r="F118" s="264">
        <v>293271394.49000001</v>
      </c>
      <c r="G118" s="264">
        <v>40310841.799999997</v>
      </c>
      <c r="H118" s="264">
        <v>53305058.780000001</v>
      </c>
      <c r="I118" s="248">
        <f t="shared" si="20"/>
        <v>805388662.05999994</v>
      </c>
      <c r="J118" s="246"/>
      <c r="K118" s="54"/>
      <c r="M118" s="7"/>
      <c r="N118" s="7"/>
      <c r="O118" s="7"/>
      <c r="P118" s="7"/>
    </row>
    <row r="119" spans="1:16">
      <c r="A119" s="120">
        <f t="shared" si="19"/>
        <v>106</v>
      </c>
      <c r="B119" s="267" t="s">
        <v>84</v>
      </c>
      <c r="C119" s="117">
        <v>89149113.290000007</v>
      </c>
      <c r="D119" s="117">
        <v>-13623611.720000001</v>
      </c>
      <c r="E119" s="117">
        <v>351130269.45000005</v>
      </c>
      <c r="F119" s="117">
        <v>301056365.16000003</v>
      </c>
      <c r="G119" s="117">
        <v>38410018.740000002</v>
      </c>
      <c r="H119" s="117">
        <v>55407794.349999994</v>
      </c>
      <c r="I119" s="98">
        <f>SUM(C119:H119)</f>
        <v>821529949.2700001</v>
      </c>
      <c r="J119" s="246"/>
      <c r="K119" s="54"/>
      <c r="M119" s="7"/>
      <c r="N119" s="7"/>
      <c r="O119" s="7"/>
      <c r="P119" s="98"/>
    </row>
    <row r="120" spans="1:16">
      <c r="A120" s="120">
        <f t="shared" si="19"/>
        <v>107</v>
      </c>
      <c r="B120" s="94" t="s">
        <v>216</v>
      </c>
      <c r="C120" s="248">
        <f t="shared" ref="C120:I120" si="21">SUM(C108:C119)</f>
        <v>1169443752.05</v>
      </c>
      <c r="D120" s="248">
        <f t="shared" si="21"/>
        <v>-145901161.70000002</v>
      </c>
      <c r="E120" s="248">
        <f t="shared" si="21"/>
        <v>4246013634.29</v>
      </c>
      <c r="F120" s="248">
        <f t="shared" si="21"/>
        <v>4880945294.0099993</v>
      </c>
      <c r="G120" s="248">
        <f t="shared" si="21"/>
        <v>587239607.23000002</v>
      </c>
      <c r="H120" s="248">
        <f t="shared" si="21"/>
        <v>716914365.75</v>
      </c>
      <c r="I120" s="248">
        <f t="shared" si="21"/>
        <v>11454655491.629999</v>
      </c>
      <c r="J120" s="246"/>
      <c r="P120" s="7"/>
    </row>
    <row r="121" spans="1:16">
      <c r="A121" s="120">
        <f t="shared" si="19"/>
        <v>108</v>
      </c>
      <c r="B121" s="246"/>
      <c r="C121" s="246"/>
      <c r="D121" s="246"/>
      <c r="E121" s="246"/>
      <c r="F121" s="246"/>
      <c r="G121" s="246"/>
      <c r="H121" s="101"/>
      <c r="I121" s="246"/>
      <c r="J121" s="246"/>
      <c r="K121" s="246"/>
      <c r="L121" s="246"/>
    </row>
    <row r="122" spans="1:16">
      <c r="A122" s="120">
        <f t="shared" si="19"/>
        <v>109</v>
      </c>
      <c r="B122" s="246"/>
      <c r="C122" s="246"/>
      <c r="D122" s="246"/>
      <c r="E122" s="246"/>
      <c r="F122" s="246"/>
      <c r="G122" s="246"/>
      <c r="H122" s="101" t="s">
        <v>579</v>
      </c>
      <c r="I122" s="251">
        <v>11454655492</v>
      </c>
      <c r="J122" s="246"/>
      <c r="K122" s="246"/>
      <c r="L122" s="246"/>
    </row>
    <row r="123" spans="1:16">
      <c r="A123" s="246"/>
      <c r="B123" s="246"/>
      <c r="C123" s="246"/>
      <c r="D123" s="246"/>
      <c r="E123" s="246"/>
      <c r="F123" s="246"/>
      <c r="G123" s="246"/>
      <c r="H123" s="246"/>
      <c r="I123" s="246"/>
      <c r="J123" s="246"/>
      <c r="K123" s="246"/>
      <c r="L123" s="246"/>
    </row>
    <row r="124" spans="1:16">
      <c r="A124" s="2"/>
      <c r="B124" s="45" t="s">
        <v>417</v>
      </c>
      <c r="C124" s="256"/>
      <c r="D124" s="256"/>
      <c r="E124" s="256"/>
      <c r="F124" s="256"/>
      <c r="G124" s="256"/>
      <c r="H124" s="256"/>
      <c r="I124" s="250"/>
      <c r="J124" s="256"/>
      <c r="K124" s="256"/>
      <c r="L124" s="246"/>
    </row>
    <row r="125" spans="1:16">
      <c r="A125" s="2"/>
      <c r="B125" s="514" t="s">
        <v>2546</v>
      </c>
      <c r="C125" s="256"/>
      <c r="D125" s="256"/>
      <c r="E125" s="256"/>
      <c r="F125" s="256"/>
      <c r="G125" s="256"/>
      <c r="H125" s="256"/>
      <c r="I125" s="256"/>
      <c r="J125" s="256"/>
      <c r="K125" s="256"/>
      <c r="L125" s="246"/>
    </row>
    <row r="126" spans="1:16">
      <c r="A126" s="2"/>
      <c r="B126" s="514" t="s">
        <v>2547</v>
      </c>
      <c r="C126" s="256"/>
      <c r="D126" s="256"/>
      <c r="E126" s="256"/>
      <c r="F126" s="256"/>
      <c r="G126" s="256"/>
      <c r="H126" s="256"/>
      <c r="I126" s="256"/>
      <c r="J126" s="256"/>
      <c r="K126" s="256"/>
      <c r="L126" s="246"/>
    </row>
    <row r="127" spans="1:16">
      <c r="A127" s="2"/>
      <c r="B127" s="163" t="s">
        <v>1164</v>
      </c>
      <c r="C127" s="256"/>
      <c r="D127" s="256"/>
      <c r="E127" s="256"/>
      <c r="F127" s="256"/>
      <c r="G127" s="256"/>
      <c r="H127" s="256"/>
      <c r="I127" s="256"/>
      <c r="J127" s="256"/>
      <c r="K127" s="256"/>
      <c r="L127" s="246"/>
    </row>
    <row r="128" spans="1:16">
      <c r="A128" s="2"/>
      <c r="B128" s="47" t="s">
        <v>1053</v>
      </c>
      <c r="C128" s="256"/>
      <c r="D128" s="256"/>
      <c r="E128" s="256"/>
      <c r="F128" s="256"/>
      <c r="G128" s="256"/>
      <c r="H128" s="256"/>
      <c r="I128" s="256"/>
      <c r="J128" s="256"/>
      <c r="K128" s="256"/>
      <c r="L128" s="246"/>
    </row>
    <row r="129" spans="1:12">
      <c r="A129" s="2"/>
      <c r="B129" s="1011" t="s">
        <v>2548</v>
      </c>
      <c r="C129" s="256"/>
      <c r="D129" s="256"/>
      <c r="E129" s="256"/>
      <c r="F129" s="256"/>
      <c r="G129" s="256"/>
      <c r="H129" s="256"/>
      <c r="I129" s="256"/>
      <c r="J129" s="256"/>
      <c r="K129" s="256"/>
      <c r="L129" s="246"/>
    </row>
    <row r="130" spans="1:12">
      <c r="A130" s="2"/>
      <c r="B130" s="514" t="s">
        <v>2549</v>
      </c>
      <c r="C130" s="256"/>
      <c r="D130" s="256"/>
      <c r="E130" s="256"/>
      <c r="F130" s="256"/>
      <c r="G130" s="256"/>
      <c r="H130" s="256"/>
      <c r="I130" s="256"/>
      <c r="J130" s="256"/>
      <c r="K130" s="256"/>
      <c r="L130" s="246"/>
    </row>
    <row r="131" spans="1:12">
      <c r="A131" s="2"/>
      <c r="B131" s="1012" t="s">
        <v>2550</v>
      </c>
      <c r="C131" s="256"/>
      <c r="D131" s="256"/>
      <c r="E131" s="256"/>
      <c r="F131" s="256"/>
      <c r="G131" s="256"/>
      <c r="H131" s="256"/>
      <c r="I131" s="256"/>
      <c r="J131" s="256"/>
      <c r="K131" s="256"/>
      <c r="L131" s="246"/>
    </row>
    <row r="132" spans="1:12">
      <c r="A132" s="635"/>
      <c r="B132" s="1012" t="str">
        <f>"This instruction requires that the amount on Line "&amp;A70&amp;" Column 6 be calculated so that any over or under collection at the beginning of the Rate Effective Period"</f>
        <v>This instruction requires that the amount on Line 57 Column 6 be calculated so that any over or under collection at the beginning of the Rate Effective Period</v>
      </c>
      <c r="C132" s="256"/>
      <c r="D132" s="256"/>
      <c r="E132" s="256"/>
      <c r="F132" s="256"/>
      <c r="G132" s="256"/>
      <c r="H132" s="256"/>
      <c r="I132" s="256"/>
      <c r="J132" s="256"/>
      <c r="K132" s="256"/>
    </row>
    <row r="133" spans="1:12">
      <c r="A133" s="635"/>
      <c r="B133" s="1012" t="str">
        <f>"is completely amortized over the following 12 months, as reflected by the Line "&amp;A67&amp;", Column 7 amount being equal to zero.  It may be necessary to iterate for"</f>
        <v>is completely amortized over the following 12 months, as reflected by the Line 54, Column 7 amount being equal to zero.  It may be necessary to iterate for</v>
      </c>
      <c r="C133" s="256"/>
      <c r="D133" s="256"/>
      <c r="E133" s="256"/>
      <c r="F133" s="256"/>
      <c r="G133" s="256"/>
      <c r="H133" s="256"/>
      <c r="I133" s="256"/>
      <c r="J133" s="256"/>
      <c r="K133" s="256"/>
      <c r="L133" s="246"/>
    </row>
    <row r="134" spans="1:12">
      <c r="A134" s="635"/>
      <c r="B134" s="1011" t="s">
        <v>2201</v>
      </c>
      <c r="C134" s="14"/>
      <c r="D134" s="256"/>
      <c r="E134" s="256"/>
      <c r="F134" s="256"/>
      <c r="G134" s="256"/>
      <c r="H134" s="256"/>
      <c r="I134" s="256"/>
      <c r="J134" s="256"/>
      <c r="K134" s="256"/>
      <c r="L134" s="246"/>
    </row>
    <row r="135" spans="1:12">
      <c r="A135" s="2"/>
      <c r="B135" s="514" t="s">
        <v>2494</v>
      </c>
      <c r="C135" s="256"/>
      <c r="D135" s="256"/>
      <c r="E135" s="256"/>
      <c r="F135" s="256"/>
      <c r="G135" s="256"/>
      <c r="H135" s="256"/>
      <c r="I135" s="256"/>
      <c r="J135" s="256"/>
      <c r="K135" s="256"/>
      <c r="L135" s="246"/>
    </row>
    <row r="136" spans="1:12">
      <c r="A136" s="2"/>
      <c r="B136" s="486" t="s">
        <v>1938</v>
      </c>
      <c r="C136" s="256"/>
      <c r="D136" s="256"/>
      <c r="E136" s="256"/>
      <c r="F136" s="256"/>
      <c r="G136" s="256"/>
      <c r="H136" s="256"/>
      <c r="I136" s="256"/>
      <c r="J136" s="256"/>
      <c r="K136" s="256"/>
      <c r="L136" s="246"/>
    </row>
    <row r="137" spans="1:12">
      <c r="A137" s="2"/>
      <c r="B137" s="399" t="s">
        <v>541</v>
      </c>
      <c r="C137" s="256"/>
      <c r="D137" s="256"/>
      <c r="E137" s="256"/>
      <c r="F137" s="256"/>
      <c r="G137" s="256"/>
      <c r="H137" s="256"/>
      <c r="I137" s="256"/>
      <c r="J137" s="256"/>
      <c r="K137" s="256"/>
      <c r="L137" s="246"/>
    </row>
    <row r="138" spans="1:12">
      <c r="A138" s="2"/>
      <c r="B138" s="1013" t="s">
        <v>1674</v>
      </c>
      <c r="C138" s="256"/>
      <c r="D138" s="256"/>
      <c r="E138" s="256"/>
      <c r="F138" s="256"/>
      <c r="G138" s="256"/>
      <c r="H138" s="256"/>
      <c r="I138" s="256"/>
      <c r="J138" s="256"/>
      <c r="K138" s="256"/>
      <c r="L138" s="246"/>
    </row>
    <row r="139" spans="1:12">
      <c r="A139" s="2"/>
      <c r="B139" s="1014" t="s">
        <v>1165</v>
      </c>
      <c r="C139" s="256"/>
      <c r="D139" s="256"/>
      <c r="E139" s="256"/>
      <c r="F139" s="256"/>
      <c r="G139" s="256"/>
      <c r="H139" s="256"/>
      <c r="I139" s="256"/>
      <c r="J139" s="256"/>
      <c r="K139" s="256"/>
      <c r="L139" s="246"/>
    </row>
    <row r="140" spans="1:12" s="14" customFormat="1">
      <c r="A140" s="120"/>
      <c r="B140" s="1014" t="str">
        <f>"Entering on Line "&amp;A24&amp;" (or other appropriate) ensures these One Time Adjustments are recovered from or returned to customers."</f>
        <v>Entering on Line 11 (or other appropriate) ensures these One Time Adjustments are recovered from or returned to customers.</v>
      </c>
      <c r="C140" s="256"/>
      <c r="D140" s="256"/>
      <c r="E140" s="256"/>
      <c r="F140" s="256"/>
      <c r="G140" s="256"/>
      <c r="H140" s="256"/>
      <c r="I140" s="256"/>
      <c r="J140" s="256"/>
      <c r="K140" s="256"/>
      <c r="L140" s="256"/>
    </row>
    <row r="141" spans="1:12">
      <c r="A141" s="2"/>
      <c r="B141" s="399" t="s">
        <v>1315</v>
      </c>
      <c r="C141" s="1015"/>
      <c r="D141" s="256"/>
      <c r="E141" s="256"/>
      <c r="F141" s="256"/>
      <c r="G141" s="256"/>
      <c r="H141" s="256"/>
      <c r="I141" s="256"/>
      <c r="J141" s="256"/>
      <c r="K141" s="256"/>
      <c r="L141" s="246"/>
    </row>
    <row r="142" spans="1:12" s="14" customFormat="1">
      <c r="A142" s="120"/>
      <c r="B142" s="1013" t="s">
        <v>2782</v>
      </c>
      <c r="C142" s="1015"/>
      <c r="D142" s="256"/>
      <c r="E142" s="256"/>
      <c r="F142" s="256"/>
      <c r="G142" s="256"/>
      <c r="H142" s="256"/>
      <c r="I142" s="256"/>
      <c r="J142" s="256"/>
      <c r="K142" s="256"/>
      <c r="L142" s="256"/>
    </row>
    <row r="143" spans="1:12">
      <c r="A143" s="2"/>
      <c r="B143" s="514" t="s">
        <v>2551</v>
      </c>
      <c r="C143" s="256"/>
      <c r="D143" s="256"/>
      <c r="E143" s="256"/>
      <c r="F143" s="256"/>
      <c r="G143" s="256"/>
      <c r="H143" s="256"/>
      <c r="I143" s="256"/>
      <c r="J143" s="14"/>
      <c r="K143" s="256"/>
      <c r="L143" s="246"/>
    </row>
    <row r="144" spans="1:12">
      <c r="A144" s="2"/>
      <c r="B144" s="514" t="s">
        <v>2552</v>
      </c>
      <c r="C144" s="256"/>
      <c r="D144" s="256"/>
      <c r="E144" s="256"/>
      <c r="F144" s="256"/>
      <c r="G144" s="256"/>
      <c r="H144" s="256"/>
      <c r="I144" s="256"/>
      <c r="J144" s="256"/>
      <c r="K144" s="256"/>
      <c r="L144" s="246"/>
    </row>
    <row r="145" spans="1:12">
      <c r="A145" s="2"/>
      <c r="B145" s="514" t="s">
        <v>1675</v>
      </c>
      <c r="C145" s="256"/>
      <c r="D145" s="256"/>
      <c r="E145" s="256"/>
      <c r="F145" s="256"/>
      <c r="G145" s="256"/>
      <c r="H145" s="256"/>
      <c r="I145" s="256"/>
      <c r="J145" s="256"/>
      <c r="K145" s="256"/>
      <c r="L145" s="246"/>
    </row>
    <row r="146" spans="1:12">
      <c r="A146" s="2"/>
      <c r="B146" s="397" t="s">
        <v>1166</v>
      </c>
      <c r="C146" s="256"/>
      <c r="D146" s="256"/>
      <c r="E146" s="256"/>
      <c r="F146" s="256"/>
      <c r="G146" s="256"/>
      <c r="H146" s="256"/>
      <c r="I146" s="256"/>
      <c r="J146" s="256"/>
      <c r="K146" s="256"/>
      <c r="L146" s="246"/>
    </row>
    <row r="147" spans="1:12">
      <c r="A147" s="2"/>
      <c r="B147" s="998" t="s">
        <v>256</v>
      </c>
      <c r="C147" s="256"/>
      <c r="D147" s="256"/>
      <c r="E147" s="256"/>
      <c r="F147" s="256"/>
      <c r="G147" s="256"/>
      <c r="H147" s="256"/>
      <c r="I147" s="256"/>
      <c r="J147" s="256"/>
      <c r="K147" s="256"/>
      <c r="L147" s="246"/>
    </row>
    <row r="148" spans="1:12">
      <c r="A148" s="2"/>
      <c r="B148" s="514" t="s">
        <v>1672</v>
      </c>
      <c r="C148" s="256"/>
      <c r="D148" s="256"/>
      <c r="E148" s="256"/>
      <c r="F148" s="256"/>
      <c r="G148" s="256"/>
      <c r="H148" s="256"/>
      <c r="I148" s="256"/>
      <c r="J148" s="256"/>
      <c r="K148" s="256"/>
      <c r="L148" s="246"/>
    </row>
    <row r="149" spans="1:12">
      <c r="A149" s="2"/>
      <c r="B149" s="544" t="s">
        <v>1673</v>
      </c>
      <c r="C149" s="256"/>
      <c r="D149" s="256"/>
      <c r="E149" s="256"/>
      <c r="F149" s="256"/>
      <c r="G149" s="256"/>
      <c r="H149" s="256"/>
      <c r="I149" s="256"/>
      <c r="J149" s="256"/>
      <c r="K149" s="256"/>
      <c r="L149" s="246"/>
    </row>
    <row r="150" spans="1:12">
      <c r="A150" s="2"/>
      <c r="B150" s="163" t="str">
        <f>"a Partial Year True Up, use the Partial Year TRR Attribution Allocation Factors on Lines "&amp;A85&amp;" to "&amp;A96&amp;" for each month of Partial Year True Up  ."</f>
        <v>a Partial Year True Up, use the Partial Year TRR Attribution Allocation Factors on Lines 72 to 83 for each month of Partial Year True Up  .</v>
      </c>
      <c r="C150" s="256"/>
      <c r="D150" s="256"/>
      <c r="E150" s="256"/>
      <c r="F150" s="256"/>
      <c r="G150" s="256"/>
      <c r="H150" s="256"/>
      <c r="I150" s="256"/>
      <c r="J150" s="256"/>
      <c r="K150" s="256"/>
      <c r="L150" s="246"/>
    </row>
    <row r="151" spans="1:12">
      <c r="A151" s="548"/>
      <c r="B151" s="163" t="str">
        <f>"Only enter in the Prior Year, Lines "&amp;A24&amp;" to "&amp;A35&amp;", or portion of year formula was in effect in case of Partial Year True Up."</f>
        <v>Only enter in the Prior Year, Lines 11 to 22, or portion of year formula was in effect in case of Partial Year True Up.</v>
      </c>
      <c r="C151" s="256"/>
      <c r="D151" s="256"/>
      <c r="E151" s="256"/>
      <c r="F151" s="256"/>
      <c r="G151" s="256"/>
      <c r="H151" s="256"/>
      <c r="I151" s="256"/>
      <c r="J151" s="256"/>
      <c r="K151" s="256"/>
      <c r="L151" s="246"/>
    </row>
    <row r="152" spans="1:12">
      <c r="A152" s="635"/>
      <c r="B152" s="652" t="s">
        <v>2165</v>
      </c>
      <c r="C152" s="256"/>
      <c r="D152" s="256"/>
      <c r="E152" s="256"/>
      <c r="F152" s="256"/>
      <c r="G152" s="256"/>
      <c r="H152" s="256"/>
      <c r="I152" s="256"/>
      <c r="J152" s="256"/>
      <c r="K152" s="256"/>
      <c r="L152" s="246"/>
    </row>
    <row r="153" spans="1:12">
      <c r="A153" s="2"/>
      <c r="B153" s="158" t="s">
        <v>1167</v>
      </c>
      <c r="C153" s="256"/>
      <c r="D153" s="256"/>
      <c r="E153" s="256"/>
      <c r="F153" s="256"/>
      <c r="G153" s="256"/>
      <c r="H153" s="256"/>
      <c r="I153" s="256"/>
      <c r="J153" s="256"/>
      <c r="K153" s="256"/>
      <c r="L153" s="246"/>
    </row>
    <row r="154" spans="1:12">
      <c r="A154" s="2"/>
      <c r="B154" s="163" t="str">
        <f>"as shown on Lines "&amp;A108&amp;" to"&amp;A119&amp;", Column 1."</f>
        <v>as shown on Lines 95 to106, Column 1.</v>
      </c>
      <c r="C154" s="256"/>
      <c r="D154" s="256"/>
      <c r="E154" s="256"/>
      <c r="F154" s="256"/>
      <c r="G154" s="256"/>
      <c r="H154" s="256"/>
      <c r="I154" s="256"/>
      <c r="J154" s="256"/>
      <c r="K154" s="256"/>
      <c r="L154" s="246"/>
    </row>
    <row r="155" spans="1:12">
      <c r="A155" s="2"/>
      <c r="B155" s="158" t="s">
        <v>1168</v>
      </c>
      <c r="C155" s="256"/>
      <c r="D155" s="256"/>
      <c r="E155" s="256"/>
      <c r="F155" s="256"/>
      <c r="G155" s="256"/>
      <c r="H155" s="256"/>
      <c r="I155" s="256"/>
      <c r="J155" s="256"/>
      <c r="K155" s="256"/>
      <c r="L155" s="246"/>
    </row>
    <row r="156" spans="1:12">
      <c r="A156" s="2"/>
      <c r="B156" s="652" t="s">
        <v>2553</v>
      </c>
      <c r="C156" s="256"/>
      <c r="D156" s="256"/>
      <c r="E156" s="256"/>
      <c r="F156" s="256"/>
      <c r="G156" s="256"/>
      <c r="H156" s="256"/>
      <c r="I156" s="256"/>
      <c r="J156" s="256"/>
      <c r="K156" s="256"/>
      <c r="L156" s="246"/>
    </row>
    <row r="157" spans="1:12">
      <c r="A157" s="2"/>
      <c r="B157" s="652" t="s">
        <v>2554</v>
      </c>
      <c r="C157" s="256"/>
      <c r="D157" s="256"/>
      <c r="E157" s="256"/>
      <c r="F157" s="256"/>
      <c r="G157" s="256"/>
      <c r="H157" s="256"/>
      <c r="I157" s="256"/>
      <c r="J157" s="256"/>
      <c r="K157" s="256"/>
      <c r="L157" s="246"/>
    </row>
    <row r="158" spans="1:12">
      <c r="A158" s="635"/>
      <c r="B158" s="652" t="s">
        <v>2661</v>
      </c>
      <c r="C158" s="256"/>
      <c r="D158" s="256"/>
      <c r="E158" s="256"/>
      <c r="F158" s="256"/>
      <c r="G158" s="256"/>
      <c r="H158" s="256"/>
      <c r="I158" s="256"/>
      <c r="J158" s="256"/>
      <c r="K158" s="256"/>
      <c r="L158" s="246"/>
    </row>
    <row r="159" spans="1:12">
      <c r="A159" s="635"/>
      <c r="B159" s="652" t="s">
        <v>2662</v>
      </c>
      <c r="C159" s="256"/>
      <c r="D159" s="256"/>
      <c r="E159" s="256"/>
      <c r="F159" s="256"/>
      <c r="G159" s="256"/>
      <c r="H159" s="256"/>
      <c r="I159" s="256"/>
      <c r="J159" s="256"/>
      <c r="K159" s="256"/>
      <c r="L159" s="256"/>
    </row>
    <row r="160" spans="1:12">
      <c r="A160" s="2"/>
      <c r="B160" s="652" t="s">
        <v>2783</v>
      </c>
      <c r="C160" s="256"/>
      <c r="D160" s="256"/>
      <c r="E160" s="256"/>
      <c r="F160" s="256"/>
      <c r="G160" s="256"/>
      <c r="H160" s="256"/>
      <c r="I160" s="256"/>
      <c r="J160" s="256"/>
      <c r="K160" s="256"/>
      <c r="L160" s="256"/>
    </row>
    <row r="161" spans="1:12">
      <c r="A161" s="2"/>
      <c r="B161" s="544" t="s">
        <v>1816</v>
      </c>
      <c r="C161" s="256"/>
      <c r="D161" s="256"/>
      <c r="E161" s="256"/>
      <c r="F161" s="256"/>
      <c r="G161" s="256"/>
      <c r="H161" s="256"/>
      <c r="I161" s="256"/>
      <c r="J161" s="256"/>
      <c r="K161" s="256"/>
      <c r="L161" s="246"/>
    </row>
    <row r="162" spans="1:12">
      <c r="A162" s="2"/>
      <c r="B162" s="47" t="s">
        <v>1169</v>
      </c>
      <c r="C162" s="256"/>
      <c r="D162" s="256"/>
      <c r="E162" s="256"/>
      <c r="F162" s="256"/>
      <c r="G162" s="256"/>
      <c r="H162" s="256"/>
      <c r="I162" s="256"/>
      <c r="J162" s="256"/>
      <c r="K162" s="256"/>
      <c r="L162" s="246"/>
    </row>
    <row r="163" spans="1:12">
      <c r="A163" s="2"/>
      <c r="B163" s="397" t="s">
        <v>1170</v>
      </c>
      <c r="C163" s="256"/>
      <c r="D163" s="256"/>
      <c r="E163" s="256"/>
      <c r="F163" s="256"/>
      <c r="G163" s="256"/>
      <c r="H163" s="256"/>
      <c r="I163" s="256"/>
      <c r="J163" s="256"/>
      <c r="K163" s="256"/>
      <c r="L163" s="246"/>
    </row>
    <row r="164" spans="1:12">
      <c r="A164" s="2"/>
      <c r="B164" s="47" t="s">
        <v>1171</v>
      </c>
      <c r="C164" s="256"/>
      <c r="D164" s="256"/>
      <c r="E164" s="256"/>
      <c r="F164" s="256"/>
      <c r="G164" s="256"/>
      <c r="H164" s="256"/>
      <c r="I164" s="256"/>
      <c r="J164" s="256"/>
      <c r="K164" s="256"/>
      <c r="L164" s="246"/>
    </row>
    <row r="165" spans="1:12">
      <c r="A165" s="2"/>
      <c r="B165" s="1016" t="s">
        <v>1172</v>
      </c>
      <c r="C165" s="256"/>
      <c r="D165" s="256"/>
      <c r="E165" s="256"/>
      <c r="F165" s="256"/>
      <c r="G165" s="256"/>
      <c r="H165" s="256"/>
      <c r="I165" s="256"/>
      <c r="J165" s="256"/>
      <c r="K165" s="256"/>
      <c r="L165" s="246"/>
    </row>
    <row r="166" spans="1:12">
      <c r="A166" s="2"/>
      <c r="B166" s="514" t="s">
        <v>2555</v>
      </c>
      <c r="C166" s="256"/>
      <c r="D166" s="256"/>
      <c r="E166" s="256"/>
      <c r="F166" s="256"/>
      <c r="G166" s="256"/>
      <c r="H166" s="256"/>
      <c r="I166" s="256"/>
      <c r="J166" s="256"/>
      <c r="K166" s="256"/>
      <c r="L166" s="246"/>
    </row>
    <row r="167" spans="1:12">
      <c r="A167" s="2"/>
      <c r="B167" s="1017" t="s">
        <v>2556</v>
      </c>
      <c r="C167" s="256"/>
      <c r="D167" s="256"/>
      <c r="E167" s="256"/>
      <c r="F167" s="256"/>
      <c r="G167" s="256"/>
      <c r="H167" s="256"/>
      <c r="I167" s="256"/>
      <c r="J167" s="256"/>
      <c r="K167" s="256"/>
      <c r="L167" s="246"/>
    </row>
    <row r="168" spans="1:12">
      <c r="A168" s="2"/>
      <c r="B168" s="495" t="s">
        <v>2557</v>
      </c>
      <c r="C168" s="256"/>
      <c r="D168" s="256"/>
      <c r="E168" s="256"/>
      <c r="F168" s="256"/>
      <c r="G168" s="256"/>
      <c r="H168" s="256"/>
      <c r="I168" s="256"/>
      <c r="J168" s="256"/>
      <c r="K168" s="256"/>
      <c r="L168" s="246"/>
    </row>
    <row r="169" spans="1:12">
      <c r="A169" s="246"/>
      <c r="B169" s="495" t="s">
        <v>1720</v>
      </c>
      <c r="C169" s="256"/>
      <c r="D169" s="256"/>
      <c r="E169" s="256"/>
      <c r="F169" s="256"/>
      <c r="G169" s="256"/>
      <c r="H169" s="256"/>
      <c r="I169" s="256"/>
      <c r="J169" s="256"/>
      <c r="K169" s="256"/>
      <c r="L169" s="246"/>
    </row>
    <row r="170" spans="1:12">
      <c r="A170" s="246"/>
      <c r="B170" s="47" t="s">
        <v>1397</v>
      </c>
      <c r="C170" s="256"/>
      <c r="D170" s="256"/>
      <c r="E170" s="256"/>
      <c r="F170" s="256"/>
      <c r="G170" s="256"/>
      <c r="H170" s="256"/>
      <c r="I170" s="256"/>
      <c r="J170" s="256"/>
      <c r="K170" s="256"/>
      <c r="L170" s="246"/>
    </row>
    <row r="171" spans="1:12">
      <c r="A171" s="246"/>
      <c r="B171" s="47" t="s">
        <v>1395</v>
      </c>
      <c r="C171" s="256"/>
      <c r="D171" s="256"/>
      <c r="E171" s="256"/>
      <c r="F171" s="256"/>
      <c r="G171" s="256"/>
      <c r="H171" s="256"/>
      <c r="I171" s="256"/>
      <c r="J171" s="256"/>
      <c r="K171" s="256"/>
      <c r="L171" s="246"/>
    </row>
    <row r="172" spans="1:12">
      <c r="A172" s="246"/>
      <c r="B172" s="397" t="s">
        <v>583</v>
      </c>
      <c r="C172" s="256"/>
      <c r="D172" s="256"/>
      <c r="E172" s="256"/>
      <c r="F172" s="256"/>
      <c r="G172" s="256"/>
      <c r="H172" s="256"/>
      <c r="I172" s="256"/>
      <c r="J172" s="256"/>
      <c r="K172" s="256"/>
      <c r="L172" s="246"/>
    </row>
    <row r="173" spans="1:12">
      <c r="A173" s="246"/>
      <c r="B173" s="1011" t="s">
        <v>2242</v>
      </c>
      <c r="C173" s="256"/>
      <c r="D173" s="256"/>
      <c r="E173" s="256"/>
      <c r="F173" s="256"/>
      <c r="G173" s="256"/>
      <c r="H173" s="256"/>
      <c r="I173" s="256"/>
      <c r="J173" s="256"/>
      <c r="K173" s="256"/>
      <c r="L173" s="246"/>
    </row>
    <row r="174" spans="1:12">
      <c r="A174" s="246"/>
      <c r="B174" s="1011" t="s">
        <v>2243</v>
      </c>
      <c r="C174" s="256"/>
      <c r="D174" s="256"/>
      <c r="E174" s="256"/>
      <c r="F174" s="256"/>
      <c r="G174" s="256"/>
      <c r="H174" s="256"/>
      <c r="I174" s="256"/>
      <c r="J174" s="256"/>
      <c r="K174" s="256"/>
      <c r="L174" s="246"/>
    </row>
    <row r="175" spans="1:12">
      <c r="A175" s="246"/>
      <c r="B175" s="47" t="s">
        <v>1396</v>
      </c>
      <c r="C175" s="256"/>
      <c r="D175" s="256"/>
      <c r="E175" s="256"/>
      <c r="F175" s="256"/>
      <c r="G175" s="256"/>
      <c r="H175" s="256"/>
      <c r="I175" s="256"/>
      <c r="J175" s="256"/>
      <c r="K175" s="256"/>
      <c r="L175" s="246"/>
    </row>
    <row r="176" spans="1:12">
      <c r="A176" s="246"/>
      <c r="B176" s="1011" t="s">
        <v>2497</v>
      </c>
      <c r="C176" s="256"/>
      <c r="D176" s="256"/>
      <c r="E176" s="256"/>
      <c r="F176" s="256"/>
      <c r="G176" s="256"/>
      <c r="H176" s="256"/>
      <c r="I176" s="256"/>
      <c r="J176" s="256"/>
      <c r="K176" s="256"/>
      <c r="L176" s="246"/>
    </row>
    <row r="177" spans="1:12">
      <c r="A177" s="246"/>
      <c r="B177" s="1011" t="s">
        <v>2496</v>
      </c>
      <c r="C177" s="256"/>
      <c r="D177" s="256"/>
      <c r="E177" s="256"/>
      <c r="F177" s="256"/>
      <c r="G177" s="256"/>
      <c r="H177" s="256"/>
      <c r="I177" s="256"/>
      <c r="J177" s="256"/>
      <c r="K177" s="256"/>
      <c r="L177" s="246"/>
    </row>
    <row r="178" spans="1:12">
      <c r="A178" s="246"/>
      <c r="B178" s="1011" t="s">
        <v>2495</v>
      </c>
      <c r="C178" s="256"/>
      <c r="D178" s="256"/>
      <c r="E178" s="256"/>
      <c r="F178" s="256"/>
      <c r="G178" s="256"/>
      <c r="H178" s="256"/>
      <c r="I178" s="256"/>
      <c r="J178" s="256"/>
      <c r="K178" s="256"/>
      <c r="L178" s="246"/>
    </row>
    <row r="179" spans="1:12">
      <c r="A179" s="246"/>
      <c r="B179" s="397" t="s">
        <v>1054</v>
      </c>
      <c r="C179" s="256"/>
      <c r="D179" s="256"/>
      <c r="E179" s="256"/>
      <c r="F179" s="256"/>
      <c r="G179" s="256"/>
      <c r="H179" s="256"/>
      <c r="I179" s="256"/>
      <c r="J179" s="256"/>
      <c r="K179" s="256"/>
      <c r="L179" s="246"/>
    </row>
    <row r="180" spans="1:12">
      <c r="A180" s="246"/>
      <c r="C180" s="246"/>
      <c r="D180" s="246"/>
      <c r="E180" s="246"/>
      <c r="F180" s="246"/>
      <c r="G180" s="246"/>
      <c r="H180" s="246"/>
      <c r="I180" s="246"/>
      <c r="J180" s="246"/>
      <c r="K180" s="246"/>
      <c r="L180" s="246"/>
    </row>
    <row r="181" spans="1:12">
      <c r="A181" s="246"/>
      <c r="B181" s="246"/>
      <c r="C181" s="246"/>
      <c r="D181" s="246"/>
      <c r="E181" s="246"/>
      <c r="F181" s="246"/>
      <c r="G181" s="246"/>
      <c r="H181" s="246"/>
      <c r="I181" s="246"/>
      <c r="J181" s="246"/>
      <c r="K181" s="246"/>
      <c r="L181" s="246"/>
    </row>
    <row r="182" spans="1:12">
      <c r="A182" s="246"/>
      <c r="B182" s="246"/>
      <c r="C182" s="246"/>
      <c r="D182" s="246"/>
      <c r="E182" s="246"/>
      <c r="F182" s="246"/>
      <c r="G182" s="246"/>
      <c r="H182" s="246"/>
      <c r="I182" s="246"/>
      <c r="J182" s="246"/>
      <c r="K182" s="246"/>
      <c r="L182" s="246"/>
    </row>
    <row r="183" spans="1:12">
      <c r="A183" s="246"/>
      <c r="B183" s="246"/>
      <c r="C183" s="246"/>
      <c r="D183" s="246"/>
      <c r="E183" s="246"/>
      <c r="F183" s="246"/>
      <c r="G183" s="246"/>
      <c r="H183" s="246"/>
      <c r="I183" s="246"/>
      <c r="J183" s="246"/>
      <c r="K183" s="246"/>
      <c r="L183" s="246"/>
    </row>
    <row r="184" spans="1:12">
      <c r="A184" s="246"/>
      <c r="B184" s="246"/>
      <c r="C184" s="246"/>
      <c r="D184" s="246"/>
      <c r="E184" s="246"/>
      <c r="F184" s="246"/>
      <c r="G184" s="246"/>
      <c r="H184" s="246"/>
      <c r="I184" s="246"/>
      <c r="J184" s="246"/>
      <c r="K184" s="246"/>
      <c r="L184" s="246"/>
    </row>
    <row r="185" spans="1:12">
      <c r="A185" s="246"/>
      <c r="B185" s="246"/>
      <c r="C185" s="246"/>
      <c r="D185" s="246"/>
      <c r="E185" s="246"/>
      <c r="F185" s="246"/>
      <c r="G185" s="246"/>
      <c r="H185" s="246"/>
      <c r="I185" s="246"/>
      <c r="J185" s="246"/>
      <c r="K185" s="246"/>
      <c r="L185" s="246"/>
    </row>
    <row r="186" spans="1:12">
      <c r="A186" s="246"/>
      <c r="B186" s="246"/>
      <c r="C186" s="246"/>
      <c r="D186" s="246"/>
      <c r="E186" s="246"/>
      <c r="F186" s="246"/>
      <c r="G186" s="246"/>
      <c r="H186" s="246"/>
      <c r="I186" s="246"/>
      <c r="J186" s="246"/>
      <c r="K186" s="246"/>
      <c r="L186" s="246"/>
    </row>
    <row r="187" spans="1:12">
      <c r="A187" s="246"/>
      <c r="B187" s="246"/>
      <c r="C187" s="246"/>
      <c r="D187" s="246"/>
      <c r="E187" s="246"/>
      <c r="F187" s="246"/>
      <c r="G187" s="246"/>
      <c r="H187" s="246"/>
      <c r="I187" s="246"/>
      <c r="J187" s="246"/>
      <c r="K187" s="246"/>
      <c r="L187" s="246"/>
    </row>
    <row r="188" spans="1:12">
      <c r="A188" s="246"/>
      <c r="B188" s="246"/>
      <c r="C188" s="246"/>
      <c r="D188" s="246"/>
      <c r="E188" s="246"/>
      <c r="F188" s="246"/>
      <c r="G188" s="246"/>
      <c r="H188" s="246"/>
      <c r="I188" s="246"/>
      <c r="J188" s="246"/>
      <c r="K188" s="246"/>
      <c r="L188" s="246"/>
    </row>
    <row r="189" spans="1:12">
      <c r="A189" s="246"/>
      <c r="B189" s="246"/>
      <c r="C189" s="246"/>
      <c r="D189" s="246"/>
      <c r="E189" s="246"/>
      <c r="F189" s="246"/>
      <c r="G189" s="246"/>
      <c r="H189" s="246"/>
      <c r="I189" s="246"/>
      <c r="J189" s="246"/>
      <c r="K189" s="246"/>
      <c r="L189" s="246"/>
    </row>
    <row r="190" spans="1:12">
      <c r="A190" s="246"/>
      <c r="B190" s="246"/>
      <c r="C190" s="246"/>
      <c r="D190" s="246"/>
      <c r="E190" s="246"/>
      <c r="F190" s="246"/>
      <c r="G190" s="246"/>
      <c r="H190" s="246"/>
      <c r="I190" s="246"/>
      <c r="J190" s="246"/>
      <c r="K190" s="246"/>
      <c r="L190" s="246"/>
    </row>
    <row r="191" spans="1:12">
      <c r="A191" s="246"/>
      <c r="B191" s="246"/>
      <c r="C191" s="246"/>
      <c r="D191" s="246"/>
      <c r="E191" s="246"/>
      <c r="F191" s="246"/>
      <c r="G191" s="246"/>
      <c r="H191" s="246"/>
      <c r="I191" s="246"/>
      <c r="J191" s="246"/>
      <c r="K191" s="246"/>
      <c r="L191" s="246"/>
    </row>
    <row r="192" spans="1:12">
      <c r="A192" s="246"/>
      <c r="B192" s="246"/>
      <c r="C192" s="246"/>
      <c r="D192" s="246"/>
      <c r="E192" s="246"/>
      <c r="F192" s="246"/>
      <c r="G192" s="246"/>
      <c r="H192" s="246"/>
      <c r="I192" s="246"/>
      <c r="J192" s="246"/>
      <c r="K192" s="246"/>
      <c r="L192" s="246"/>
    </row>
    <row r="193" spans="1:12">
      <c r="A193" s="246"/>
      <c r="B193" s="246"/>
      <c r="C193" s="246"/>
      <c r="D193" s="246"/>
      <c r="E193" s="246"/>
      <c r="F193" s="246"/>
      <c r="G193" s="246"/>
      <c r="H193" s="246"/>
      <c r="I193" s="246"/>
      <c r="J193" s="246"/>
      <c r="K193" s="246"/>
      <c r="L193" s="246"/>
    </row>
    <row r="194" spans="1:12">
      <c r="A194" s="246"/>
      <c r="B194" s="246"/>
      <c r="C194" s="246"/>
      <c r="D194" s="246"/>
      <c r="E194" s="246"/>
      <c r="F194" s="246"/>
      <c r="G194" s="246"/>
      <c r="H194" s="246"/>
      <c r="I194" s="246"/>
      <c r="J194" s="246"/>
      <c r="K194" s="246"/>
      <c r="L194" s="246"/>
    </row>
    <row r="195" spans="1:12">
      <c r="A195" s="246"/>
      <c r="B195" s="246"/>
      <c r="C195" s="246"/>
      <c r="D195" s="246"/>
      <c r="E195" s="246"/>
      <c r="F195" s="246"/>
      <c r="G195" s="246"/>
      <c r="H195" s="246"/>
      <c r="I195" s="246"/>
      <c r="J195" s="246"/>
      <c r="K195" s="246"/>
      <c r="L195" s="246"/>
    </row>
    <row r="196" spans="1:12">
      <c r="A196" s="246"/>
      <c r="B196" s="246"/>
      <c r="C196" s="246"/>
      <c r="D196" s="246"/>
      <c r="E196" s="246"/>
      <c r="F196" s="246"/>
      <c r="G196" s="246"/>
      <c r="H196" s="246"/>
      <c r="I196" s="246"/>
      <c r="J196" s="246"/>
      <c r="K196" s="246"/>
      <c r="L196" s="246"/>
    </row>
    <row r="197" spans="1:12">
      <c r="A197" s="246"/>
      <c r="B197" s="246"/>
      <c r="C197" s="246"/>
      <c r="D197" s="246"/>
      <c r="E197" s="246"/>
      <c r="F197" s="246"/>
      <c r="G197" s="246"/>
      <c r="H197" s="246"/>
      <c r="I197" s="246"/>
      <c r="J197" s="246"/>
      <c r="K197" s="246"/>
      <c r="L197" s="246"/>
    </row>
    <row r="198" spans="1:12">
      <c r="A198" s="246"/>
      <c r="B198" s="246"/>
      <c r="C198" s="246"/>
      <c r="D198" s="246"/>
      <c r="E198" s="246"/>
      <c r="F198" s="246"/>
      <c r="G198" s="246"/>
      <c r="H198" s="246"/>
      <c r="I198" s="246"/>
      <c r="J198" s="246"/>
      <c r="K198" s="246"/>
      <c r="L198" s="246"/>
    </row>
    <row r="199" spans="1:12">
      <c r="A199" s="246"/>
      <c r="B199" s="246"/>
      <c r="C199" s="246"/>
      <c r="D199" s="246"/>
      <c r="E199" s="246"/>
      <c r="F199" s="246"/>
      <c r="G199" s="246"/>
      <c r="H199" s="246"/>
      <c r="I199" s="246"/>
      <c r="J199" s="246"/>
      <c r="K199" s="246"/>
      <c r="L199" s="246"/>
    </row>
    <row r="200" spans="1:12">
      <c r="A200" s="246"/>
      <c r="B200" s="246"/>
      <c r="C200" s="246"/>
      <c r="D200" s="246"/>
      <c r="E200" s="246"/>
      <c r="F200" s="246"/>
      <c r="G200" s="246"/>
      <c r="H200" s="246"/>
      <c r="I200" s="246"/>
      <c r="J200" s="246"/>
      <c r="K200" s="246"/>
      <c r="L200" s="246"/>
    </row>
    <row r="201" spans="1:12">
      <c r="A201" s="246"/>
      <c r="B201" s="246"/>
      <c r="C201" s="246"/>
      <c r="D201" s="246"/>
      <c r="E201" s="246"/>
      <c r="F201" s="246"/>
      <c r="G201" s="246"/>
      <c r="H201" s="246"/>
      <c r="I201" s="246"/>
      <c r="J201" s="246"/>
      <c r="K201" s="246"/>
      <c r="L201" s="246"/>
    </row>
    <row r="202" spans="1:12">
      <c r="A202" s="246"/>
      <c r="B202" s="246"/>
      <c r="C202" s="246"/>
      <c r="D202" s="246"/>
      <c r="E202" s="246"/>
      <c r="F202" s="246"/>
      <c r="G202" s="246"/>
      <c r="H202" s="246"/>
      <c r="I202" s="246"/>
      <c r="J202" s="246"/>
      <c r="K202" s="246"/>
      <c r="L202" s="246"/>
    </row>
    <row r="203" spans="1:12">
      <c r="A203" s="246"/>
      <c r="B203" s="246"/>
      <c r="C203" s="246"/>
      <c r="D203" s="246"/>
      <c r="E203" s="246"/>
      <c r="F203" s="246"/>
      <c r="G203" s="246"/>
      <c r="H203" s="246"/>
      <c r="I203" s="246"/>
      <c r="J203" s="246"/>
      <c r="K203" s="246"/>
      <c r="L203" s="246"/>
    </row>
    <row r="204" spans="1:12">
      <c r="A204" s="246"/>
      <c r="B204" s="246"/>
      <c r="C204" s="246"/>
      <c r="D204" s="246"/>
      <c r="E204" s="246"/>
      <c r="F204" s="246"/>
      <c r="G204" s="246"/>
      <c r="H204" s="246"/>
      <c r="I204" s="246"/>
      <c r="J204" s="246"/>
      <c r="K204" s="246"/>
      <c r="L204" s="246"/>
    </row>
  </sheetData>
  <dataConsolidate/>
  <pageMargins left="0.7" right="0.7" top="0.75" bottom="0.75" header="0.3" footer="0.3"/>
  <pageSetup scale="72" orientation="landscape" cellComments="asDisplayed" r:id="rId1"/>
  <headerFooter>
    <oddHeader>&amp;CSchedule 3
True Up Adjustment
&amp;RTO2019 Draft Annual Update
Attachment 5
TO13 True Up TRR</oddHeader>
    <oddFooter>&amp;R3-TrueUpAdjust</oddFooter>
  </headerFooter>
  <rowBreaks count="3" manualBreakCount="3">
    <brk id="48" max="16383" man="1"/>
    <brk id="81" max="16383" man="1"/>
    <brk id="1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zoomScale="110" zoomScaleNormal="11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s>
  <sheetData>
    <row r="1" spans="1:10">
      <c r="A1" s="1" t="s">
        <v>1897</v>
      </c>
    </row>
    <row r="2" spans="1:10">
      <c r="H2" s="14"/>
    </row>
    <row r="3" spans="1:10">
      <c r="B3" s="90" t="s">
        <v>1665</v>
      </c>
    </row>
    <row r="4" spans="1:10">
      <c r="B4" s="76"/>
      <c r="F4" s="2" t="s">
        <v>171</v>
      </c>
      <c r="G4" s="2"/>
      <c r="H4" s="2" t="s">
        <v>188</v>
      </c>
    </row>
    <row r="5" spans="1:10">
      <c r="A5" s="55" t="s">
        <v>350</v>
      </c>
      <c r="B5" s="16"/>
      <c r="C5" s="53" t="s">
        <v>169</v>
      </c>
      <c r="F5" s="3" t="s">
        <v>170</v>
      </c>
      <c r="G5" s="3" t="s">
        <v>187</v>
      </c>
      <c r="H5" s="3" t="s">
        <v>189</v>
      </c>
      <c r="J5" s="3" t="s">
        <v>194</v>
      </c>
    </row>
    <row r="6" spans="1:10">
      <c r="A6" s="120">
        <v>1</v>
      </c>
      <c r="B6" s="14"/>
      <c r="C6" s="119" t="s">
        <v>1138</v>
      </c>
      <c r="D6" s="14"/>
      <c r="E6" s="14"/>
      <c r="F6" s="14" t="s">
        <v>10</v>
      </c>
      <c r="G6" s="14"/>
      <c r="H6" s="119" t="str">
        <f>"6-PlantInService, Line "&amp;'6-PlantInService'!A42&amp;""</f>
        <v>6-PlantInService, Line 18</v>
      </c>
      <c r="I6" s="14"/>
      <c r="J6" s="65">
        <f>'6-PlantInService'!D42</f>
        <v>8389794318.0711689</v>
      </c>
    </row>
    <row r="7" spans="1:10">
      <c r="A7" s="120">
        <f>A6+1</f>
        <v>2</v>
      </c>
      <c r="B7" s="14"/>
      <c r="C7" s="119" t="s">
        <v>1321</v>
      </c>
      <c r="D7" s="14"/>
      <c r="E7" s="14"/>
      <c r="F7" s="14" t="s">
        <v>172</v>
      </c>
      <c r="G7" s="14"/>
      <c r="H7" s="119" t="str">
        <f>"6-PlantInService, Line "&amp;'6-PlantInService'!A58&amp;""</f>
        <v>6-PlantInService, Line 24</v>
      </c>
      <c r="I7" s="14"/>
      <c r="J7" s="65">
        <f>'6-PlantInService'!F58</f>
        <v>251836564.23350912</v>
      </c>
    </row>
    <row r="8" spans="1:10">
      <c r="A8" s="120">
        <f>A7+1</f>
        <v>3</v>
      </c>
      <c r="B8" s="14"/>
      <c r="C8" s="119" t="s">
        <v>174</v>
      </c>
      <c r="D8" s="14"/>
      <c r="E8" s="14"/>
      <c r="F8" s="14" t="s">
        <v>172</v>
      </c>
      <c r="G8" s="14"/>
      <c r="H8" s="14" t="str">
        <f>"11-PHFU, Line "&amp;'11-PHFU'!A41&amp;""</f>
        <v>11-PHFU, Line 9</v>
      </c>
      <c r="I8" s="14"/>
      <c r="J8" s="65">
        <f>'11-PHFU'!D41</f>
        <v>9942155</v>
      </c>
    </row>
    <row r="9" spans="1:10">
      <c r="A9" s="120">
        <f>A8+1</f>
        <v>4</v>
      </c>
      <c r="B9" s="14"/>
      <c r="C9" s="119" t="s">
        <v>343</v>
      </c>
      <c r="D9" s="14"/>
      <c r="E9" s="14"/>
      <c r="F9" s="14" t="s">
        <v>172</v>
      </c>
      <c r="G9" s="14"/>
      <c r="H9" s="15" t="str">
        <f>"12-AbandonedPlant Line "&amp;'12-AbandonedPlant'!A21&amp;""</f>
        <v>12-AbandonedPlant Line 4</v>
      </c>
      <c r="I9" s="14"/>
      <c r="J9" s="65">
        <f>'12-AbandonedPlant'!G21</f>
        <v>0</v>
      </c>
    </row>
    <row r="10" spans="1:10">
      <c r="A10" s="120"/>
      <c r="B10" s="14"/>
      <c r="C10" s="119"/>
      <c r="D10" s="14"/>
      <c r="E10" s="14"/>
      <c r="F10" s="14"/>
      <c r="G10" s="14"/>
      <c r="H10" s="14"/>
      <c r="I10" s="14"/>
      <c r="J10" s="65"/>
    </row>
    <row r="11" spans="1:10">
      <c r="A11" s="120"/>
      <c r="B11" s="14"/>
      <c r="C11" s="46" t="s">
        <v>305</v>
      </c>
      <c r="D11" s="14"/>
      <c r="E11" s="14"/>
      <c r="F11" s="14"/>
      <c r="G11" s="14"/>
      <c r="H11" s="14"/>
      <c r="I11" s="14"/>
      <c r="J11" s="65"/>
    </row>
    <row r="12" spans="1:10">
      <c r="A12" s="120">
        <f>A9+1</f>
        <v>5</v>
      </c>
      <c r="B12" s="14"/>
      <c r="C12" s="47" t="s">
        <v>102</v>
      </c>
      <c r="D12" s="14"/>
      <c r="E12" s="14"/>
      <c r="F12" s="14" t="s">
        <v>10</v>
      </c>
      <c r="G12" s="14"/>
      <c r="H12" s="119" t="str">
        <f>"13-WorkCap, Line "&amp;'13-WorkCap'!A27&amp;""</f>
        <v>13-WorkCap, Line 17</v>
      </c>
      <c r="I12" s="14"/>
      <c r="J12" s="65">
        <f>'13-WorkCap'!F27</f>
        <v>13043568.681603389</v>
      </c>
    </row>
    <row r="13" spans="1:10">
      <c r="A13" s="120">
        <f>A12+1</f>
        <v>6</v>
      </c>
      <c r="B13" s="14"/>
      <c r="C13" s="123" t="s">
        <v>103</v>
      </c>
      <c r="D13" s="14"/>
      <c r="E13" s="14"/>
      <c r="F13" s="14" t="s">
        <v>10</v>
      </c>
      <c r="G13" s="14"/>
      <c r="H13" s="119" t="str">
        <f>"13-WorkCap, Line "&amp;'13-WorkCap'!A51&amp;""</f>
        <v>13-WorkCap, Line 33</v>
      </c>
      <c r="I13" s="14"/>
      <c r="J13" s="65">
        <f>'13-WorkCap'!F51</f>
        <v>10636061.609444315</v>
      </c>
    </row>
    <row r="14" spans="1:10">
      <c r="A14" s="120">
        <f>A13+1</f>
        <v>7</v>
      </c>
      <c r="B14" s="14"/>
      <c r="C14" s="47" t="s">
        <v>191</v>
      </c>
      <c r="D14" s="14"/>
      <c r="E14" s="14"/>
      <c r="F14" s="517" t="s">
        <v>2664</v>
      </c>
      <c r="G14" s="14"/>
      <c r="H14" s="14" t="str">
        <f>"1-Base TRR Line "&amp;'1-BaseTRR'!A17&amp;""</f>
        <v>1-Base TRR Line 7</v>
      </c>
      <c r="I14" s="14"/>
      <c r="J14" s="111">
        <f>'1-BaseTRR'!K17</f>
        <v>7807795.168243329</v>
      </c>
    </row>
    <row r="15" spans="1:10">
      <c r="A15" s="120">
        <f>A14+1</f>
        <v>8</v>
      </c>
      <c r="B15" s="14"/>
      <c r="C15" s="47" t="s">
        <v>101</v>
      </c>
      <c r="D15" s="14"/>
      <c r="E15" s="14"/>
      <c r="F15" s="14"/>
      <c r="G15" s="14"/>
      <c r="H15" s="14" t="str">
        <f>"Line "&amp;A12&amp;" + Line "&amp;A13&amp;" + Line "&amp;A14&amp;""</f>
        <v>Line 5 + Line 6 + Line 7</v>
      </c>
      <c r="I15" s="14"/>
      <c r="J15" s="65">
        <f>SUM(J12:J14)</f>
        <v>31487425.459291033</v>
      </c>
    </row>
    <row r="16" spans="1:10">
      <c r="A16" s="120"/>
      <c r="B16" s="14"/>
      <c r="C16" s="47"/>
      <c r="D16" s="14"/>
      <c r="E16" s="14"/>
      <c r="F16" s="14"/>
      <c r="G16" s="14"/>
      <c r="H16" s="14"/>
      <c r="I16" s="14"/>
      <c r="J16" s="65"/>
    </row>
    <row r="17" spans="1:10">
      <c r="A17" s="120"/>
      <c r="B17" s="14"/>
      <c r="C17" s="1018" t="s">
        <v>306</v>
      </c>
      <c r="D17" s="14"/>
      <c r="E17" s="14"/>
      <c r="F17" s="14"/>
      <c r="G17" s="14"/>
      <c r="H17" s="14"/>
      <c r="I17" s="14"/>
      <c r="J17" s="65"/>
    </row>
    <row r="18" spans="1:10">
      <c r="A18" s="120">
        <f>A15+1</f>
        <v>9</v>
      </c>
      <c r="B18" s="14"/>
      <c r="C18" s="514" t="s">
        <v>1862</v>
      </c>
      <c r="D18" s="14"/>
      <c r="E18" s="14"/>
      <c r="F18" s="14" t="s">
        <v>10</v>
      </c>
      <c r="G18" s="14" t="s">
        <v>168</v>
      </c>
      <c r="H18" s="119" t="str">
        <f>"8-AccDep, Line "&amp;'8-AccDep'!A25&amp;", Col. 12"</f>
        <v>8-AccDep, Line 14, Col. 12</v>
      </c>
      <c r="I18" s="14"/>
      <c r="J18" s="65">
        <f>-'8-AccDep'!N25</f>
        <v>-1549914566.8389716</v>
      </c>
    </row>
    <row r="19" spans="1:10">
      <c r="A19" s="120">
        <f>A18+1</f>
        <v>10</v>
      </c>
      <c r="B19" s="14"/>
      <c r="C19" s="514" t="s">
        <v>1863</v>
      </c>
      <c r="D19" s="14"/>
      <c r="E19" s="14"/>
      <c r="F19" s="14" t="s">
        <v>172</v>
      </c>
      <c r="G19" s="14" t="s">
        <v>168</v>
      </c>
      <c r="H19" s="119" t="str">
        <f>"8-AccDep, Line "&amp;'8-AccDep'!A35&amp;", Col. 5"</f>
        <v>8-AccDep, Line 17, Col. 5</v>
      </c>
      <c r="I19" s="14"/>
      <c r="J19" s="65">
        <f>-'8-AccDep'!G35</f>
        <v>0</v>
      </c>
    </row>
    <row r="20" spans="1:10">
      <c r="A20" s="120">
        <f>A19+1</f>
        <v>11</v>
      </c>
      <c r="B20" s="14"/>
      <c r="C20" s="47" t="s">
        <v>338</v>
      </c>
      <c r="D20" s="22"/>
      <c r="E20" s="14"/>
      <c r="F20" s="14" t="s">
        <v>172</v>
      </c>
      <c r="G20" s="14" t="s">
        <v>168</v>
      </c>
      <c r="H20" s="119" t="str">
        <f>"8-AccDep, Line "&amp;'8-AccDep'!A53&amp;""</f>
        <v>8-AccDep, Line 23</v>
      </c>
      <c r="I20" s="14"/>
      <c r="J20" s="111">
        <f>-'8-AccDep'!F53</f>
        <v>-102742532.13355088</v>
      </c>
    </row>
    <row r="21" spans="1:10">
      <c r="A21" s="120">
        <f>A20+1</f>
        <v>12</v>
      </c>
      <c r="B21" s="14"/>
      <c r="C21" s="1019" t="s">
        <v>181</v>
      </c>
      <c r="D21" s="22"/>
      <c r="E21" s="14"/>
      <c r="F21" s="14"/>
      <c r="G21" s="14"/>
      <c r="H21" s="14" t="str">
        <f>"Line "&amp;A18&amp;" + Line "&amp;A19&amp;" + Line "&amp;A20&amp;""</f>
        <v>Line 9 + Line 10 + Line 11</v>
      </c>
      <c r="I21" s="14"/>
      <c r="J21" s="65">
        <f>SUM(J18:J20)</f>
        <v>-1652657098.9725225</v>
      </c>
    </row>
    <row r="22" spans="1:10">
      <c r="A22" s="120"/>
      <c r="B22" s="14"/>
      <c r="C22" s="15"/>
      <c r="D22" s="14"/>
      <c r="E22" s="14"/>
      <c r="F22" s="14"/>
      <c r="G22" s="14"/>
      <c r="H22" s="14"/>
      <c r="I22" s="14"/>
      <c r="J22" s="65"/>
    </row>
    <row r="23" spans="1:10">
      <c r="A23" s="120">
        <f>A21+1</f>
        <v>13</v>
      </c>
      <c r="B23" s="14"/>
      <c r="C23" s="1005" t="s">
        <v>182</v>
      </c>
      <c r="D23" s="14"/>
      <c r="E23" s="14"/>
      <c r="F23" s="14" t="s">
        <v>172</v>
      </c>
      <c r="G23" s="14"/>
      <c r="H23" s="119" t="str">
        <f>"9-ADIT, Line "&amp;'9-ADIT'!A24&amp;""</f>
        <v>9-ADIT, Line 15</v>
      </c>
      <c r="I23" s="14"/>
      <c r="J23" s="65">
        <f>'9-ADIT'!D24</f>
        <v>-1600481338.7387307</v>
      </c>
    </row>
    <row r="24" spans="1:10">
      <c r="A24" s="120">
        <f>A23+1</f>
        <v>14</v>
      </c>
      <c r="B24" s="14"/>
      <c r="C24" s="119" t="s">
        <v>266</v>
      </c>
      <c r="D24" s="14"/>
      <c r="E24" s="14"/>
      <c r="F24" s="14" t="s">
        <v>10</v>
      </c>
      <c r="G24" s="14"/>
      <c r="H24" s="119" t="str">
        <f>"14-IncentivePlant, L "&amp;'14-IncentivePlant'!A38&amp;", C2"</f>
        <v>14-IncentivePlant, L 13, C2</v>
      </c>
      <c r="I24" s="14"/>
      <c r="J24" s="65">
        <f>'14-IncentivePlant'!F38</f>
        <v>106441482.78769231</v>
      </c>
    </row>
    <row r="25" spans="1:10">
      <c r="A25" s="120">
        <f>A24+1</f>
        <v>15</v>
      </c>
      <c r="B25" s="14"/>
      <c r="C25" s="1005" t="s">
        <v>64</v>
      </c>
      <c r="D25" s="14"/>
      <c r="E25" s="14"/>
      <c r="F25" s="14" t="s">
        <v>172</v>
      </c>
      <c r="G25" s="14" t="s">
        <v>168</v>
      </c>
      <c r="H25" s="119" t="str">
        <f>"22-NUCs, Line "&amp;'22-NUCs'!A17&amp;""</f>
        <v>22-NUCs, Line 9</v>
      </c>
      <c r="I25" s="14"/>
      <c r="J25" s="65">
        <f>-'22-NUCs'!E17</f>
        <v>-106562330.36</v>
      </c>
    </row>
    <row r="26" spans="1:10">
      <c r="A26" s="120" t="s">
        <v>897</v>
      </c>
      <c r="B26" s="14"/>
      <c r="C26" s="1007" t="s">
        <v>2385</v>
      </c>
      <c r="D26" s="14"/>
      <c r="E26" s="14"/>
      <c r="F26" s="14"/>
      <c r="G26" s="14"/>
      <c r="H26" s="15" t="str">
        <f>"34-UnfundedReserves, Line "&amp;'34-UnfundedReserves'!A10&amp;""</f>
        <v>34-UnfundedReserves, Line 7</v>
      </c>
      <c r="I26" s="14"/>
      <c r="J26" s="65">
        <f>'34-UnfundedReserves'!K10</f>
        <v>-10154558.999743076</v>
      </c>
    </row>
    <row r="27" spans="1:10">
      <c r="A27" s="120">
        <v>16</v>
      </c>
      <c r="B27" s="14"/>
      <c r="C27" s="1005" t="s">
        <v>395</v>
      </c>
      <c r="D27" s="14"/>
      <c r="E27" s="14"/>
      <c r="F27" s="14" t="s">
        <v>172</v>
      </c>
      <c r="G27" s="14"/>
      <c r="H27" s="119" t="str">
        <f>"23-RegAssets, Line "&amp;'23-RegAssets'!A18&amp;""</f>
        <v>23-RegAssets, Line 15</v>
      </c>
      <c r="I27" s="14"/>
      <c r="J27" s="65">
        <f>'23-RegAssets'!E18</f>
        <v>0</v>
      </c>
    </row>
    <row r="28" spans="1:10">
      <c r="A28" s="120"/>
      <c r="B28" s="14"/>
      <c r="C28" s="1005"/>
      <c r="D28" s="14"/>
      <c r="E28" s="14"/>
      <c r="F28" s="14"/>
      <c r="G28" s="14"/>
      <c r="H28" s="14"/>
      <c r="I28" s="14"/>
      <c r="J28" s="14"/>
    </row>
    <row r="29" spans="1:10">
      <c r="A29" s="120">
        <v>17</v>
      </c>
      <c r="B29" s="14"/>
      <c r="C29" s="14" t="s">
        <v>192</v>
      </c>
      <c r="D29" s="14"/>
      <c r="E29" s="14"/>
      <c r="F29" s="14"/>
      <c r="G29" s="14"/>
      <c r="H29" s="14" t="str">
        <f>"L"&amp;A6&amp;"+L"&amp;A7&amp;"+L"&amp;A8&amp;"+L"&amp;A9&amp;"+L"&amp;A15&amp;"+L"&amp;A21&amp;"+"</f>
        <v>L1+L2+L3+L4+L8+L12+</v>
      </c>
      <c r="I29" s="14"/>
      <c r="J29" s="65">
        <f>J6+ J7+J8+J9+J15+J21+J23+J24+J25+J26+J27</f>
        <v>5419646618.4806652</v>
      </c>
    </row>
    <row r="30" spans="1:10">
      <c r="A30" s="120"/>
      <c r="B30" s="14"/>
      <c r="C30" s="14"/>
      <c r="D30" s="14"/>
      <c r="E30" s="14"/>
      <c r="F30" s="14"/>
      <c r="G30" s="14"/>
      <c r="H30" s="14" t="str">
        <f>"L"&amp;A23&amp;"+L"&amp;A24&amp;"+L"&amp;A25&amp;"+L"&amp;A26&amp;"+L"&amp;A27&amp;""</f>
        <v>L13+L14+L15+L15a+L16</v>
      </c>
      <c r="I30" s="14"/>
      <c r="J30" s="65"/>
    </row>
    <row r="31" spans="1:10">
      <c r="A31" s="120"/>
      <c r="B31" s="45" t="s">
        <v>2687</v>
      </c>
      <c r="D31" s="14"/>
      <c r="E31" s="14"/>
      <c r="F31" s="14"/>
      <c r="G31" s="14"/>
      <c r="H31" s="14"/>
      <c r="I31" s="14"/>
      <c r="J31" s="65"/>
    </row>
    <row r="32" spans="1:10">
      <c r="A32" s="611" t="s">
        <v>350</v>
      </c>
      <c r="B32" s="14"/>
      <c r="C32" s="45"/>
      <c r="D32" s="14"/>
      <c r="E32" s="14"/>
      <c r="F32" s="14"/>
      <c r="G32" s="14"/>
      <c r="H32" s="14"/>
      <c r="I32" s="14"/>
      <c r="J32" s="65"/>
    </row>
    <row r="33" spans="1:10">
      <c r="A33" s="120">
        <f>A29+1</f>
        <v>18</v>
      </c>
      <c r="B33" s="14"/>
      <c r="C33" s="14" t="s">
        <v>62</v>
      </c>
      <c r="D33" s="14"/>
      <c r="E33" s="14"/>
      <c r="F33" s="14"/>
      <c r="G33" s="517" t="s">
        <v>2191</v>
      </c>
      <c r="H33" s="517" t="str">
        <f>"Instruction 1, Line "&amp;B98&amp;""</f>
        <v>Instruction 1, Line j</v>
      </c>
      <c r="I33" s="14"/>
      <c r="J33" s="429">
        <f>E98</f>
        <v>7.2499706024635166E-2</v>
      </c>
    </row>
    <row r="34" spans="1:10">
      <c r="A34" s="2">
        <f>A33+1</f>
        <v>19</v>
      </c>
      <c r="C34" s="15" t="s">
        <v>63</v>
      </c>
      <c r="D34" s="15"/>
      <c r="E34" s="15"/>
      <c r="F34" s="15"/>
      <c r="G34" s="15"/>
      <c r="H34" t="str">
        <f>"Line "&amp;A29&amp;" * Line "&amp;A33&amp;""</f>
        <v>Line 17 * Line 18</v>
      </c>
      <c r="J34" s="48">
        <f>J29*J33</f>
        <v>392922786.5972563</v>
      </c>
    </row>
    <row r="35" spans="1:10">
      <c r="A35" s="2"/>
      <c r="B35" s="16"/>
    </row>
    <row r="36" spans="1:10">
      <c r="A36" s="2"/>
      <c r="B36" s="1" t="s">
        <v>2688</v>
      </c>
    </row>
    <row r="37" spans="1:10">
      <c r="A37" s="120"/>
      <c r="B37" s="123"/>
      <c r="C37" s="14"/>
      <c r="D37" s="14"/>
      <c r="E37" s="14"/>
      <c r="F37" s="14"/>
      <c r="G37" s="14"/>
      <c r="H37" s="14"/>
      <c r="I37" s="14"/>
      <c r="J37" s="14"/>
    </row>
    <row r="38" spans="1:10">
      <c r="A38" s="120">
        <f>A34+1</f>
        <v>20</v>
      </c>
      <c r="B38" s="14"/>
      <c r="C38" s="517" t="s">
        <v>2667</v>
      </c>
      <c r="D38" s="14"/>
      <c r="E38" s="14"/>
      <c r="F38" s="14"/>
      <c r="G38" s="14"/>
      <c r="H38" s="14"/>
      <c r="I38" s="14"/>
      <c r="J38" s="65">
        <f>(((J29*J42) + J45) *(J43/(1-J43)))+(J44/(1-J43))</f>
        <v>201953043.45106307</v>
      </c>
    </row>
    <row r="39" spans="1:10">
      <c r="A39" s="120"/>
      <c r="B39" s="14"/>
      <c r="C39" s="14"/>
      <c r="D39" s="14"/>
      <c r="E39" s="14"/>
      <c r="F39" s="14"/>
      <c r="G39" s="14"/>
      <c r="H39" s="14"/>
      <c r="I39" s="14"/>
      <c r="J39" s="15"/>
    </row>
    <row r="40" spans="1:10">
      <c r="A40" s="120"/>
      <c r="B40" s="14"/>
      <c r="C40" s="14"/>
      <c r="D40" s="14" t="s">
        <v>240</v>
      </c>
      <c r="E40" s="14"/>
      <c r="F40" s="14"/>
      <c r="G40" s="14"/>
      <c r="H40" s="14"/>
      <c r="I40" s="14"/>
      <c r="J40" s="14"/>
    </row>
    <row r="41" spans="1:10">
      <c r="A41" s="120">
        <f>A38+1</f>
        <v>21</v>
      </c>
      <c r="B41" s="14"/>
      <c r="C41" s="14"/>
      <c r="D41" s="123" t="s">
        <v>241</v>
      </c>
      <c r="E41" s="14"/>
      <c r="F41" s="14"/>
      <c r="G41" s="14"/>
      <c r="H41" s="14" t="str">
        <f>"Line "&amp;A29&amp;""</f>
        <v>Line 17</v>
      </c>
      <c r="I41" s="14"/>
      <c r="J41" s="65">
        <f>J29</f>
        <v>5419646618.4806652</v>
      </c>
    </row>
    <row r="42" spans="1:10">
      <c r="A42" s="120">
        <f>A41+1</f>
        <v>22</v>
      </c>
      <c r="B42" s="14"/>
      <c r="C42" s="14"/>
      <c r="D42" s="514" t="s">
        <v>1954</v>
      </c>
      <c r="E42" s="14"/>
      <c r="F42" s="14"/>
      <c r="G42" s="517" t="s">
        <v>1918</v>
      </c>
      <c r="H42" s="517" t="str">
        <f>"Instruction 1, Line "&amp;B103&amp;""</f>
        <v>Instruction 1, Line k</v>
      </c>
      <c r="I42" s="14"/>
      <c r="J42" s="72">
        <f>E103</f>
        <v>5.2592059258897372E-2</v>
      </c>
    </row>
    <row r="43" spans="1:10">
      <c r="A43" s="120">
        <f>A42+1</f>
        <v>23</v>
      </c>
      <c r="B43" s="14"/>
      <c r="C43" s="14"/>
      <c r="D43" s="123" t="s">
        <v>242</v>
      </c>
      <c r="E43" s="14"/>
      <c r="F43" s="14"/>
      <c r="G43" s="14"/>
      <c r="H43" s="14" t="str">
        <f>"1-Base TRR L "&amp;'1-BaseTRR'!A102&amp;""</f>
        <v>1-Base TRR L 58</v>
      </c>
      <c r="I43" s="14"/>
      <c r="J43" s="72">
        <f>'1-BaseTRR'!K102</f>
        <v>0.40745999999999999</v>
      </c>
    </row>
    <row r="44" spans="1:10">
      <c r="A44" s="120">
        <f>A43+1</f>
        <v>24</v>
      </c>
      <c r="B44" s="14"/>
      <c r="C44" s="14"/>
      <c r="D44" s="123" t="s">
        <v>243</v>
      </c>
      <c r="E44" s="14"/>
      <c r="F44" s="14"/>
      <c r="G44" s="14"/>
      <c r="H44" s="14" t="str">
        <f>"1-Base TRR L "&amp;'1-BaseTRR'!A108&amp;""</f>
        <v>1-Base TRR L 62</v>
      </c>
      <c r="I44" s="14"/>
      <c r="J44" s="65">
        <f>'1-BaseTRR'!K108</f>
        <v>2086200</v>
      </c>
    </row>
    <row r="45" spans="1:10">
      <c r="A45" s="120">
        <f>A44+1</f>
        <v>25</v>
      </c>
      <c r="B45" s="14"/>
      <c r="C45" s="14"/>
      <c r="D45" s="123" t="s">
        <v>1950</v>
      </c>
      <c r="E45" s="14"/>
      <c r="F45" s="14"/>
      <c r="G45" s="14"/>
      <c r="H45" s="14" t="str">
        <f>"1-Base TRR L "&amp;'1-BaseTRR'!A112&amp;""</f>
        <v>1-Base TRR L 64</v>
      </c>
      <c r="I45" s="14"/>
      <c r="J45" s="530">
        <f>'1-BaseTRR'!K119</f>
        <v>3535511</v>
      </c>
    </row>
    <row r="46" spans="1:10">
      <c r="A46" s="120"/>
      <c r="B46" s="123"/>
      <c r="C46" s="14"/>
      <c r="D46" s="14"/>
      <c r="E46" s="14"/>
      <c r="F46" s="14"/>
      <c r="G46" s="14"/>
      <c r="H46" s="14"/>
      <c r="I46" s="14"/>
      <c r="J46" s="14"/>
    </row>
    <row r="47" spans="1:10">
      <c r="A47" s="120"/>
      <c r="B47" s="45" t="s">
        <v>2689</v>
      </c>
      <c r="D47" s="14"/>
      <c r="E47" s="14"/>
      <c r="F47" s="14"/>
      <c r="G47" s="14"/>
      <c r="H47" s="14"/>
      <c r="I47" s="14"/>
      <c r="J47" s="14"/>
    </row>
    <row r="48" spans="1:10">
      <c r="A48" s="120">
        <f>A45+1</f>
        <v>26</v>
      </c>
      <c r="B48" s="123"/>
      <c r="C48" s="14" t="s">
        <v>112</v>
      </c>
      <c r="D48" s="14"/>
      <c r="E48" s="14"/>
      <c r="F48" s="14"/>
      <c r="G48" s="14"/>
      <c r="H48" s="14" t="str">
        <f>"1-Base TRR L "&amp;'1-BaseTRR'!A124&amp;""</f>
        <v>1-Base TRR L 65</v>
      </c>
      <c r="I48" s="14"/>
      <c r="J48" s="65">
        <f>'1-BaseTRR'!K124</f>
        <v>78494545.217356786</v>
      </c>
    </row>
    <row r="49" spans="1:10">
      <c r="A49" s="120">
        <f t="shared" ref="A49:A60" si="0">A48+1</f>
        <v>27</v>
      </c>
      <c r="B49" s="123"/>
      <c r="C49" s="15" t="s">
        <v>290</v>
      </c>
      <c r="D49" s="14"/>
      <c r="E49" s="14"/>
      <c r="F49" s="14"/>
      <c r="G49" s="14"/>
      <c r="H49" s="14" t="str">
        <f>"1-Base TRR L "&amp;'1-BaseTRR'!A125&amp;""</f>
        <v>1-Base TRR L 66</v>
      </c>
      <c r="I49" s="14"/>
      <c r="J49" s="65">
        <f>'1-BaseTRR'!K125</f>
        <v>46430177.474536479</v>
      </c>
    </row>
    <row r="50" spans="1:10" s="1158" customFormat="1">
      <c r="A50" s="605" t="s">
        <v>2779</v>
      </c>
      <c r="B50" s="1231"/>
      <c r="C50" s="601" t="s">
        <v>2780</v>
      </c>
      <c r="D50" s="586"/>
      <c r="E50" s="586"/>
      <c r="F50" s="586"/>
      <c r="G50" s="586"/>
      <c r="H50" s="586" t="str">
        <f>"35-PBOPs L "&amp;'35-PBOPs'!A38&amp;""</f>
        <v>35-PBOPs L 14</v>
      </c>
      <c r="I50" s="586"/>
      <c r="J50" s="805">
        <f>'35-PBOPs'!G38</f>
        <v>-6497.8200454660309</v>
      </c>
    </row>
    <row r="51" spans="1:10">
      <c r="A51" s="120">
        <f>A49+1</f>
        <v>28</v>
      </c>
      <c r="B51" s="123"/>
      <c r="C51" s="14" t="s">
        <v>65</v>
      </c>
      <c r="D51" s="14"/>
      <c r="E51" s="14"/>
      <c r="F51" s="14"/>
      <c r="G51" s="14"/>
      <c r="H51" s="14" t="str">
        <f>"1-Base TRR L "&amp;'1-BaseTRR'!A126&amp;""</f>
        <v>1-Base TRR L 67</v>
      </c>
      <c r="I51" s="14"/>
      <c r="J51" s="65">
        <f>'1-BaseTRR'!K126</f>
        <v>6116850.9299999997</v>
      </c>
    </row>
    <row r="52" spans="1:10">
      <c r="A52" s="120">
        <f t="shared" si="0"/>
        <v>29</v>
      </c>
      <c r="B52" s="123"/>
      <c r="C52" s="15" t="s">
        <v>276</v>
      </c>
      <c r="D52" s="14"/>
      <c r="E52" s="14"/>
      <c r="F52" s="14"/>
      <c r="G52" s="14"/>
      <c r="H52" s="14" t="str">
        <f>"1-Base TRR L "&amp;'1-BaseTRR'!A127&amp;""</f>
        <v>1-Base TRR L 68</v>
      </c>
      <c r="I52" s="14"/>
      <c r="J52" s="65">
        <f>'1-BaseTRR'!K127</f>
        <v>239554986.6705533</v>
      </c>
    </row>
    <row r="53" spans="1:10">
      <c r="A53" s="120">
        <f t="shared" si="0"/>
        <v>30</v>
      </c>
      <c r="B53" s="123"/>
      <c r="C53" s="15" t="s">
        <v>322</v>
      </c>
      <c r="D53" s="14"/>
      <c r="E53" s="14"/>
      <c r="F53" s="14"/>
      <c r="G53" s="14"/>
      <c r="H53" s="14" t="str">
        <f>"1-Base TRR L "&amp;'1-BaseTRR'!A128&amp;""</f>
        <v>1-Base TRR L 69</v>
      </c>
      <c r="I53" s="14"/>
      <c r="J53" s="65">
        <f>'1-BaseTRR'!K128</f>
        <v>0</v>
      </c>
    </row>
    <row r="54" spans="1:10">
      <c r="A54" s="120">
        <f t="shared" si="0"/>
        <v>31</v>
      </c>
      <c r="B54" s="123"/>
      <c r="C54" s="15" t="s">
        <v>89</v>
      </c>
      <c r="D54" s="14"/>
      <c r="E54" s="14"/>
      <c r="F54" s="14"/>
      <c r="G54" s="14"/>
      <c r="H54" s="14" t="str">
        <f>"1-Base TRR L "&amp;'1-BaseTRR'!A129&amp;""</f>
        <v>1-Base TRR L 70</v>
      </c>
      <c r="I54" s="14"/>
      <c r="J54" s="65">
        <f>'1-BaseTRR'!K129</f>
        <v>60984748.52148059</v>
      </c>
    </row>
    <row r="55" spans="1:10">
      <c r="A55" s="120">
        <f t="shared" si="0"/>
        <v>32</v>
      </c>
      <c r="B55" s="123"/>
      <c r="C55" s="14" t="s">
        <v>11</v>
      </c>
      <c r="D55" s="14"/>
      <c r="E55" s="14"/>
      <c r="F55" s="14"/>
      <c r="G55" s="15"/>
      <c r="H55" s="14" t="str">
        <f>"1-Base TRR L "&amp;'1-BaseTRR'!A130&amp;""</f>
        <v>1-Base TRR L 71</v>
      </c>
      <c r="I55" s="14"/>
      <c r="J55" s="65">
        <f>'1-BaseTRR'!K130</f>
        <v>-58832605.54180719</v>
      </c>
    </row>
    <row r="56" spans="1:10">
      <c r="A56" s="120">
        <f t="shared" si="0"/>
        <v>33</v>
      </c>
      <c r="B56" s="123"/>
      <c r="C56" s="14" t="s">
        <v>97</v>
      </c>
      <c r="D56" s="14"/>
      <c r="E56" s="14"/>
      <c r="F56" s="14"/>
      <c r="G56" s="14"/>
      <c r="H56" s="14" t="str">
        <f>"Line "&amp;A34&amp;""</f>
        <v>Line 19</v>
      </c>
      <c r="I56" s="14"/>
      <c r="J56" s="65">
        <f>J34</f>
        <v>392922786.5972563</v>
      </c>
    </row>
    <row r="57" spans="1:10">
      <c r="A57" s="120">
        <f t="shared" si="0"/>
        <v>34</v>
      </c>
      <c r="B57" s="123"/>
      <c r="C57" s="14" t="s">
        <v>5</v>
      </c>
      <c r="D57" s="14"/>
      <c r="E57" s="14"/>
      <c r="F57" s="14"/>
      <c r="G57" s="14"/>
      <c r="H57" s="14" t="str">
        <f>"Line "&amp;A38&amp;""</f>
        <v>Line 20</v>
      </c>
      <c r="I57" s="14"/>
      <c r="J57" s="48">
        <f>J38</f>
        <v>201953043.45106307</v>
      </c>
    </row>
    <row r="58" spans="1:10">
      <c r="A58" s="120">
        <f t="shared" si="0"/>
        <v>35</v>
      </c>
      <c r="B58" s="123"/>
      <c r="C58" s="15" t="s">
        <v>390</v>
      </c>
      <c r="D58" s="14"/>
      <c r="E58" s="14"/>
      <c r="F58" s="14"/>
      <c r="G58" s="14"/>
      <c r="H58" s="14" t="str">
        <f>"1-Base TRR L "&amp;'1-BaseTRR'!A133&amp;""</f>
        <v>1-Base TRR L 74</v>
      </c>
      <c r="I58" s="14"/>
      <c r="J58" s="48">
        <f>'1-BaseTRR'!K133</f>
        <v>0</v>
      </c>
    </row>
    <row r="59" spans="1:10">
      <c r="A59" s="120">
        <f t="shared" si="0"/>
        <v>36</v>
      </c>
      <c r="B59" s="123"/>
      <c r="C59" s="651" t="s">
        <v>1936</v>
      </c>
      <c r="D59" s="775"/>
      <c r="E59" s="14"/>
      <c r="F59" s="14"/>
      <c r="G59" s="14"/>
      <c r="H59" s="14" t="str">
        <f>"1-Base TRR L "&amp;'1-BaseTRR'!A134&amp;""</f>
        <v>1-Base TRR L 75</v>
      </c>
      <c r="I59" s="14"/>
      <c r="J59" s="111">
        <f>'1-BaseTRR'!K134</f>
        <v>0</v>
      </c>
    </row>
    <row r="60" spans="1:10">
      <c r="A60" s="120">
        <f t="shared" si="0"/>
        <v>37</v>
      </c>
      <c r="B60" s="123"/>
      <c r="C60" s="517" t="s">
        <v>1666</v>
      </c>
      <c r="D60" s="14"/>
      <c r="E60" s="14"/>
      <c r="F60" s="14"/>
      <c r="G60" s="14"/>
      <c r="H60" s="14" t="str">
        <f>"Sum Line "&amp;A48&amp;" to Line "&amp;A59&amp;""</f>
        <v>Sum Line 26 to Line 36</v>
      </c>
      <c r="I60" s="14"/>
      <c r="J60" s="805">
        <f>SUM(J48:J59)</f>
        <v>967618035.50039387</v>
      </c>
    </row>
    <row r="61" spans="1:10">
      <c r="A61" s="120"/>
      <c r="B61" s="123"/>
      <c r="C61" s="14"/>
      <c r="D61" s="14"/>
      <c r="E61" s="14"/>
      <c r="F61" s="14"/>
      <c r="G61" s="14"/>
      <c r="H61" s="14"/>
      <c r="I61" s="14"/>
      <c r="J61" s="65"/>
    </row>
    <row r="62" spans="1:10" ht="12.75" customHeight="1">
      <c r="A62" s="120">
        <f>A60+1</f>
        <v>38</v>
      </c>
      <c r="B62" s="123"/>
      <c r="C62" s="517" t="s">
        <v>1641</v>
      </c>
      <c r="D62" s="14"/>
      <c r="E62" s="14"/>
      <c r="F62" s="14"/>
      <c r="G62" s="14"/>
      <c r="H62" s="14" t="str">
        <f>"15-IncentiveAdder L "&amp;'15-IncentiveAdder'!A59&amp;""</f>
        <v>15-IncentiveAdder L 20</v>
      </c>
      <c r="I62" s="14"/>
      <c r="J62" s="65">
        <f>'15-IncentiveAdder'!G59</f>
        <v>34932082.703325152</v>
      </c>
    </row>
    <row r="63" spans="1:10">
      <c r="A63" s="120"/>
      <c r="B63" s="123"/>
      <c r="C63" s="15"/>
      <c r="D63" s="14"/>
      <c r="E63" s="14"/>
      <c r="F63" s="14"/>
      <c r="G63" s="14"/>
      <c r="H63" s="14"/>
      <c r="I63" s="14"/>
      <c r="J63" s="65"/>
    </row>
    <row r="64" spans="1:10">
      <c r="A64" s="120">
        <f>A62+1</f>
        <v>39</v>
      </c>
      <c r="B64" s="123"/>
      <c r="C64" s="517" t="s">
        <v>2673</v>
      </c>
      <c r="D64" s="14"/>
      <c r="E64" s="14"/>
      <c r="F64" s="14"/>
      <c r="G64" s="14"/>
      <c r="H64" s="14" t="str">
        <f>"Line "&amp;A60&amp;" + Line "&amp;A62&amp;""</f>
        <v>Line 37 + Line 38</v>
      </c>
      <c r="I64" s="14"/>
      <c r="J64" s="65">
        <f>J60+J62</f>
        <v>1002550118.203719</v>
      </c>
    </row>
    <row r="65" spans="1:10">
      <c r="A65" s="120"/>
      <c r="B65" s="123"/>
      <c r="C65" s="15"/>
      <c r="D65" s="14"/>
      <c r="E65" s="14"/>
      <c r="F65" s="14"/>
      <c r="G65" s="14"/>
      <c r="H65" s="14"/>
      <c r="I65" s="14"/>
      <c r="J65" s="65"/>
    </row>
    <row r="66" spans="1:10">
      <c r="A66" s="120"/>
      <c r="B66" s="409" t="s">
        <v>2690</v>
      </c>
      <c r="C66" s="15"/>
      <c r="D66" s="14"/>
      <c r="E66" s="14"/>
      <c r="F66" s="14"/>
      <c r="G66" s="14"/>
      <c r="H66" s="14"/>
      <c r="I66" s="14"/>
      <c r="J66" s="65"/>
    </row>
    <row r="67" spans="1:10">
      <c r="A67" s="55" t="s">
        <v>350</v>
      </c>
      <c r="B67" s="67"/>
      <c r="G67" s="53" t="s">
        <v>1249</v>
      </c>
    </row>
    <row r="68" spans="1:10">
      <c r="A68" s="120">
        <f>A64+1</f>
        <v>40</v>
      </c>
      <c r="B68" s="1005"/>
      <c r="C68" s="14"/>
      <c r="D68" s="1008" t="s">
        <v>1667</v>
      </c>
      <c r="E68" s="65">
        <f>J64</f>
        <v>1002550118.203719</v>
      </c>
      <c r="F68" s="14"/>
      <c r="G68" s="14" t="str">
        <f>"Line "&amp;A64&amp;""</f>
        <v>Line 39</v>
      </c>
      <c r="H68" s="14"/>
      <c r="I68" s="14"/>
      <c r="J68" s="14"/>
    </row>
    <row r="69" spans="1:10">
      <c r="A69" s="120">
        <f>A68+1</f>
        <v>41</v>
      </c>
      <c r="B69" s="1005"/>
      <c r="C69" s="14"/>
      <c r="D69" s="385" t="s">
        <v>1248</v>
      </c>
      <c r="E69" s="1010">
        <f>'28-FFU'!D22</f>
        <v>9.2057000000000007E-3</v>
      </c>
      <c r="F69" s="14"/>
      <c r="G69" s="14" t="str">
        <f>"28-FFU, L "&amp;'28-FFU'!A22&amp;""</f>
        <v>28-FFU, L 5</v>
      </c>
      <c r="H69" s="14"/>
      <c r="I69" s="14"/>
      <c r="J69" s="14"/>
    </row>
    <row r="70" spans="1:10">
      <c r="A70" s="120">
        <f>A69+1</f>
        <v>42</v>
      </c>
      <c r="B70" s="1005"/>
      <c r="C70" s="14"/>
      <c r="D70" s="86" t="s">
        <v>257</v>
      </c>
      <c r="E70" s="65">
        <f>E68*'28-FFU'!D22</f>
        <v>9229175.6231479775</v>
      </c>
      <c r="F70" s="14"/>
      <c r="G70" s="14" t="str">
        <f>"Line "&amp;A68&amp;" * Line "&amp;A69&amp;""</f>
        <v>Line 40 * Line 41</v>
      </c>
      <c r="H70" s="14"/>
      <c r="I70" s="14"/>
      <c r="J70" s="14"/>
    </row>
    <row r="71" spans="1:10">
      <c r="A71" s="120">
        <f>A70+1</f>
        <v>43</v>
      </c>
      <c r="B71" s="1005"/>
      <c r="C71" s="14"/>
      <c r="D71" s="1008" t="s">
        <v>1947</v>
      </c>
      <c r="E71" s="1010">
        <f>'28-FFU'!E22</f>
        <v>2.4076000000000002E-3</v>
      </c>
      <c r="F71" s="14"/>
      <c r="G71" s="14" t="str">
        <f>"28-FFU, L "&amp;'28-FFU'!A22&amp;""</f>
        <v>28-FFU, L 5</v>
      </c>
      <c r="H71" s="14"/>
      <c r="I71" s="14"/>
      <c r="J71" s="14"/>
    </row>
    <row r="72" spans="1:10">
      <c r="A72" s="120">
        <f>A71+1</f>
        <v>44</v>
      </c>
      <c r="B72" s="1005"/>
      <c r="C72" s="14"/>
      <c r="D72" s="1008" t="s">
        <v>1619</v>
      </c>
      <c r="E72" s="65">
        <f>E68*'28-FFU'!E22</f>
        <v>2413739.6645872742</v>
      </c>
      <c r="F72" s="14"/>
      <c r="G72" s="14" t="str">
        <f>"Line "&amp;A70&amp;" * Line "&amp;A71&amp;""</f>
        <v>Line 42 * Line 43</v>
      </c>
      <c r="H72" s="14"/>
      <c r="I72" s="14"/>
      <c r="J72" s="14"/>
    </row>
    <row r="73" spans="1:10">
      <c r="A73" s="120">
        <f>A72+1</f>
        <v>45</v>
      </c>
      <c r="B73" s="1005"/>
      <c r="C73" s="14"/>
      <c r="D73" s="1008" t="s">
        <v>1668</v>
      </c>
      <c r="E73" s="65">
        <f>E68+E70+E72</f>
        <v>1014193033.4914542</v>
      </c>
      <c r="F73" s="14"/>
      <c r="G73" s="14" t="str">
        <f>"L "&amp;A68&amp;" + L "&amp;A70&amp;" + L "&amp;A72&amp;""</f>
        <v>L 40 + L 42 + L 44</v>
      </c>
      <c r="H73" s="14"/>
      <c r="I73" s="14"/>
      <c r="J73" s="14"/>
    </row>
    <row r="74" spans="1:10">
      <c r="A74" s="14"/>
      <c r="B74" s="1020" t="s">
        <v>417</v>
      </c>
      <c r="C74" s="14"/>
      <c r="D74" s="86"/>
      <c r="E74" s="65"/>
      <c r="F74" s="14"/>
      <c r="G74" s="14"/>
      <c r="H74" s="667"/>
      <c r="I74" s="14"/>
      <c r="J74" s="14"/>
    </row>
    <row r="75" spans="1:10">
      <c r="A75" s="120"/>
      <c r="B75" s="517" t="s">
        <v>1919</v>
      </c>
      <c r="C75" s="409"/>
      <c r="D75" s="86"/>
      <c r="E75" s="65"/>
      <c r="F75" s="14"/>
      <c r="G75" s="14"/>
      <c r="H75" s="14"/>
      <c r="I75" s="14"/>
      <c r="J75" s="14"/>
    </row>
    <row r="76" spans="1:10">
      <c r="A76" s="120"/>
      <c r="B76" s="517" t="s">
        <v>1920</v>
      </c>
      <c r="C76" s="409"/>
      <c r="D76" s="86"/>
      <c r="E76" s="65"/>
      <c r="F76" s="14"/>
      <c r="G76" s="14"/>
      <c r="H76" s="14"/>
      <c r="I76" s="14"/>
      <c r="J76" s="14"/>
    </row>
    <row r="77" spans="1:10">
      <c r="A77" s="120"/>
      <c r="B77" s="1007" t="s">
        <v>1921</v>
      </c>
      <c r="C77" s="15"/>
      <c r="D77" s="86"/>
      <c r="E77" s="65"/>
      <c r="F77" s="14"/>
      <c r="G77" s="14"/>
      <c r="H77" s="14"/>
      <c r="I77" s="14"/>
      <c r="J77" s="14"/>
    </row>
    <row r="78" spans="1:10">
      <c r="A78" s="120"/>
      <c r="B78" s="1007" t="s">
        <v>1986</v>
      </c>
      <c r="C78" s="14"/>
      <c r="D78" s="86"/>
      <c r="E78" s="65"/>
      <c r="F78" s="14"/>
      <c r="G78" s="14"/>
      <c r="H78" s="14"/>
      <c r="I78" s="14"/>
      <c r="J78" s="14"/>
    </row>
    <row r="79" spans="1:10">
      <c r="A79" s="120"/>
      <c r="B79" s="14"/>
      <c r="C79" s="14"/>
      <c r="D79" s="14"/>
      <c r="E79" s="14"/>
      <c r="F79" s="14"/>
      <c r="G79" s="14"/>
      <c r="H79" s="14"/>
      <c r="I79" s="14"/>
      <c r="J79" s="14"/>
    </row>
    <row r="80" spans="1:10">
      <c r="A80" s="120"/>
      <c r="B80" s="517" t="s">
        <v>2186</v>
      </c>
      <c r="C80" s="14"/>
      <c r="D80" s="14"/>
      <c r="E80" s="14"/>
      <c r="F80" s="14"/>
      <c r="G80" s="14"/>
      <c r="H80" s="14"/>
      <c r="I80" s="14"/>
      <c r="J80" s="14"/>
    </row>
    <row r="81" spans="1:12">
      <c r="A81" s="120"/>
      <c r="B81" s="517"/>
      <c r="C81" s="517" t="s">
        <v>2192</v>
      </c>
      <c r="D81" s="14"/>
      <c r="E81" s="14"/>
      <c r="F81" s="14"/>
      <c r="G81" s="14"/>
      <c r="H81" s="14"/>
      <c r="I81" s="14"/>
      <c r="J81" s="14"/>
    </row>
    <row r="82" spans="1:12">
      <c r="A82" s="120"/>
      <c r="B82" s="517"/>
      <c r="C82" s="14"/>
      <c r="D82" s="14"/>
      <c r="E82" s="14"/>
      <c r="F82" s="14"/>
      <c r="G82" s="14"/>
      <c r="H82" s="14"/>
      <c r="I82" s="14"/>
      <c r="J82" s="120" t="s">
        <v>2183</v>
      </c>
    </row>
    <row r="83" spans="1:12">
      <c r="A83" s="120"/>
      <c r="B83" s="14"/>
      <c r="C83" s="14"/>
      <c r="D83" s="14"/>
      <c r="E83" s="134" t="s">
        <v>1610</v>
      </c>
      <c r="F83" s="998" t="s">
        <v>1249</v>
      </c>
      <c r="G83" s="134" t="s">
        <v>258</v>
      </c>
      <c r="H83" s="134" t="s">
        <v>259</v>
      </c>
      <c r="I83" s="14"/>
      <c r="J83" s="134" t="s">
        <v>2182</v>
      </c>
    </row>
    <row r="84" spans="1:12">
      <c r="B84" s="1022" t="s">
        <v>1900</v>
      </c>
      <c r="C84" s="517" t="s">
        <v>2181</v>
      </c>
      <c r="D84" s="14"/>
      <c r="E84" s="85">
        <f>'1-BaseTRR'!K85</f>
        <v>9.8000000000000004E-2</v>
      </c>
      <c r="F84" s="14" t="str">
        <f>"1-Base TRR L "&amp;'1-BaseTRR'!A85&amp;""</f>
        <v>1-Base TRR L 49</v>
      </c>
      <c r="G84" s="664" t="s">
        <v>3044</v>
      </c>
      <c r="H84" s="593" t="s">
        <v>3045</v>
      </c>
      <c r="I84" s="15"/>
      <c r="J84" s="125">
        <v>365</v>
      </c>
      <c r="K84" s="15"/>
      <c r="L84" s="15"/>
    </row>
    <row r="85" spans="1:12">
      <c r="B85" s="1022" t="s">
        <v>1901</v>
      </c>
      <c r="C85" s="517" t="s">
        <v>2209</v>
      </c>
      <c r="D85" s="14"/>
      <c r="E85" s="1119">
        <v>9.8000000000000004E-2</v>
      </c>
      <c r="F85" s="1021" t="s">
        <v>2185</v>
      </c>
      <c r="G85" s="664"/>
      <c r="H85" s="593"/>
      <c r="I85" s="15"/>
      <c r="J85" s="125"/>
      <c r="K85" s="15"/>
      <c r="L85" s="15"/>
    </row>
    <row r="86" spans="1:12">
      <c r="B86" s="1022" t="s">
        <v>1902</v>
      </c>
      <c r="C86" s="517"/>
      <c r="D86" s="14"/>
      <c r="E86" s="1023"/>
      <c r="F86" s="1021"/>
      <c r="G86" s="594"/>
      <c r="H86" s="594"/>
      <c r="I86" s="1008" t="s">
        <v>2434</v>
      </c>
      <c r="J86" s="15">
        <f>SUM(J84:J85)</f>
        <v>365</v>
      </c>
      <c r="K86" s="15"/>
      <c r="L86" s="15"/>
    </row>
    <row r="87" spans="1:12">
      <c r="A87" s="14"/>
      <c r="B87" s="1022" t="s">
        <v>1903</v>
      </c>
      <c r="C87" s="517" t="s">
        <v>2194</v>
      </c>
      <c r="D87" s="14"/>
      <c r="E87" s="85">
        <f>((E84*J84) + (E85* J85)) / J86</f>
        <v>9.8000000000000004E-2</v>
      </c>
      <c r="F87" s="517" t="s">
        <v>2435</v>
      </c>
      <c r="G87" s="14"/>
      <c r="H87" s="15"/>
      <c r="I87" s="15"/>
      <c r="J87" s="15"/>
      <c r="K87" s="15"/>
      <c r="L87" s="15"/>
    </row>
    <row r="88" spans="1:12">
      <c r="A88" s="120"/>
      <c r="B88" s="517"/>
      <c r="C88" s="14"/>
      <c r="D88" s="14"/>
      <c r="E88" s="14"/>
      <c r="F88" s="14"/>
      <c r="G88" s="14"/>
      <c r="H88" s="15"/>
      <c r="I88" s="15"/>
      <c r="J88" s="15"/>
      <c r="K88" s="15"/>
      <c r="L88" s="15"/>
    </row>
    <row r="89" spans="1:12">
      <c r="A89" s="120"/>
      <c r="B89" s="517" t="s">
        <v>2184</v>
      </c>
      <c r="C89" s="14"/>
      <c r="D89" s="14"/>
      <c r="E89" s="14"/>
      <c r="F89" s="14"/>
      <c r="G89" s="14"/>
      <c r="H89" s="15"/>
      <c r="I89" s="15"/>
      <c r="J89" s="15"/>
      <c r="K89" s="15"/>
      <c r="L89" s="15"/>
    </row>
    <row r="90" spans="1:12">
      <c r="A90" s="120"/>
      <c r="B90" s="517"/>
      <c r="C90" s="14"/>
      <c r="D90" s="14"/>
      <c r="E90" s="998" t="s">
        <v>1249</v>
      </c>
      <c r="F90" s="14"/>
      <c r="G90" s="14"/>
      <c r="H90" s="15"/>
      <c r="I90" s="15"/>
      <c r="J90" s="15"/>
      <c r="K90" s="15"/>
      <c r="L90" s="15"/>
    </row>
    <row r="91" spans="1:12">
      <c r="A91" s="14"/>
      <c r="B91" s="1022" t="s">
        <v>1904</v>
      </c>
      <c r="C91" s="517" t="s">
        <v>2211</v>
      </c>
      <c r="D91" s="14"/>
      <c r="E91" s="104" t="s">
        <v>2864</v>
      </c>
      <c r="F91" s="104"/>
      <c r="G91" s="104"/>
      <c r="H91" s="125"/>
      <c r="I91" s="125"/>
      <c r="J91" s="125"/>
      <c r="K91" s="15"/>
      <c r="L91" s="15"/>
    </row>
    <row r="92" spans="1:12">
      <c r="B92" s="1022" t="s">
        <v>1905</v>
      </c>
      <c r="C92" s="517" t="s">
        <v>2210</v>
      </c>
      <c r="D92" s="14"/>
      <c r="E92" s="104" t="s">
        <v>2864</v>
      </c>
      <c r="F92" s="104"/>
      <c r="G92" s="104"/>
      <c r="H92" s="125"/>
      <c r="I92" s="125"/>
      <c r="J92" s="125"/>
      <c r="K92" s="15"/>
      <c r="L92" s="15"/>
    </row>
    <row r="93" spans="1:12">
      <c r="B93" s="14"/>
      <c r="C93" s="517"/>
      <c r="D93" s="14"/>
      <c r="E93" s="594"/>
      <c r="F93" s="14"/>
      <c r="G93" s="14"/>
      <c r="H93" s="14"/>
      <c r="I93" s="15"/>
      <c r="J93" s="15"/>
      <c r="K93" s="15"/>
      <c r="L93" s="15"/>
    </row>
    <row r="94" spans="1:12">
      <c r="B94" s="14"/>
      <c r="C94" s="14"/>
      <c r="D94" s="14"/>
      <c r="E94" s="134" t="s">
        <v>1610</v>
      </c>
      <c r="F94" s="998" t="s">
        <v>1249</v>
      </c>
      <c r="G94" s="14"/>
      <c r="H94" s="15"/>
      <c r="I94" s="15"/>
      <c r="J94" s="14"/>
    </row>
    <row r="95" spans="1:12">
      <c r="B95" s="1022" t="s">
        <v>1907</v>
      </c>
      <c r="C95" s="517" t="s">
        <v>2195</v>
      </c>
      <c r="D95" s="15"/>
      <c r="E95" s="72">
        <f>'1-BaseTRR'!K88</f>
        <v>1.9907646765737794E-2</v>
      </c>
      <c r="F95" s="14" t="str">
        <f>"1-Base TRR L "&amp;'1-BaseTRR'!A88&amp;""</f>
        <v>1-Base TRR L 50</v>
      </c>
      <c r="G95" s="14"/>
      <c r="H95" s="15"/>
      <c r="I95" s="15"/>
      <c r="J95" s="14"/>
    </row>
    <row r="96" spans="1:12">
      <c r="B96" s="1022" t="s">
        <v>2187</v>
      </c>
      <c r="C96" s="517" t="s">
        <v>2196</v>
      </c>
      <c r="D96" s="14"/>
      <c r="E96" s="72">
        <f>'1-BaseTRR'!K89</f>
        <v>4.9514327156233075E-3</v>
      </c>
      <c r="F96" s="14" t="str">
        <f>"1-Base TRR L "&amp;'1-BaseTRR'!A89&amp;""</f>
        <v>1-Base TRR L 51</v>
      </c>
      <c r="G96" s="14"/>
      <c r="H96" s="15"/>
      <c r="I96" s="15"/>
      <c r="J96" s="14"/>
    </row>
    <row r="97" spans="1:10">
      <c r="B97" s="1022" t="s">
        <v>2188</v>
      </c>
      <c r="C97" s="517" t="s">
        <v>2197</v>
      </c>
      <c r="D97" s="14"/>
      <c r="E97" s="50">
        <f>('1-BaseTRR'!K80) * E87</f>
        <v>4.7640626543274063E-2</v>
      </c>
      <c r="F97" s="14" t="str">
        <f>"1-Base TRR L "&amp;'1-BaseTRR'!A80&amp;" * Line d"</f>
        <v>1-Base TRR L 46 * Line d</v>
      </c>
      <c r="G97" s="15"/>
      <c r="H97" s="15"/>
      <c r="I97" s="14"/>
      <c r="J97" s="14"/>
    </row>
    <row r="98" spans="1:10">
      <c r="A98" s="14"/>
      <c r="B98" s="120" t="s">
        <v>2189</v>
      </c>
      <c r="C98" s="47" t="s">
        <v>62</v>
      </c>
      <c r="D98" s="14"/>
      <c r="E98" s="49">
        <f>SUM(E95:E97)</f>
        <v>7.2499706024635166E-2</v>
      </c>
      <c r="F98" s="65" t="str">
        <f>"Sum of Lines "&amp;B92&amp;" to "&amp;B96&amp;""</f>
        <v>Sum of Lines f to h</v>
      </c>
      <c r="G98" s="115"/>
      <c r="H98" s="14"/>
      <c r="I98" s="14"/>
      <c r="J98" s="1024"/>
    </row>
    <row r="99" spans="1:10">
      <c r="A99" s="120"/>
      <c r="B99" s="14"/>
      <c r="C99" s="21"/>
      <c r="D99" s="24"/>
      <c r="E99" s="65"/>
      <c r="F99" s="65"/>
      <c r="G99" s="115"/>
      <c r="H99" s="65"/>
      <c r="I99" s="14"/>
      <c r="J99" s="1024"/>
    </row>
    <row r="100" spans="1:10">
      <c r="A100" s="120"/>
      <c r="B100" s="517" t="s">
        <v>2190</v>
      </c>
      <c r="C100" s="14"/>
      <c r="D100" s="14"/>
      <c r="E100" s="14"/>
      <c r="F100" s="14"/>
      <c r="G100" s="14"/>
      <c r="H100" s="14"/>
      <c r="I100" s="14"/>
      <c r="J100" s="14"/>
    </row>
    <row r="101" spans="1:10">
      <c r="A101" s="120"/>
      <c r="B101" s="14"/>
      <c r="C101" s="14"/>
      <c r="D101" s="14"/>
      <c r="E101" s="14"/>
      <c r="F101" s="14"/>
      <c r="G101" s="14"/>
      <c r="H101" s="14"/>
      <c r="I101" s="14"/>
      <c r="J101" s="14"/>
    </row>
    <row r="102" spans="1:10">
      <c r="A102" s="120"/>
      <c r="B102" s="14"/>
      <c r="C102" s="14"/>
      <c r="D102" s="14"/>
      <c r="E102" s="134" t="s">
        <v>1610</v>
      </c>
      <c r="F102" s="998" t="s">
        <v>1249</v>
      </c>
      <c r="G102" s="14"/>
      <c r="H102" s="14"/>
      <c r="I102" s="14"/>
      <c r="J102" s="14"/>
    </row>
    <row r="103" spans="1:10">
      <c r="A103" s="14"/>
      <c r="B103" s="1022" t="s">
        <v>2674</v>
      </c>
      <c r="C103" s="14"/>
      <c r="D103" s="14"/>
      <c r="E103" s="72">
        <f>E96+E97</f>
        <v>5.2592059258897372E-2</v>
      </c>
      <c r="F103" s="65" t="str">
        <f>"Sum of Lines "&amp;B95&amp;" to "&amp;B96&amp;""</f>
        <v>Sum of Lines g to h</v>
      </c>
      <c r="G103" s="14"/>
      <c r="H103" s="14"/>
      <c r="I103" s="14"/>
      <c r="J103" s="14"/>
    </row>
    <row r="104" spans="1:10">
      <c r="A104" s="120"/>
      <c r="B104" s="14"/>
      <c r="C104" s="14"/>
      <c r="D104" s="14"/>
      <c r="E104" s="72"/>
      <c r="F104" s="65"/>
      <c r="G104" s="14"/>
      <c r="H104" s="14"/>
      <c r="I104" s="14"/>
      <c r="J104" s="14"/>
    </row>
    <row r="105" spans="1:10">
      <c r="A105" s="120"/>
      <c r="B105" s="1007" t="s">
        <v>2166</v>
      </c>
      <c r="C105" s="14"/>
      <c r="D105" s="14"/>
      <c r="E105" s="115"/>
      <c r="F105" s="115"/>
      <c r="G105" s="115"/>
      <c r="H105" s="65"/>
      <c r="I105" s="14"/>
      <c r="J105" s="14"/>
    </row>
    <row r="106" spans="1:10">
      <c r="A106" s="120"/>
      <c r="B106" s="1021" t="s">
        <v>2175</v>
      </c>
      <c r="C106" s="14"/>
      <c r="D106" s="14"/>
      <c r="E106" s="14"/>
      <c r="F106" s="14"/>
      <c r="G106" s="14"/>
      <c r="H106" s="14"/>
      <c r="I106" s="14"/>
      <c r="J106" s="14"/>
    </row>
    <row r="107" spans="1:10">
      <c r="A107" s="2"/>
      <c r="B107" s="1021" t="s">
        <v>2176</v>
      </c>
      <c r="C107" s="14"/>
      <c r="D107" s="120"/>
      <c r="E107" s="120"/>
      <c r="F107" s="120"/>
      <c r="G107" s="120"/>
      <c r="H107" s="120"/>
      <c r="I107" s="14"/>
      <c r="J107" s="14"/>
    </row>
    <row r="108" spans="1:10">
      <c r="A108" s="2"/>
      <c r="B108" s="1007" t="s">
        <v>2178</v>
      </c>
      <c r="C108" s="14"/>
      <c r="D108" s="120"/>
      <c r="E108" s="120"/>
      <c r="F108" s="120"/>
      <c r="G108" s="120"/>
      <c r="H108" s="120"/>
      <c r="I108" s="14"/>
      <c r="J108" s="14"/>
    </row>
    <row r="109" spans="1:10">
      <c r="A109" s="2"/>
      <c r="B109" s="14" t="s">
        <v>2177</v>
      </c>
      <c r="C109" s="29"/>
      <c r="D109" s="29"/>
      <c r="E109" s="134"/>
      <c r="F109" s="134"/>
      <c r="G109" s="134"/>
      <c r="H109" s="134"/>
      <c r="I109" s="14"/>
      <c r="J109" s="14"/>
    </row>
    <row r="110" spans="1:10">
      <c r="A110" s="2"/>
    </row>
    <row r="111" spans="1:10">
      <c r="A111" s="2"/>
    </row>
    <row r="112" spans="1:10">
      <c r="A112" s="2"/>
    </row>
    <row r="113" spans="1:10">
      <c r="A113" s="2"/>
      <c r="C113" s="21"/>
      <c r="E113" s="65"/>
      <c r="F113" s="65"/>
      <c r="H113" s="7"/>
      <c r="J113" s="89"/>
    </row>
    <row r="114" spans="1:10">
      <c r="A114" s="2"/>
      <c r="C114" s="21"/>
      <c r="E114" s="65"/>
      <c r="F114" s="65"/>
      <c r="H114" s="7"/>
      <c r="J114" s="89"/>
    </row>
    <row r="115" spans="1:10">
      <c r="A115" s="55"/>
      <c r="C115" s="21"/>
      <c r="E115" s="65"/>
      <c r="F115" s="65"/>
      <c r="H115" s="7"/>
      <c r="J115" s="89"/>
    </row>
    <row r="116" spans="1:10">
      <c r="A116" s="2"/>
      <c r="D116" s="34"/>
      <c r="E116" s="65"/>
      <c r="F116" s="65"/>
      <c r="G116" s="12"/>
      <c r="H116" s="7"/>
      <c r="J116" s="89"/>
    </row>
    <row r="117" spans="1:10">
      <c r="A117" s="2"/>
      <c r="C117" s="21"/>
      <c r="D117" s="101"/>
      <c r="E117" s="98"/>
      <c r="F117" s="7"/>
      <c r="G117" s="12"/>
      <c r="H117" s="7"/>
      <c r="J117" s="89"/>
    </row>
    <row r="118" spans="1:10">
      <c r="A118" s="2"/>
      <c r="C118" s="21"/>
      <c r="D118" s="101"/>
      <c r="E118" s="7"/>
      <c r="F118" s="7"/>
      <c r="G118" s="12"/>
      <c r="H118" s="7"/>
      <c r="J118" s="89"/>
    </row>
    <row r="119" spans="1:10">
      <c r="A119" s="2"/>
    </row>
    <row r="120" spans="1:10">
      <c r="A120" s="2"/>
      <c r="B120" s="1"/>
    </row>
    <row r="121" spans="1:10">
      <c r="A121" s="2"/>
    </row>
    <row r="122" spans="1:10">
      <c r="A122" s="2"/>
    </row>
    <row r="123" spans="1:10">
      <c r="A123" s="2"/>
      <c r="F123" s="2"/>
    </row>
    <row r="124" spans="1:10">
      <c r="A124" s="2"/>
      <c r="F124" s="2"/>
    </row>
    <row r="125" spans="1:10">
      <c r="A125" s="2"/>
      <c r="D125" s="2"/>
      <c r="E125" s="2"/>
      <c r="F125" s="2"/>
      <c r="H125" s="2"/>
    </row>
    <row r="126" spans="1:10">
      <c r="A126" s="2"/>
      <c r="D126" s="2"/>
      <c r="E126" s="2"/>
      <c r="F126" s="2"/>
      <c r="G126" s="2"/>
      <c r="H126" s="4"/>
    </row>
    <row r="127" spans="1:10">
      <c r="A127" s="55"/>
      <c r="C127" s="25"/>
      <c r="D127" s="25"/>
      <c r="E127" s="3"/>
      <c r="F127" s="91"/>
      <c r="G127" s="3"/>
      <c r="H127" s="4"/>
    </row>
    <row r="128" spans="1:10">
      <c r="A128" s="2"/>
      <c r="C128" s="20"/>
      <c r="D128" s="24"/>
      <c r="E128" s="65"/>
      <c r="F128" s="65"/>
      <c r="G128" s="85"/>
      <c r="H128" s="7"/>
    </row>
    <row r="129" spans="1:8">
      <c r="A129" s="2"/>
      <c r="C129" s="21"/>
      <c r="D129" s="24"/>
      <c r="E129" s="65"/>
      <c r="F129" s="65"/>
      <c r="G129" s="85"/>
      <c r="H129" s="7"/>
    </row>
    <row r="130" spans="1:8">
      <c r="A130" s="2"/>
      <c r="C130" s="21"/>
      <c r="D130" s="24"/>
      <c r="E130" s="65"/>
      <c r="F130" s="65"/>
      <c r="G130" s="85"/>
      <c r="H130" s="7"/>
    </row>
    <row r="131" spans="1:8">
      <c r="A131" s="2"/>
      <c r="C131" s="20"/>
      <c r="D131" s="24"/>
      <c r="E131" s="65"/>
      <c r="F131" s="65"/>
      <c r="G131" s="85"/>
      <c r="H131" s="7"/>
    </row>
    <row r="132" spans="1:8">
      <c r="A132" s="2"/>
      <c r="C132" s="21"/>
      <c r="D132" s="24"/>
      <c r="E132" s="65"/>
      <c r="F132" s="65"/>
      <c r="G132" s="85"/>
      <c r="H132" s="7"/>
    </row>
    <row r="133" spans="1:8">
      <c r="A133" s="2"/>
      <c r="C133" s="21"/>
      <c r="D133" s="24"/>
      <c r="E133" s="65"/>
      <c r="F133" s="65"/>
      <c r="G133" s="85"/>
      <c r="H133" s="7"/>
    </row>
    <row r="134" spans="1:8">
      <c r="A134" s="2"/>
      <c r="C134" s="20"/>
      <c r="D134" s="24"/>
      <c r="E134" s="65"/>
      <c r="F134" s="65"/>
      <c r="G134" s="85"/>
      <c r="H134" s="7"/>
    </row>
    <row r="135" spans="1:8">
      <c r="A135" s="2"/>
      <c r="C135" s="21"/>
      <c r="D135" s="24"/>
      <c r="E135" s="65"/>
      <c r="F135" s="65"/>
      <c r="G135" s="85"/>
      <c r="H135" s="7"/>
    </row>
    <row r="136" spans="1:8">
      <c r="A136" s="2"/>
      <c r="C136" s="21"/>
      <c r="D136" s="24"/>
      <c r="E136" s="65"/>
      <c r="F136" s="65"/>
      <c r="G136" s="85"/>
      <c r="H136" s="7"/>
    </row>
    <row r="137" spans="1:8">
      <c r="A137" s="2"/>
      <c r="C137" s="20"/>
      <c r="D137" s="24"/>
      <c r="E137" s="65"/>
      <c r="F137" s="65"/>
      <c r="G137" s="85"/>
      <c r="H137" s="7"/>
    </row>
    <row r="138" spans="1:8">
      <c r="A138" s="2"/>
      <c r="C138" s="20"/>
      <c r="D138" s="24"/>
      <c r="E138" s="65"/>
      <c r="F138" s="65"/>
      <c r="G138" s="85"/>
      <c r="H138" s="7"/>
    </row>
    <row r="139" spans="1:8">
      <c r="A139" s="2"/>
      <c r="C139" s="21"/>
      <c r="D139" s="24"/>
      <c r="E139" s="65"/>
      <c r="F139" s="65"/>
      <c r="G139" s="85"/>
      <c r="H139" s="59"/>
    </row>
    <row r="140" spans="1:8">
      <c r="A140" s="2"/>
      <c r="E140" s="14"/>
      <c r="F140" s="14"/>
      <c r="G140" s="14"/>
      <c r="H140" s="7"/>
    </row>
    <row r="141" spans="1:8">
      <c r="A141" s="2"/>
      <c r="C141" s="21"/>
      <c r="D141" s="24"/>
      <c r="E141" s="14"/>
      <c r="F141" s="155"/>
      <c r="G141" s="85"/>
      <c r="H141" s="77"/>
    </row>
    <row r="142" spans="1:8">
      <c r="A142" s="2"/>
      <c r="B142" s="1"/>
      <c r="C142" s="21"/>
      <c r="D142" s="24"/>
      <c r="E142" s="14"/>
      <c r="F142" s="155"/>
      <c r="G142" s="85"/>
      <c r="H142" s="77"/>
    </row>
    <row r="143" spans="1:8">
      <c r="A143" s="55"/>
      <c r="B143" s="1"/>
      <c r="C143" s="21"/>
      <c r="D143" s="24"/>
      <c r="E143" s="14"/>
      <c r="F143" s="155"/>
      <c r="G143" s="85"/>
      <c r="H143" s="77"/>
    </row>
    <row r="144" spans="1:8">
      <c r="A144" s="2"/>
      <c r="C144" s="21"/>
      <c r="D144" s="92"/>
      <c r="E144" s="65"/>
      <c r="F144" s="156"/>
      <c r="G144" s="85"/>
      <c r="H144" s="77"/>
    </row>
    <row r="145" spans="1:10">
      <c r="A145" s="2"/>
      <c r="C145" s="21"/>
      <c r="D145" s="37"/>
      <c r="E145" s="65"/>
      <c r="F145" s="156"/>
      <c r="G145" s="85"/>
      <c r="H145" s="77"/>
    </row>
    <row r="146" spans="1:10">
      <c r="A146" s="2"/>
      <c r="C146" s="21"/>
      <c r="D146" s="37"/>
      <c r="E146" s="59"/>
      <c r="F146" s="127"/>
      <c r="G146" s="85"/>
      <c r="H146" s="77"/>
    </row>
    <row r="147" spans="1:10">
      <c r="A147" s="2"/>
      <c r="C147" s="21"/>
      <c r="D147" s="92"/>
      <c r="E147" s="7"/>
      <c r="F147" s="77"/>
      <c r="G147" s="85"/>
      <c r="H147" s="77"/>
    </row>
    <row r="148" spans="1:10">
      <c r="A148" s="2"/>
      <c r="C148" s="21"/>
      <c r="D148" s="24"/>
      <c r="F148" s="77"/>
      <c r="G148" s="85"/>
      <c r="H148" s="77"/>
    </row>
    <row r="149" spans="1:10">
      <c r="A149" s="2"/>
    </row>
    <row r="150" spans="1:10">
      <c r="A150" s="2"/>
    </row>
    <row r="151" spans="1:10">
      <c r="A151" s="2"/>
    </row>
    <row r="152" spans="1:10">
      <c r="A152" s="2"/>
      <c r="B152" s="1"/>
    </row>
    <row r="153" spans="1:10">
      <c r="A153" s="2"/>
      <c r="B153" s="12"/>
    </row>
    <row r="154" spans="1:10">
      <c r="A154" s="2"/>
      <c r="B154" s="12"/>
    </row>
    <row r="155" spans="1:10">
      <c r="A155" s="2"/>
      <c r="B155" s="12"/>
    </row>
    <row r="156" spans="1:10">
      <c r="A156" s="2"/>
    </row>
    <row r="157" spans="1:10">
      <c r="A157" s="2"/>
      <c r="B157" s="1"/>
    </row>
    <row r="158" spans="1:10">
      <c r="A158" s="2"/>
    </row>
    <row r="159" spans="1:10">
      <c r="A159" s="55"/>
      <c r="C159" s="25"/>
      <c r="D159" s="3"/>
      <c r="G159" s="14"/>
      <c r="H159" s="14"/>
      <c r="I159" s="14"/>
      <c r="J159" s="14"/>
    </row>
    <row r="160" spans="1:10">
      <c r="A160" s="2"/>
      <c r="C160" s="20"/>
      <c r="D160" s="153"/>
      <c r="F160" s="8"/>
      <c r="G160" s="14"/>
      <c r="H160" s="14"/>
      <c r="I160" s="14"/>
      <c r="J160" s="14"/>
    </row>
    <row r="161" spans="1:10">
      <c r="A161" s="2"/>
      <c r="C161" s="21"/>
      <c r="D161" s="153"/>
      <c r="F161" s="8"/>
      <c r="G161" s="14"/>
      <c r="H161" s="14"/>
      <c r="I161" s="14"/>
      <c r="J161" s="14"/>
    </row>
    <row r="162" spans="1:10">
      <c r="A162" s="2"/>
      <c r="C162" s="21"/>
      <c r="D162" s="153"/>
      <c r="F162" s="8"/>
      <c r="G162" s="14"/>
      <c r="H162" s="14"/>
      <c r="I162" s="14"/>
      <c r="J162" s="14"/>
    </row>
    <row r="163" spans="1:10">
      <c r="A163" s="2"/>
      <c r="C163" s="20"/>
      <c r="D163" s="153"/>
      <c r="F163" s="8"/>
      <c r="G163" s="14"/>
      <c r="H163" s="14"/>
      <c r="I163" s="14"/>
      <c r="J163" s="14"/>
    </row>
    <row r="164" spans="1:10">
      <c r="A164" s="2"/>
      <c r="C164" s="21"/>
      <c r="D164" s="153"/>
      <c r="F164" s="8"/>
      <c r="G164" s="14"/>
      <c r="H164" s="14"/>
      <c r="I164" s="14"/>
      <c r="J164" s="14"/>
    </row>
    <row r="165" spans="1:10">
      <c r="A165" s="2"/>
      <c r="C165" s="21"/>
      <c r="D165" s="153"/>
      <c r="F165" s="8"/>
      <c r="G165" s="14"/>
      <c r="H165" s="14"/>
      <c r="I165" s="14"/>
      <c r="J165" s="14"/>
    </row>
    <row r="166" spans="1:10">
      <c r="A166" s="2"/>
      <c r="C166" s="20"/>
      <c r="D166" s="153"/>
      <c r="F166" s="8"/>
      <c r="G166" s="14"/>
      <c r="H166" s="14"/>
      <c r="I166" s="14"/>
      <c r="J166" s="14"/>
    </row>
    <row r="167" spans="1:10">
      <c r="A167" s="2"/>
      <c r="C167" s="21"/>
      <c r="D167" s="153"/>
      <c r="F167" s="8"/>
      <c r="G167" s="14"/>
      <c r="H167" s="14"/>
      <c r="I167" s="14"/>
      <c r="J167" s="14"/>
    </row>
    <row r="168" spans="1:10">
      <c r="A168" s="2"/>
      <c r="C168" s="21"/>
      <c r="D168" s="153"/>
      <c r="F168" s="8"/>
      <c r="G168" s="14"/>
      <c r="H168" s="14"/>
      <c r="I168" s="14"/>
      <c r="J168" s="14"/>
    </row>
    <row r="169" spans="1:10">
      <c r="A169" s="2"/>
      <c r="C169" s="20"/>
      <c r="D169" s="153"/>
      <c r="F169" s="8"/>
      <c r="G169" s="14"/>
      <c r="H169" s="14"/>
      <c r="I169" s="14"/>
      <c r="J169" s="14"/>
    </row>
    <row r="170" spans="1:10">
      <c r="A170" s="2"/>
      <c r="C170" s="20"/>
      <c r="D170" s="153"/>
      <c r="F170" s="8"/>
    </row>
    <row r="171" spans="1:10">
      <c r="A171" s="2"/>
      <c r="C171" s="21"/>
      <c r="D171" s="154"/>
      <c r="F171" s="88"/>
    </row>
    <row r="172" spans="1:10">
      <c r="A172" s="2"/>
      <c r="C172" s="34"/>
      <c r="D172" s="153"/>
    </row>
  </sheetData>
  <phoneticPr fontId="23" type="noConversion"/>
  <pageMargins left="0.75" right="0.75" top="1" bottom="1" header="0.5" footer="0.5"/>
  <pageSetup scale="80" orientation="landscape" cellComments="asDisplayed" r:id="rId1"/>
  <headerFooter alignWithMargins="0">
    <oddHeader>&amp;CSchedule 4
True Up TRR
&amp;RTO2019 Draft Annual Update
Attachment 5
TO13 True Up TRR</oddHeader>
    <oddFooter>&amp;R&amp;A</oddFooter>
  </headerFooter>
  <rowBreaks count="4" manualBreakCount="4">
    <brk id="46"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zoomScaleNormal="100" zoomScalePageLayoutView="90" workbookViewId="0"/>
  </sheetViews>
  <sheetFormatPr defaultRowHeight="12.75"/>
  <cols>
    <col min="1" max="1" width="4.7109375" customWidth="1"/>
    <col min="2" max="2" width="3.7109375" customWidth="1"/>
    <col min="4" max="4" width="13.7109375" customWidth="1"/>
    <col min="6" max="7" width="10.7109375" customWidth="1"/>
    <col min="9" max="9" width="27.7109375" customWidth="1"/>
    <col min="10" max="10" width="30.7109375" customWidth="1"/>
    <col min="11" max="11" width="2.7109375" customWidth="1"/>
    <col min="12" max="12" width="16.7109375" customWidth="1"/>
    <col min="13" max="13" width="1.7109375" style="14" customWidth="1"/>
    <col min="14" max="14" width="4.7109375" style="14" customWidth="1"/>
    <col min="15" max="28" width="14.7109375" style="14" customWidth="1"/>
  </cols>
  <sheetData>
    <row r="1" spans="1:28">
      <c r="A1" s="1" t="s">
        <v>24</v>
      </c>
      <c r="J1" s="104" t="s">
        <v>332</v>
      </c>
      <c r="K1" s="14"/>
      <c r="L1" s="14"/>
    </row>
    <row r="2" spans="1:28">
      <c r="B2" s="1"/>
      <c r="I2" s="604"/>
      <c r="J2" s="604" t="s">
        <v>188</v>
      </c>
      <c r="L2" s="268">
        <v>2017</v>
      </c>
    </row>
    <row r="3" spans="1:28">
      <c r="I3" s="3" t="s">
        <v>187</v>
      </c>
      <c r="J3" s="3" t="s">
        <v>189</v>
      </c>
      <c r="L3" s="3" t="s">
        <v>190</v>
      </c>
    </row>
    <row r="5" spans="1:28">
      <c r="A5" s="10" t="s">
        <v>196</v>
      </c>
      <c r="B5" s="130"/>
      <c r="C5" s="11"/>
      <c r="D5" s="11"/>
      <c r="E5" s="11"/>
      <c r="F5" s="11"/>
      <c r="G5" s="11"/>
      <c r="H5" s="11"/>
      <c r="I5" s="9"/>
      <c r="J5" s="9"/>
      <c r="K5" s="9"/>
      <c r="L5" s="9"/>
      <c r="N5" s="609"/>
      <c r="O5" s="610"/>
      <c r="P5" s="610"/>
      <c r="Q5" s="610"/>
      <c r="R5" s="610"/>
      <c r="S5" s="610"/>
      <c r="T5" s="610"/>
    </row>
    <row r="6" spans="1:28">
      <c r="B6" s="45"/>
      <c r="C6" s="517"/>
      <c r="D6" s="517"/>
      <c r="E6" s="517"/>
      <c r="F6" s="517"/>
      <c r="G6" s="517"/>
      <c r="H6" s="517"/>
      <c r="I6" s="517"/>
      <c r="J6" s="517"/>
      <c r="K6" s="517"/>
      <c r="L6" s="517"/>
      <c r="O6" s="380"/>
      <c r="P6" s="380"/>
      <c r="Q6" s="380"/>
      <c r="R6" s="380"/>
      <c r="S6" s="380"/>
      <c r="T6" s="380"/>
      <c r="U6" s="380"/>
      <c r="V6" s="380"/>
      <c r="W6" s="380"/>
      <c r="X6" s="380"/>
      <c r="Y6" s="380"/>
      <c r="Z6" s="380"/>
      <c r="AA6" s="380"/>
      <c r="AB6" s="380"/>
    </row>
    <row r="7" spans="1:28">
      <c r="A7" s="55" t="s">
        <v>350</v>
      </c>
      <c r="B7" s="45"/>
      <c r="C7" s="46" t="s">
        <v>294</v>
      </c>
      <c r="D7" s="517"/>
      <c r="E7" s="517"/>
      <c r="F7" s="517"/>
      <c r="G7" s="517"/>
      <c r="H7" s="517"/>
      <c r="I7" s="517"/>
      <c r="J7" s="515"/>
      <c r="K7" s="517"/>
      <c r="L7" s="517"/>
      <c r="N7" s="611"/>
      <c r="O7" s="86"/>
      <c r="P7" s="612"/>
      <c r="Q7" s="594"/>
      <c r="R7" s="594"/>
      <c r="S7" s="594"/>
      <c r="T7" s="594"/>
      <c r="U7" s="594"/>
      <c r="V7" s="594"/>
      <c r="W7" s="594"/>
      <c r="X7" s="594"/>
      <c r="Y7" s="594"/>
      <c r="Z7" s="594"/>
      <c r="AA7" s="594"/>
      <c r="AB7" s="594"/>
    </row>
    <row r="8" spans="1:28">
      <c r="A8" s="120">
        <v>1</v>
      </c>
      <c r="B8" s="45"/>
      <c r="C8" s="517" t="s">
        <v>225</v>
      </c>
      <c r="D8" s="517"/>
      <c r="E8" s="517"/>
      <c r="F8" s="517"/>
      <c r="G8" s="517"/>
      <c r="H8" s="517"/>
      <c r="I8" s="517" t="s">
        <v>1823</v>
      </c>
      <c r="J8" s="514" t="str">
        <f>"5-ROR-2, Line "&amp;'5-ROR-2'!A8&amp;""</f>
        <v>5-ROR-2, Line 1</v>
      </c>
      <c r="K8" s="517"/>
      <c r="L8" s="530">
        <f>'5-ROR-2'!C8</f>
        <v>10684345054.951538</v>
      </c>
      <c r="N8" s="120"/>
      <c r="O8" s="530"/>
      <c r="P8" s="530"/>
      <c r="Q8" s="530"/>
      <c r="R8" s="530"/>
      <c r="S8" s="530"/>
      <c r="T8" s="530"/>
      <c r="U8" s="530"/>
      <c r="V8" s="530"/>
      <c r="W8" s="530"/>
      <c r="X8" s="530"/>
      <c r="Y8" s="530"/>
      <c r="Z8" s="530"/>
      <c r="AA8" s="530"/>
      <c r="AB8" s="530"/>
    </row>
    <row r="9" spans="1:28">
      <c r="A9" s="120">
        <f>A8+1</f>
        <v>2</v>
      </c>
      <c r="B9" s="45"/>
      <c r="C9" s="517" t="s">
        <v>226</v>
      </c>
      <c r="D9" s="517"/>
      <c r="E9" s="517"/>
      <c r="F9" s="517"/>
      <c r="G9" s="517"/>
      <c r="H9" s="517"/>
      <c r="I9" s="517" t="s">
        <v>1823</v>
      </c>
      <c r="J9" s="514" t="str">
        <f>"5-ROR-2, Line "&amp;'5-ROR-2'!A10&amp;""</f>
        <v>5-ROR-2, Line 2</v>
      </c>
      <c r="K9" s="517"/>
      <c r="L9" s="530">
        <f>'5-ROR-2'!C10</f>
        <v>-40384615.384615384</v>
      </c>
      <c r="N9" s="120"/>
      <c r="O9" s="530"/>
      <c r="P9" s="530"/>
      <c r="Q9" s="530"/>
      <c r="R9" s="530"/>
      <c r="S9" s="530"/>
      <c r="T9" s="530"/>
      <c r="U9" s="530"/>
      <c r="V9" s="530"/>
      <c r="W9" s="530"/>
      <c r="X9" s="530"/>
      <c r="Y9" s="530"/>
      <c r="Z9" s="530"/>
      <c r="AA9" s="530"/>
      <c r="AB9" s="530"/>
    </row>
    <row r="10" spans="1:28">
      <c r="A10" s="120" t="s">
        <v>565</v>
      </c>
      <c r="B10" s="45"/>
      <c r="C10" s="517" t="s">
        <v>2171</v>
      </c>
      <c r="D10" s="1025"/>
      <c r="E10" s="1025"/>
      <c r="F10" s="1025"/>
      <c r="G10" s="1025"/>
      <c r="H10" s="1025"/>
      <c r="I10" s="517" t="s">
        <v>1823</v>
      </c>
      <c r="J10" s="514" t="str">
        <f>"5-ROR-2, Line "&amp;'5-ROR-2'!A12&amp;""</f>
        <v>5-ROR-2, Line 2a</v>
      </c>
      <c r="K10" s="517"/>
      <c r="L10" s="530">
        <f>'5-ROR-2'!C12</f>
        <v>0</v>
      </c>
      <c r="N10" s="120"/>
      <c r="O10" s="530"/>
      <c r="P10" s="530"/>
      <c r="Q10" s="530"/>
      <c r="R10" s="530"/>
      <c r="S10" s="530"/>
      <c r="T10" s="530"/>
      <c r="U10" s="530"/>
      <c r="V10" s="530"/>
      <c r="W10" s="530"/>
      <c r="X10" s="530"/>
      <c r="Y10" s="530"/>
      <c r="Z10" s="530"/>
      <c r="AA10" s="530"/>
      <c r="AB10" s="530"/>
    </row>
    <row r="11" spans="1:28">
      <c r="A11" s="120">
        <f>A9+1</f>
        <v>3</v>
      </c>
      <c r="B11" s="45"/>
      <c r="C11" s="517" t="s">
        <v>227</v>
      </c>
      <c r="D11" s="517"/>
      <c r="E11" s="517"/>
      <c r="F11" s="517"/>
      <c r="G11" s="517"/>
      <c r="H11" s="517"/>
      <c r="I11" s="517" t="s">
        <v>1823</v>
      </c>
      <c r="J11" s="514" t="str">
        <f>"5-ROR-2, Line "&amp;'5-ROR-2'!A14&amp;""</f>
        <v>5-ROR-2, Line 3</v>
      </c>
      <c r="K11" s="517"/>
      <c r="L11" s="530">
        <f>'5-ROR-2'!C14</f>
        <v>424282123.68538463</v>
      </c>
      <c r="N11" s="120"/>
      <c r="O11" s="530"/>
      <c r="P11" s="530"/>
      <c r="Q11" s="530"/>
      <c r="R11" s="530"/>
      <c r="S11" s="530"/>
      <c r="T11" s="530"/>
      <c r="U11" s="530"/>
      <c r="V11" s="530"/>
      <c r="W11" s="530"/>
      <c r="X11" s="530"/>
      <c r="Y11" s="530"/>
      <c r="Z11" s="530"/>
      <c r="AA11" s="530"/>
      <c r="AB11" s="530"/>
    </row>
    <row r="12" spans="1:28">
      <c r="A12" s="120">
        <f>A11+1</f>
        <v>4</v>
      </c>
      <c r="B12" s="45"/>
      <c r="C12" s="517" t="s">
        <v>2438</v>
      </c>
      <c r="D12" s="517"/>
      <c r="E12" s="517"/>
      <c r="F12" s="517"/>
      <c r="G12" s="517"/>
      <c r="H12" s="517"/>
      <c r="I12" s="517"/>
      <c r="J12" s="514"/>
      <c r="K12" s="517"/>
      <c r="L12" s="530"/>
      <c r="N12" s="120"/>
      <c r="O12" s="530"/>
      <c r="P12" s="530"/>
      <c r="Q12" s="530"/>
      <c r="R12" s="530"/>
      <c r="S12" s="530"/>
      <c r="T12" s="530"/>
      <c r="U12" s="530"/>
      <c r="V12" s="530"/>
      <c r="W12" s="530"/>
      <c r="X12" s="530"/>
      <c r="Y12" s="530"/>
      <c r="Z12" s="530"/>
      <c r="AA12" s="530"/>
      <c r="AB12" s="530"/>
    </row>
    <row r="13" spans="1:28">
      <c r="A13" s="120">
        <f>A12+1</f>
        <v>5</v>
      </c>
      <c r="B13" s="45"/>
      <c r="C13" s="517" t="s">
        <v>2438</v>
      </c>
      <c r="D13" s="517"/>
      <c r="E13" s="517"/>
      <c r="F13" s="517"/>
      <c r="G13" s="517"/>
      <c r="H13" s="517"/>
      <c r="I13" s="517"/>
      <c r="J13" s="514"/>
      <c r="K13" s="517"/>
      <c r="L13" s="530"/>
      <c r="N13" s="120"/>
      <c r="O13" s="530"/>
      <c r="P13" s="530"/>
      <c r="Q13" s="530"/>
      <c r="R13" s="530"/>
      <c r="S13" s="530"/>
      <c r="T13" s="530"/>
      <c r="U13" s="530"/>
      <c r="V13" s="530"/>
      <c r="W13" s="530"/>
      <c r="X13" s="530"/>
      <c r="Y13" s="530"/>
      <c r="Z13" s="530"/>
      <c r="AA13" s="530"/>
      <c r="AB13" s="530"/>
    </row>
    <row r="14" spans="1:28">
      <c r="A14" s="120">
        <f>A13+1</f>
        <v>6</v>
      </c>
      <c r="B14" s="45"/>
      <c r="C14" s="517" t="s">
        <v>2438</v>
      </c>
      <c r="D14" s="517"/>
      <c r="E14" s="517"/>
      <c r="F14" s="517"/>
      <c r="G14" s="517"/>
      <c r="H14" s="517"/>
      <c r="I14" s="517"/>
      <c r="J14" s="514"/>
      <c r="K14" s="517"/>
      <c r="L14" s="530"/>
      <c r="N14" s="120"/>
      <c r="O14" s="530"/>
      <c r="P14" s="530"/>
      <c r="Q14" s="530"/>
      <c r="R14" s="530"/>
      <c r="S14" s="530"/>
      <c r="T14" s="530"/>
      <c r="U14" s="530"/>
      <c r="V14" s="530"/>
      <c r="W14" s="530"/>
      <c r="X14" s="530"/>
      <c r="Y14" s="530"/>
      <c r="Z14" s="530"/>
      <c r="AA14" s="530"/>
      <c r="AB14" s="530"/>
    </row>
    <row r="15" spans="1:28">
      <c r="A15" s="120">
        <f t="shared" ref="A15:A16" si="0">A14+1</f>
        <v>7</v>
      </c>
      <c r="B15" s="45"/>
      <c r="C15" s="517" t="s">
        <v>2438</v>
      </c>
      <c r="D15" s="517"/>
      <c r="E15" s="517"/>
      <c r="F15" s="517"/>
      <c r="G15" s="517"/>
      <c r="H15" s="517"/>
      <c r="I15" s="517"/>
      <c r="J15" s="514"/>
      <c r="K15" s="517"/>
      <c r="L15" s="530"/>
      <c r="N15" s="120"/>
      <c r="O15" s="530"/>
      <c r="P15" s="530"/>
      <c r="Q15" s="530"/>
      <c r="R15" s="530"/>
      <c r="S15" s="530"/>
      <c r="T15" s="530"/>
      <c r="U15" s="530"/>
      <c r="V15" s="530"/>
      <c r="W15" s="530"/>
      <c r="X15" s="530"/>
      <c r="Y15" s="530"/>
      <c r="Z15" s="530"/>
      <c r="AA15" s="530"/>
      <c r="AB15" s="530"/>
    </row>
    <row r="16" spans="1:28">
      <c r="A16" s="120">
        <f t="shared" si="0"/>
        <v>8</v>
      </c>
      <c r="B16" s="45"/>
      <c r="C16" s="514" t="s">
        <v>228</v>
      </c>
      <c r="D16" s="517"/>
      <c r="E16" s="517"/>
      <c r="F16" s="517"/>
      <c r="G16" s="517"/>
      <c r="H16" s="517"/>
      <c r="I16" s="14"/>
      <c r="J16" s="514" t="str">
        <f>"L"&amp;A8&amp;" + L"&amp;A9&amp;" + L"&amp;A10&amp;" + L"&amp;A11&amp;""</f>
        <v>L1 + L2 + L2a + L3</v>
      </c>
      <c r="K16" s="517"/>
      <c r="L16" s="532">
        <f>SUM(L8:L11)</f>
        <v>11068242563.252308</v>
      </c>
    </row>
    <row r="17" spans="1:28">
      <c r="A17" s="14"/>
      <c r="B17" s="45"/>
      <c r="C17" s="517"/>
      <c r="D17" s="517"/>
      <c r="E17" s="517"/>
      <c r="F17" s="517"/>
      <c r="G17" s="517" t="s">
        <v>359</v>
      </c>
      <c r="H17" s="517"/>
      <c r="I17" s="517"/>
      <c r="J17" s="514"/>
      <c r="K17" s="517"/>
      <c r="L17" s="517"/>
    </row>
    <row r="18" spans="1:28">
      <c r="A18" s="120"/>
      <c r="B18" s="45"/>
      <c r="C18" s="46" t="s">
        <v>295</v>
      </c>
      <c r="D18" s="517"/>
      <c r="E18" s="517"/>
      <c r="F18" s="517"/>
      <c r="G18" s="517"/>
      <c r="H18" s="517"/>
      <c r="I18" s="517"/>
      <c r="J18" s="514"/>
      <c r="K18" s="517"/>
      <c r="L18" s="517"/>
    </row>
    <row r="19" spans="1:28">
      <c r="A19" s="120">
        <f>A16+1</f>
        <v>9</v>
      </c>
      <c r="B19" s="45"/>
      <c r="C19" s="517" t="s">
        <v>230</v>
      </c>
      <c r="D19" s="517"/>
      <c r="E19" s="517"/>
      <c r="F19" s="517"/>
      <c r="G19" s="517"/>
      <c r="H19" s="517"/>
      <c r="I19" s="517"/>
      <c r="J19" s="514" t="s">
        <v>399</v>
      </c>
      <c r="K19" s="517"/>
      <c r="L19" s="531">
        <v>488235571</v>
      </c>
    </row>
    <row r="20" spans="1:28">
      <c r="A20" s="120">
        <f>A19+1</f>
        <v>10</v>
      </c>
      <c r="B20" s="45"/>
      <c r="C20" s="517" t="s">
        <v>229</v>
      </c>
      <c r="D20" s="517"/>
      <c r="E20" s="517"/>
      <c r="F20" s="517"/>
      <c r="G20" s="517"/>
      <c r="H20" s="517"/>
      <c r="I20" s="517"/>
      <c r="J20" s="514" t="s">
        <v>400</v>
      </c>
      <c r="K20" s="517"/>
      <c r="L20" s="531">
        <v>10026888</v>
      </c>
    </row>
    <row r="21" spans="1:28">
      <c r="A21" s="120">
        <f t="shared" ref="A21:A27" si="1">A20+1</f>
        <v>11</v>
      </c>
      <c r="B21" s="45"/>
      <c r="C21" s="517" t="s">
        <v>231</v>
      </c>
      <c r="D21" s="517"/>
      <c r="E21" s="517"/>
      <c r="F21" s="517"/>
      <c r="G21" s="517"/>
      <c r="H21" s="517"/>
      <c r="I21" s="517"/>
      <c r="J21" s="514" t="s">
        <v>401</v>
      </c>
      <c r="K21" s="517"/>
      <c r="L21" s="531">
        <v>16710267</v>
      </c>
    </row>
    <row r="22" spans="1:28">
      <c r="A22" s="120">
        <f t="shared" si="1"/>
        <v>12</v>
      </c>
      <c r="B22" s="45"/>
      <c r="C22" s="517" t="s">
        <v>297</v>
      </c>
      <c r="D22" s="517"/>
      <c r="E22" s="517"/>
      <c r="F22" s="517"/>
      <c r="G22" s="517"/>
      <c r="H22" s="517"/>
      <c r="I22" s="517" t="s">
        <v>232</v>
      </c>
      <c r="J22" s="514" t="s">
        <v>402</v>
      </c>
      <c r="K22" s="517"/>
      <c r="L22" s="531">
        <v>0</v>
      </c>
    </row>
    <row r="23" spans="1:28">
      <c r="A23" s="120">
        <f t="shared" si="1"/>
        <v>13</v>
      </c>
      <c r="B23" s="45"/>
      <c r="C23" s="517" t="s">
        <v>233</v>
      </c>
      <c r="D23" s="517"/>
      <c r="E23" s="517"/>
      <c r="F23" s="517"/>
      <c r="G23" s="517"/>
      <c r="H23" s="517"/>
      <c r="I23" s="517" t="s">
        <v>232</v>
      </c>
      <c r="J23" s="514" t="s">
        <v>403</v>
      </c>
      <c r="K23" s="517"/>
      <c r="L23" s="531">
        <v>0</v>
      </c>
    </row>
    <row r="24" spans="1:28">
      <c r="A24" s="120" t="s">
        <v>1300</v>
      </c>
      <c r="B24" s="45"/>
      <c r="C24" s="517" t="s">
        <v>2172</v>
      </c>
      <c r="D24" s="517"/>
      <c r="E24" s="517"/>
      <c r="F24" s="517"/>
      <c r="G24" s="517"/>
      <c r="H24" s="517"/>
      <c r="I24" s="517"/>
      <c r="J24" s="514" t="s">
        <v>2173</v>
      </c>
      <c r="K24" s="517"/>
      <c r="L24" s="531">
        <v>0</v>
      </c>
    </row>
    <row r="25" spans="1:28">
      <c r="A25" s="120">
        <f>A23+1</f>
        <v>14</v>
      </c>
      <c r="B25" s="45"/>
      <c r="C25" s="517" t="s">
        <v>2438</v>
      </c>
      <c r="D25" s="517"/>
      <c r="E25" s="517"/>
      <c r="F25" s="517"/>
      <c r="G25" s="517"/>
      <c r="H25" s="517"/>
      <c r="I25" s="517"/>
      <c r="J25" s="514"/>
      <c r="K25" s="517"/>
      <c r="L25" s="530"/>
    </row>
    <row r="26" spans="1:28">
      <c r="A26" s="120">
        <f t="shared" si="1"/>
        <v>15</v>
      </c>
      <c r="B26" s="45"/>
      <c r="C26" s="517" t="s">
        <v>2438</v>
      </c>
      <c r="D26" s="517"/>
      <c r="E26" s="517"/>
      <c r="F26" s="517"/>
      <c r="G26" s="517"/>
      <c r="H26" s="517"/>
      <c r="I26" s="517"/>
      <c r="J26" s="514"/>
      <c r="K26" s="517"/>
      <c r="L26" s="1026"/>
    </row>
    <row r="27" spans="1:28">
      <c r="A27" s="120">
        <f t="shared" si="1"/>
        <v>16</v>
      </c>
      <c r="B27" s="45"/>
      <c r="C27" s="514" t="s">
        <v>279</v>
      </c>
      <c r="D27" s="517"/>
      <c r="E27" s="517"/>
      <c r="F27" s="517"/>
      <c r="G27" s="517"/>
      <c r="H27" s="517"/>
      <c r="I27" s="14"/>
      <c r="J27" s="514" t="str">
        <f>"Sum of Lines "&amp;A19&amp;" to "&amp;A24&amp;""</f>
        <v>Sum of Lines 9 to 13a</v>
      </c>
      <c r="K27" s="517"/>
      <c r="L27" s="532">
        <f>SUM(L19:L24)</f>
        <v>514972726</v>
      </c>
    </row>
    <row r="28" spans="1:28">
      <c r="A28" s="14"/>
      <c r="B28" s="45"/>
      <c r="C28" s="517"/>
      <c r="D28" s="517"/>
      <c r="E28" s="517"/>
      <c r="F28" s="517"/>
      <c r="G28" s="517"/>
      <c r="H28" s="517"/>
      <c r="I28" s="517"/>
      <c r="J28" s="514"/>
      <c r="K28" s="517"/>
      <c r="L28" s="517"/>
    </row>
    <row r="29" spans="1:28">
      <c r="A29" s="120">
        <f>A27+1</f>
        <v>17</v>
      </c>
      <c r="B29" s="45"/>
      <c r="C29" s="517" t="s">
        <v>49</v>
      </c>
      <c r="D29" s="517"/>
      <c r="E29" s="517"/>
      <c r="F29" s="517"/>
      <c r="G29" s="517"/>
      <c r="H29" s="517"/>
      <c r="I29" s="14"/>
      <c r="J29" s="514" t="str">
        <f>"Line "&amp;A27&amp;" / Line "&amp;A16&amp;""</f>
        <v>Line 16 / Line 8</v>
      </c>
      <c r="K29" s="517"/>
      <c r="L29" s="429">
        <f>L27/L16</f>
        <v>4.6527054593993256E-2</v>
      </c>
    </row>
    <row r="30" spans="1:28">
      <c r="A30" s="120"/>
      <c r="B30" s="45"/>
      <c r="C30" s="517"/>
      <c r="D30" s="517"/>
      <c r="E30" s="517"/>
      <c r="F30" s="517"/>
      <c r="G30" s="517"/>
      <c r="H30" s="517"/>
      <c r="I30" s="14"/>
      <c r="J30" s="514"/>
      <c r="K30" s="517"/>
      <c r="L30" s="429"/>
    </row>
    <row r="31" spans="1:28">
      <c r="A31" s="14"/>
      <c r="B31" s="45"/>
      <c r="C31" s="46" t="s">
        <v>1648</v>
      </c>
      <c r="D31" s="517"/>
      <c r="E31" s="517"/>
      <c r="F31" s="517"/>
      <c r="G31" s="517"/>
      <c r="H31" s="517"/>
      <c r="I31" s="517"/>
      <c r="J31" s="514"/>
      <c r="K31" s="517"/>
      <c r="L31" s="517"/>
    </row>
    <row r="32" spans="1:28">
      <c r="A32" s="120">
        <f>A29+1</f>
        <v>18</v>
      </c>
      <c r="B32" s="45"/>
      <c r="C32" s="517" t="s">
        <v>50</v>
      </c>
      <c r="D32" s="517"/>
      <c r="E32" s="517"/>
      <c r="F32" s="517"/>
      <c r="G32" s="517"/>
      <c r="H32" s="517"/>
      <c r="I32" s="517" t="s">
        <v>1823</v>
      </c>
      <c r="J32" s="514" t="str">
        <f>"5-ROR-2, Line "&amp;'5-ROR-2'!A24&amp;""</f>
        <v>5-ROR-2, Line 18</v>
      </c>
      <c r="K32" s="517"/>
      <c r="L32" s="530">
        <f>'5-ROR-2'!C24</f>
        <v>2281594180.7692308</v>
      </c>
      <c r="N32" s="120"/>
      <c r="O32" s="530"/>
      <c r="P32" s="530"/>
      <c r="Q32" s="530"/>
      <c r="R32" s="530"/>
      <c r="S32" s="530"/>
      <c r="T32" s="530"/>
      <c r="U32" s="530"/>
      <c r="V32" s="530"/>
      <c r="W32" s="530"/>
      <c r="X32" s="530"/>
      <c r="Y32" s="530"/>
      <c r="Z32" s="530"/>
      <c r="AA32" s="530"/>
      <c r="AB32" s="530"/>
    </row>
    <row r="33" spans="1:28">
      <c r="A33" s="120">
        <f t="shared" ref="A33:A34" si="2">A32+1</f>
        <v>19</v>
      </c>
      <c r="B33" s="45"/>
      <c r="C33" s="517" t="s">
        <v>1644</v>
      </c>
      <c r="D33" s="517"/>
      <c r="E33" s="517"/>
      <c r="F33" s="517"/>
      <c r="G33" s="517"/>
      <c r="H33" s="517"/>
      <c r="I33" s="517" t="s">
        <v>1823</v>
      </c>
      <c r="J33" s="514" t="str">
        <f>"5-ROR-2, Line "&amp;'5-ROR-2'!A26&amp;""</f>
        <v>5-ROR-2, Line 19</v>
      </c>
      <c r="K33" s="517"/>
      <c r="L33" s="530">
        <f>'5-ROR-2'!C26</f>
        <v>-44042735.923824795</v>
      </c>
      <c r="N33" s="120"/>
      <c r="O33" s="530"/>
      <c r="P33" s="530"/>
      <c r="Q33" s="530"/>
      <c r="R33" s="530"/>
      <c r="S33" s="530"/>
      <c r="T33" s="530"/>
      <c r="U33" s="530"/>
      <c r="V33" s="530"/>
      <c r="W33" s="530"/>
      <c r="X33" s="530"/>
      <c r="Y33" s="530"/>
      <c r="Z33" s="530"/>
      <c r="AA33" s="530"/>
      <c r="AB33" s="530"/>
    </row>
    <row r="34" spans="1:28">
      <c r="A34" s="120">
        <f t="shared" si="2"/>
        <v>20</v>
      </c>
      <c r="B34" s="45"/>
      <c r="C34" s="517" t="s">
        <v>1275</v>
      </c>
      <c r="D34" s="517"/>
      <c r="E34" s="517"/>
      <c r="F34" s="517"/>
      <c r="G34" s="517"/>
      <c r="H34" s="517"/>
      <c r="I34" s="517" t="s">
        <v>1823</v>
      </c>
      <c r="J34" s="514" t="str">
        <f>"5-ROR-2, Line "&amp;'5-ROR-2'!A28&amp;""</f>
        <v>5-ROR-2, Line 20</v>
      </c>
      <c r="K34" s="517"/>
      <c r="L34" s="533">
        <f>'5-ROR-2'!C28</f>
        <v>-12930516.057100974</v>
      </c>
      <c r="N34" s="120"/>
      <c r="O34" s="530"/>
      <c r="P34" s="530"/>
      <c r="Q34" s="530"/>
      <c r="R34" s="530"/>
      <c r="S34" s="530"/>
      <c r="T34" s="530"/>
      <c r="U34" s="530"/>
      <c r="V34" s="530"/>
      <c r="W34" s="530"/>
      <c r="X34" s="530"/>
      <c r="Y34" s="530"/>
      <c r="Z34" s="530"/>
      <c r="AA34" s="530"/>
      <c r="AB34" s="530"/>
    </row>
    <row r="35" spans="1:28">
      <c r="A35" s="120">
        <f>A34+1</f>
        <v>21</v>
      </c>
      <c r="B35" s="45"/>
      <c r="C35" s="514" t="s">
        <v>56</v>
      </c>
      <c r="D35" s="517"/>
      <c r="E35" s="517"/>
      <c r="F35" s="517"/>
      <c r="G35" s="517"/>
      <c r="H35" s="517"/>
      <c r="I35" s="517"/>
      <c r="J35" s="514" t="str">
        <f>"Sum of Lines "&amp;A32&amp;" to "&amp;A34&amp;""</f>
        <v>Sum of Lines 18 to 20</v>
      </c>
      <c r="K35" s="517"/>
      <c r="L35" s="530">
        <f>SUM(L32:L34)</f>
        <v>2224620928.7883053</v>
      </c>
    </row>
    <row r="36" spans="1:28">
      <c r="A36" s="120"/>
      <c r="B36" s="45"/>
      <c r="C36" s="517"/>
      <c r="D36" s="517"/>
      <c r="E36" s="517"/>
      <c r="F36" s="517"/>
      <c r="G36" s="517"/>
      <c r="H36" s="517"/>
      <c r="I36" s="517"/>
      <c r="J36" s="514"/>
      <c r="K36" s="517"/>
      <c r="L36" s="530"/>
    </row>
    <row r="37" spans="1:28">
      <c r="A37" s="120"/>
      <c r="B37" s="45"/>
      <c r="C37" s="46" t="s">
        <v>1649</v>
      </c>
      <c r="D37" s="517"/>
      <c r="E37" s="517"/>
      <c r="F37" s="517"/>
      <c r="G37" s="517"/>
      <c r="H37" s="517"/>
      <c r="I37" s="517"/>
      <c r="J37" s="514"/>
      <c r="K37" s="517"/>
      <c r="L37" s="530"/>
    </row>
    <row r="38" spans="1:28">
      <c r="A38" s="120">
        <f>A35+1</f>
        <v>22</v>
      </c>
      <c r="B38" s="45"/>
      <c r="C38" s="517" t="s">
        <v>51</v>
      </c>
      <c r="D38" s="517"/>
      <c r="E38" s="517"/>
      <c r="F38" s="517"/>
      <c r="G38" s="517"/>
      <c r="H38" s="517"/>
      <c r="I38" s="517" t="s">
        <v>98</v>
      </c>
      <c r="J38" s="514" t="s">
        <v>404</v>
      </c>
      <c r="K38" s="517"/>
      <c r="L38" s="531">
        <v>124097672</v>
      </c>
    </row>
    <row r="39" spans="1:28">
      <c r="A39" s="120">
        <f>A38+1</f>
        <v>23</v>
      </c>
      <c r="B39" s="45"/>
      <c r="C39" s="517" t="s">
        <v>1276</v>
      </c>
      <c r="D39" s="517"/>
      <c r="E39" s="517"/>
      <c r="F39" s="517"/>
      <c r="G39" s="517"/>
      <c r="H39" s="517"/>
      <c r="I39" s="517"/>
      <c r="J39" s="514" t="s">
        <v>311</v>
      </c>
      <c r="K39" s="517"/>
      <c r="L39" s="530">
        <f>'5-ROR-2'!H77</f>
        <v>779760.45304647996</v>
      </c>
    </row>
    <row r="40" spans="1:28">
      <c r="A40" s="120">
        <f>A39+1</f>
        <v>24</v>
      </c>
      <c r="B40" s="45"/>
      <c r="C40" s="517" t="s">
        <v>1277</v>
      </c>
      <c r="D40" s="517"/>
      <c r="E40" s="517"/>
      <c r="F40" s="517"/>
      <c r="G40" s="517"/>
      <c r="H40" s="517"/>
      <c r="I40" s="517"/>
      <c r="J40" s="514" t="s">
        <v>1042</v>
      </c>
      <c r="K40" s="517"/>
      <c r="L40" s="530">
        <f>'5-ROR-2'!I63</f>
        <v>3206656.6999999997</v>
      </c>
    </row>
    <row r="41" spans="1:28">
      <c r="A41" s="120">
        <f t="shared" ref="A41" si="3">A40+1</f>
        <v>25</v>
      </c>
      <c r="B41" s="45"/>
      <c r="C41" s="514" t="s">
        <v>51</v>
      </c>
      <c r="D41" s="517"/>
      <c r="E41" s="517"/>
      <c r="F41" s="517"/>
      <c r="G41" s="517"/>
      <c r="H41" s="517"/>
      <c r="I41" s="14"/>
      <c r="J41" s="514" t="str">
        <f>"Sum of Lines "&amp;A38&amp;" to "&amp;A40&amp;""</f>
        <v>Sum of Lines 22 to 24</v>
      </c>
      <c r="K41" s="517"/>
      <c r="L41" s="532">
        <f>SUM(L38:L40)</f>
        <v>128084089.15304649</v>
      </c>
    </row>
    <row r="42" spans="1:28">
      <c r="A42" s="14"/>
      <c r="B42" s="45"/>
      <c r="C42" s="517"/>
      <c r="D42" s="517"/>
      <c r="E42" s="517"/>
      <c r="F42" s="517"/>
      <c r="G42" s="517"/>
      <c r="H42" s="517"/>
      <c r="I42" s="517"/>
      <c r="J42" s="514"/>
      <c r="K42" s="517"/>
      <c r="L42" s="530"/>
    </row>
    <row r="43" spans="1:28">
      <c r="A43" s="120">
        <f>A41+1</f>
        <v>26</v>
      </c>
      <c r="B43" s="45"/>
      <c r="C43" s="517" t="s">
        <v>52</v>
      </c>
      <c r="D43" s="517"/>
      <c r="E43" s="517"/>
      <c r="F43" s="517"/>
      <c r="G43" s="517"/>
      <c r="H43" s="517"/>
      <c r="I43" s="14"/>
      <c r="J43" s="514" t="str">
        <f>"Line "&amp;A41&amp;" / Line "&amp;A35&amp;""</f>
        <v>Line 25 / Line 21</v>
      </c>
      <c r="K43" s="517"/>
      <c r="L43" s="429">
        <f>L41/L35</f>
        <v>5.7575691883295664E-2</v>
      </c>
    </row>
    <row r="44" spans="1:28">
      <c r="A44" s="14"/>
      <c r="B44" s="45"/>
      <c r="C44" s="517"/>
      <c r="D44" s="517"/>
      <c r="E44" s="517"/>
      <c r="F44" s="517"/>
      <c r="G44" s="517"/>
      <c r="H44" s="517"/>
      <c r="I44" s="517"/>
      <c r="J44" s="514"/>
      <c r="K44" s="517"/>
      <c r="L44" s="517"/>
    </row>
    <row r="45" spans="1:28">
      <c r="A45" s="14"/>
      <c r="B45" s="45"/>
      <c r="C45" s="46" t="s">
        <v>296</v>
      </c>
      <c r="D45" s="517"/>
      <c r="E45" s="517"/>
      <c r="F45" s="517"/>
      <c r="G45" s="517"/>
      <c r="H45" s="517"/>
      <c r="I45" s="534"/>
      <c r="J45" s="514"/>
      <c r="K45" s="517"/>
      <c r="L45" s="517"/>
    </row>
    <row r="46" spans="1:28">
      <c r="A46" s="120">
        <f>A43+1</f>
        <v>27</v>
      </c>
      <c r="B46" s="45"/>
      <c r="C46" s="517" t="s">
        <v>234</v>
      </c>
      <c r="D46" s="517"/>
      <c r="E46" s="517"/>
      <c r="F46" s="517"/>
      <c r="G46" s="517"/>
      <c r="H46" s="517"/>
      <c r="I46" s="517" t="s">
        <v>1823</v>
      </c>
      <c r="J46" s="514" t="str">
        <f>"5-ROR-2, Line "&amp;'5-ROR-2'!A30&amp;""</f>
        <v>5-ROR-2, Line 27</v>
      </c>
      <c r="K46" s="517"/>
      <c r="L46" s="530">
        <f>'5-ROR-2'!C30</f>
        <v>14822803187.622307</v>
      </c>
      <c r="N46" s="120"/>
      <c r="O46" s="530"/>
      <c r="P46" s="530"/>
      <c r="Q46" s="530"/>
      <c r="R46" s="530"/>
      <c r="S46" s="530"/>
      <c r="T46" s="530"/>
      <c r="U46" s="530"/>
      <c r="V46" s="530"/>
      <c r="W46" s="530"/>
      <c r="X46" s="530"/>
      <c r="Y46" s="530"/>
      <c r="Z46" s="530"/>
      <c r="AA46" s="530"/>
      <c r="AB46" s="530"/>
    </row>
    <row r="47" spans="1:28">
      <c r="A47" s="120">
        <f>A46+1</f>
        <v>28</v>
      </c>
      <c r="B47" s="45"/>
      <c r="C47" s="517" t="s">
        <v>54</v>
      </c>
      <c r="D47" s="517"/>
      <c r="E47" s="517"/>
      <c r="F47" s="517"/>
      <c r="G47" s="517"/>
      <c r="H47" s="517"/>
      <c r="I47" s="517" t="str">
        <f>"Same as L "&amp;A32&amp;", but negative"</f>
        <v>Same as L 18, but negative</v>
      </c>
      <c r="J47" s="514" t="str">
        <f>"5-ROR-2, Line "&amp;'5-ROR-2'!A24&amp;""</f>
        <v>5-ROR-2, Line 18</v>
      </c>
      <c r="K47" s="517"/>
      <c r="L47" s="530">
        <f>-'5-ROR-2'!C24</f>
        <v>-2281594180.7692308</v>
      </c>
      <c r="N47" s="120"/>
      <c r="O47" s="530"/>
      <c r="P47" s="530"/>
      <c r="Q47" s="530"/>
      <c r="R47" s="530"/>
      <c r="S47" s="530"/>
      <c r="T47" s="530"/>
      <c r="U47" s="530"/>
      <c r="V47" s="530"/>
      <c r="W47" s="530"/>
      <c r="X47" s="530"/>
      <c r="Y47" s="530"/>
      <c r="Z47" s="530"/>
      <c r="AA47" s="530"/>
      <c r="AB47" s="530"/>
    </row>
    <row r="48" spans="1:28">
      <c r="A48" s="120">
        <f t="shared" ref="A48:A50" si="4">A47+1</f>
        <v>29</v>
      </c>
      <c r="B48" s="45"/>
      <c r="C48" s="517" t="s">
        <v>1645</v>
      </c>
      <c r="D48" s="517"/>
      <c r="E48" s="517"/>
      <c r="F48" s="517"/>
      <c r="G48" s="517"/>
      <c r="H48" s="517"/>
      <c r="I48" s="517" t="str">
        <f>"Same as L "&amp;A34&amp;", but reverse sign"</f>
        <v>Same as L 20, but reverse sign</v>
      </c>
      <c r="J48" s="514" t="s">
        <v>1043</v>
      </c>
      <c r="K48" s="517"/>
      <c r="L48" s="530">
        <f>-L34</f>
        <v>12930516.057100974</v>
      </c>
      <c r="N48" s="120"/>
      <c r="O48" s="530"/>
      <c r="P48" s="530"/>
      <c r="Q48" s="530"/>
      <c r="R48" s="530"/>
      <c r="S48" s="530"/>
      <c r="T48" s="530"/>
      <c r="U48" s="530"/>
      <c r="V48" s="530"/>
      <c r="W48" s="530"/>
      <c r="X48" s="530"/>
      <c r="Y48" s="530"/>
      <c r="Z48" s="530"/>
      <c r="AA48" s="530"/>
      <c r="AB48" s="530"/>
    </row>
    <row r="49" spans="1:28">
      <c r="A49" s="120">
        <f t="shared" si="4"/>
        <v>30</v>
      </c>
      <c r="B49" s="45"/>
      <c r="C49" s="517" t="s">
        <v>1646</v>
      </c>
      <c r="D49" s="517"/>
      <c r="E49" s="517"/>
      <c r="F49" s="517"/>
      <c r="G49" s="517"/>
      <c r="H49" s="517"/>
      <c r="I49" s="517" t="s">
        <v>1823</v>
      </c>
      <c r="J49" s="514" t="str">
        <f>"5-ROR-2, Line "&amp;'5-ROR-2'!A32&amp;""</f>
        <v>5-ROR-2, Line 30</v>
      </c>
      <c r="K49" s="517"/>
      <c r="L49" s="530">
        <f>'5-ROR-2'!C32</f>
        <v>2603770.0107692298</v>
      </c>
      <c r="N49" s="120"/>
      <c r="O49" s="530"/>
      <c r="P49" s="530"/>
      <c r="Q49" s="530"/>
      <c r="R49" s="530"/>
      <c r="S49" s="530"/>
      <c r="T49" s="530"/>
      <c r="U49" s="530"/>
      <c r="V49" s="530"/>
      <c r="W49" s="530"/>
      <c r="X49" s="530"/>
      <c r="Y49" s="530"/>
      <c r="Z49" s="530"/>
      <c r="AA49" s="530"/>
      <c r="AB49" s="530"/>
    </row>
    <row r="50" spans="1:28">
      <c r="A50" s="120">
        <f t="shared" si="4"/>
        <v>31</v>
      </c>
      <c r="B50" s="45"/>
      <c r="C50" s="517" t="s">
        <v>1647</v>
      </c>
      <c r="D50" s="517"/>
      <c r="E50" s="517"/>
      <c r="F50" s="517"/>
      <c r="G50" s="517"/>
      <c r="H50" s="517"/>
      <c r="I50" s="517" t="s">
        <v>1823</v>
      </c>
      <c r="J50" s="514" t="str">
        <f>"5-ROR-2, Line "&amp;'5-ROR-2'!A34&amp;""</f>
        <v>5-ROR-2, Line 31</v>
      </c>
      <c r="K50" s="517"/>
      <c r="L50" s="530">
        <f>'5-ROR-2'!C34</f>
        <v>18479587.07</v>
      </c>
      <c r="N50" s="120"/>
      <c r="O50" s="530"/>
      <c r="P50" s="530"/>
      <c r="Q50" s="530"/>
      <c r="R50" s="530"/>
      <c r="S50" s="530"/>
      <c r="T50" s="530"/>
      <c r="U50" s="530"/>
      <c r="V50" s="530"/>
      <c r="W50" s="530"/>
      <c r="X50" s="530"/>
      <c r="Y50" s="530"/>
      <c r="Z50" s="530"/>
      <c r="AA50" s="530"/>
      <c r="AB50" s="530"/>
    </row>
    <row r="51" spans="1:28">
      <c r="A51" s="120">
        <f>A50+1</f>
        <v>32</v>
      </c>
      <c r="B51" s="45"/>
      <c r="C51" s="517" t="s">
        <v>53</v>
      </c>
      <c r="D51" s="517"/>
      <c r="E51" s="517"/>
      <c r="F51" s="517"/>
      <c r="G51" s="517"/>
      <c r="H51" s="517"/>
      <c r="I51" s="517"/>
      <c r="J51" s="514" t="str">
        <f>"Sum of Lines "&amp;A46&amp;" to "&amp;A50&amp;""</f>
        <v>Sum of Lines 27 to 31</v>
      </c>
      <c r="K51" s="517"/>
      <c r="L51" s="532">
        <f>SUM(L46:L50)</f>
        <v>12575222879.990946</v>
      </c>
    </row>
    <row r="52" spans="1:28">
      <c r="B52" s="53" t="s">
        <v>256</v>
      </c>
      <c r="C52" s="517"/>
      <c r="D52" s="517"/>
      <c r="E52" s="517"/>
      <c r="F52" s="517"/>
      <c r="G52" s="517"/>
      <c r="H52" s="517"/>
      <c r="I52" s="517"/>
      <c r="J52" s="517"/>
      <c r="K52" s="515"/>
      <c r="L52" s="515"/>
    </row>
    <row r="53" spans="1:28">
      <c r="B53" s="517" t="s">
        <v>2498</v>
      </c>
      <c r="C53" s="14"/>
      <c r="D53" s="14"/>
      <c r="E53" s="14"/>
      <c r="F53" s="14"/>
      <c r="G53" s="14"/>
      <c r="H53" s="14"/>
      <c r="I53" s="14"/>
      <c r="J53" s="517"/>
    </row>
    <row r="54" spans="1:28">
      <c r="B54" s="517" t="s">
        <v>2499</v>
      </c>
      <c r="C54" s="14"/>
      <c r="D54" s="14"/>
      <c r="E54" s="14"/>
      <c r="F54" s="14"/>
      <c r="G54" s="14"/>
      <c r="H54" s="14"/>
      <c r="I54" s="14"/>
      <c r="J54" s="517"/>
    </row>
    <row r="55" spans="1:28">
      <c r="B55" s="517" t="s">
        <v>2508</v>
      </c>
      <c r="C55" s="14"/>
      <c r="D55" s="14"/>
      <c r="E55" s="14"/>
      <c r="F55" s="14"/>
      <c r="G55" s="14"/>
      <c r="H55" s="14"/>
      <c r="I55" s="14"/>
      <c r="J55" s="517"/>
    </row>
    <row r="56" spans="1:28">
      <c r="B56" s="517" t="s">
        <v>2509</v>
      </c>
      <c r="C56" s="14"/>
      <c r="D56" s="14"/>
      <c r="E56" s="14"/>
      <c r="F56" s="14"/>
      <c r="G56" s="14"/>
      <c r="H56" s="14"/>
      <c r="I56" s="14"/>
      <c r="J56" s="14"/>
    </row>
    <row r="57" spans="1:28">
      <c r="B57" s="535" t="str">
        <f>"5) Negative of Line "&amp;A34&amp;""&amp;", charge to common equity reversed for ratemaking."</f>
        <v>5) Negative of Line 20, charge to common equity reversed for ratemaking.</v>
      </c>
      <c r="C57" s="14"/>
      <c r="D57" s="14"/>
      <c r="E57" s="14"/>
      <c r="F57" s="14"/>
      <c r="G57" s="14"/>
      <c r="H57" s="14"/>
      <c r="I57" s="14"/>
      <c r="J57" s="14"/>
    </row>
    <row r="58" spans="1:28">
      <c r="B58" s="515"/>
    </row>
    <row r="59" spans="1:28">
      <c r="B59" s="519"/>
    </row>
    <row r="60" spans="1:28">
      <c r="B60" s="515"/>
    </row>
    <row r="61" spans="1:28">
      <c r="B61" s="519"/>
    </row>
  </sheetData>
  <phoneticPr fontId="23" type="noConversion"/>
  <pageMargins left="0.75" right="0.75" top="1" bottom="1" header="0.5" footer="0.5"/>
  <pageSetup scale="55" orientation="landscape" cellComments="asDisplayed" r:id="rId1"/>
  <headerFooter alignWithMargins="0">
    <oddHeader>&amp;CSchedule 5 ROR-1
Return and Capitalization
&amp;RTO2019 Draft Annual Update
Attachment 5
TO13 True Up TRR</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zoomScale="110" zoomScaleNormal="110" workbookViewId="0"/>
  </sheetViews>
  <sheetFormatPr defaultRowHeight="12.75"/>
  <cols>
    <col min="1" max="1" width="4.7109375" customWidth="1"/>
    <col min="2" max="2" width="6.42578125" customWidth="1"/>
    <col min="3" max="3" width="14.7109375" customWidth="1"/>
    <col min="4" max="4" width="15.42578125" bestFit="1" customWidth="1"/>
    <col min="5" max="15" width="14.7109375" customWidth="1"/>
    <col min="16" max="16" width="15.42578125" bestFit="1" customWidth="1"/>
  </cols>
  <sheetData>
    <row r="1" spans="1:17">
      <c r="A1" s="1" t="s">
        <v>1849</v>
      </c>
      <c r="B1" s="1"/>
    </row>
    <row r="2" spans="1:17">
      <c r="A2" s="120" t="s">
        <v>2693</v>
      </c>
      <c r="B2" s="1232">
        <v>2017</v>
      </c>
    </row>
    <row r="3" spans="1:17">
      <c r="C3" s="91" t="s">
        <v>391</v>
      </c>
      <c r="D3" s="91" t="s">
        <v>375</v>
      </c>
      <c r="E3" s="91" t="s">
        <v>376</v>
      </c>
      <c r="F3" s="91" t="s">
        <v>377</v>
      </c>
      <c r="G3" s="91" t="s">
        <v>378</v>
      </c>
      <c r="H3" s="91" t="s">
        <v>379</v>
      </c>
      <c r="I3" s="91" t="s">
        <v>380</v>
      </c>
      <c r="J3" s="91" t="s">
        <v>593</v>
      </c>
      <c r="K3" s="91" t="s">
        <v>1040</v>
      </c>
      <c r="L3" s="91" t="s">
        <v>1056</v>
      </c>
      <c r="M3" s="91" t="s">
        <v>1059</v>
      </c>
      <c r="N3" s="91" t="s">
        <v>1077</v>
      </c>
      <c r="O3" s="91" t="s">
        <v>1651</v>
      </c>
      <c r="P3" s="91" t="s">
        <v>1652</v>
      </c>
    </row>
    <row r="4" spans="1:17">
      <c r="A4" s="3" t="s">
        <v>350</v>
      </c>
      <c r="B4" s="3" t="s">
        <v>1850</v>
      </c>
      <c r="C4" s="37" t="s">
        <v>10</v>
      </c>
      <c r="D4" s="536" t="s">
        <v>199</v>
      </c>
      <c r="E4" s="524" t="s">
        <v>200</v>
      </c>
      <c r="F4" s="524" t="s">
        <v>201</v>
      </c>
      <c r="G4" s="524" t="s">
        <v>214</v>
      </c>
      <c r="H4" s="524" t="s">
        <v>202</v>
      </c>
      <c r="I4" s="524" t="s">
        <v>203</v>
      </c>
      <c r="J4" s="524" t="s">
        <v>1650</v>
      </c>
      <c r="K4" s="524" t="s">
        <v>205</v>
      </c>
      <c r="L4" s="524" t="s">
        <v>206</v>
      </c>
      <c r="M4" s="524" t="s">
        <v>207</v>
      </c>
      <c r="N4" s="524" t="s">
        <v>210</v>
      </c>
      <c r="O4" s="524" t="s">
        <v>209</v>
      </c>
      <c r="P4" s="524" t="s">
        <v>199</v>
      </c>
    </row>
    <row r="5" spans="1:17">
      <c r="A5" s="3"/>
      <c r="B5" s="134"/>
      <c r="C5" s="594" t="s">
        <v>2694</v>
      </c>
      <c r="D5" s="612"/>
      <c r="E5" s="524"/>
      <c r="F5" s="524"/>
      <c r="G5" s="524"/>
      <c r="H5" s="524"/>
      <c r="I5" s="524"/>
      <c r="J5" s="524"/>
      <c r="K5" s="524"/>
      <c r="L5" s="524"/>
      <c r="M5" s="524"/>
      <c r="N5" s="524"/>
      <c r="O5" s="524"/>
      <c r="P5" s="524"/>
    </row>
    <row r="6" spans="1:17">
      <c r="A6" s="55"/>
      <c r="B6" s="55"/>
      <c r="C6" s="37"/>
      <c r="D6" s="536"/>
      <c r="E6" s="524"/>
      <c r="F6" s="524"/>
      <c r="G6" s="524"/>
      <c r="H6" s="524"/>
      <c r="I6" s="524"/>
      <c r="J6" s="524"/>
      <c r="K6" s="524"/>
      <c r="L6" s="524"/>
      <c r="M6" s="524"/>
      <c r="N6" s="524"/>
      <c r="O6" s="524"/>
      <c r="P6" s="524"/>
    </row>
    <row r="7" spans="1:17">
      <c r="B7" s="45" t="s">
        <v>1851</v>
      </c>
      <c r="D7" s="536"/>
      <c r="E7" s="524"/>
      <c r="F7" s="524"/>
      <c r="G7" s="524"/>
      <c r="H7" s="524"/>
      <c r="I7" s="524"/>
      <c r="J7" s="524"/>
      <c r="K7" s="524"/>
      <c r="L7" s="524"/>
      <c r="M7" s="524"/>
      <c r="N7" s="524"/>
      <c r="O7" s="524"/>
      <c r="P7" s="524"/>
    </row>
    <row r="8" spans="1:17">
      <c r="A8" s="120">
        <v>1</v>
      </c>
      <c r="B8" s="120"/>
      <c r="C8" s="530">
        <f>SUM(D8:P8)/13</f>
        <v>10684345054.951538</v>
      </c>
      <c r="D8" s="531">
        <v>10296542857</v>
      </c>
      <c r="E8" s="1183">
        <v>10431542857.129999</v>
      </c>
      <c r="F8" s="1183">
        <v>10392257142.84</v>
      </c>
      <c r="G8" s="1183">
        <v>10957257142.84</v>
      </c>
      <c r="H8" s="1183">
        <v>10957257142.84</v>
      </c>
      <c r="I8" s="1183">
        <v>10557257142.84</v>
      </c>
      <c r="J8" s="1183">
        <v>10557257142.84</v>
      </c>
      <c r="K8" s="1183">
        <v>10857257142.84</v>
      </c>
      <c r="L8" s="1183">
        <v>10817971428.549999</v>
      </c>
      <c r="M8" s="1183">
        <v>10817971428.549999</v>
      </c>
      <c r="N8" s="1183">
        <v>10817971428.549999</v>
      </c>
      <c r="O8" s="1183">
        <v>10717971428.549999</v>
      </c>
      <c r="P8" s="531">
        <v>10717971429</v>
      </c>
      <c r="Q8" s="515"/>
    </row>
    <row r="9" spans="1:17">
      <c r="A9" s="120"/>
      <c r="B9" s="45" t="s">
        <v>2695</v>
      </c>
      <c r="C9" s="7"/>
      <c r="D9" s="530"/>
      <c r="E9" s="530"/>
      <c r="F9" s="530"/>
      <c r="G9" s="530"/>
      <c r="H9" s="530"/>
      <c r="I9" s="530"/>
      <c r="J9" s="530"/>
      <c r="K9" s="530"/>
      <c r="L9" s="530"/>
      <c r="M9" s="530"/>
      <c r="N9" s="530"/>
      <c r="O9" s="530"/>
      <c r="P9" s="530"/>
    </row>
    <row r="10" spans="1:17">
      <c r="A10" s="120">
        <f>A8+1</f>
        <v>2</v>
      </c>
      <c r="B10" s="120"/>
      <c r="C10" s="530">
        <f t="shared" ref="C10:C14" si="0">SUM(D10:P10)/13</f>
        <v>-40384615.384615384</v>
      </c>
      <c r="D10" s="531">
        <v>-165000000</v>
      </c>
      <c r="E10" s="1184">
        <v>-30000000</v>
      </c>
      <c r="F10" s="1184">
        <v>-30000000</v>
      </c>
      <c r="G10" s="1184">
        <v>-30000000</v>
      </c>
      <c r="H10" s="1184">
        <v>-30000000</v>
      </c>
      <c r="I10" s="1184">
        <v>-30000000</v>
      </c>
      <c r="J10" s="1184">
        <v>-30000000</v>
      </c>
      <c r="K10" s="1184">
        <v>-30000000</v>
      </c>
      <c r="L10" s="1184">
        <v>-30000000</v>
      </c>
      <c r="M10" s="1184">
        <v>-30000000</v>
      </c>
      <c r="N10" s="1184">
        <v>-30000000</v>
      </c>
      <c r="O10" s="1184">
        <v>-30000000</v>
      </c>
      <c r="P10" s="531">
        <v>-30000000</v>
      </c>
      <c r="Q10" s="515"/>
    </row>
    <row r="11" spans="1:17">
      <c r="A11" s="120"/>
      <c r="B11" s="45" t="s">
        <v>2170</v>
      </c>
      <c r="C11" s="14"/>
      <c r="D11" s="530"/>
      <c r="E11" s="530"/>
      <c r="F11" s="530"/>
      <c r="G11" s="530"/>
      <c r="H11" s="530"/>
      <c r="I11" s="530"/>
      <c r="J11" s="530"/>
      <c r="K11" s="530"/>
      <c r="L11" s="530"/>
      <c r="M11" s="530"/>
      <c r="N11" s="530"/>
      <c r="O11" s="530"/>
      <c r="P11" s="530"/>
    </row>
    <row r="12" spans="1:17">
      <c r="A12" s="120" t="s">
        <v>565</v>
      </c>
      <c r="B12" s="45"/>
      <c r="C12" s="530">
        <f>SUM(D12:P12)/13</f>
        <v>0</v>
      </c>
      <c r="D12" s="553">
        <v>0</v>
      </c>
      <c r="E12" s="553">
        <v>0</v>
      </c>
      <c r="F12" s="553">
        <v>0</v>
      </c>
      <c r="G12" s="553">
        <v>0</v>
      </c>
      <c r="H12" s="553">
        <v>0</v>
      </c>
      <c r="I12" s="553">
        <v>0</v>
      </c>
      <c r="J12" s="553">
        <v>0</v>
      </c>
      <c r="K12" s="553">
        <v>0</v>
      </c>
      <c r="L12" s="553">
        <v>0</v>
      </c>
      <c r="M12" s="553">
        <v>0</v>
      </c>
      <c r="N12" s="553">
        <v>0</v>
      </c>
      <c r="O12" s="553">
        <v>0</v>
      </c>
      <c r="P12" s="553">
        <v>0</v>
      </c>
      <c r="Q12" s="515"/>
    </row>
    <row r="13" spans="1:17">
      <c r="A13" s="120"/>
      <c r="B13" s="45" t="s">
        <v>1852</v>
      </c>
      <c r="D13" s="530"/>
      <c r="E13" s="530"/>
      <c r="F13" s="530"/>
      <c r="G13" s="530"/>
      <c r="H13" s="530"/>
      <c r="I13" s="530"/>
      <c r="J13" s="530"/>
      <c r="K13" s="530"/>
      <c r="L13" s="530"/>
      <c r="M13" s="530"/>
      <c r="N13" s="530"/>
      <c r="O13" s="530"/>
      <c r="P13" s="530"/>
    </row>
    <row r="14" spans="1:17">
      <c r="A14" s="120">
        <f>A10+1</f>
        <v>3</v>
      </c>
      <c r="B14" s="120"/>
      <c r="C14" s="530">
        <f t="shared" si="0"/>
        <v>424282123.68538463</v>
      </c>
      <c r="D14" s="1186">
        <v>306621506</v>
      </c>
      <c r="E14" s="1186">
        <v>471616305.64999998</v>
      </c>
      <c r="F14" s="1186">
        <v>471611083.31</v>
      </c>
      <c r="G14" s="1186">
        <v>606605838.94000006</v>
      </c>
      <c r="H14" s="1186">
        <v>606600572.46000004</v>
      </c>
      <c r="I14" s="1186">
        <v>606595283.76999998</v>
      </c>
      <c r="J14" s="1186">
        <v>606589972.77999997</v>
      </c>
      <c r="K14" s="1186">
        <v>306584639.39999998</v>
      </c>
      <c r="L14" s="1186">
        <v>306579283.52999997</v>
      </c>
      <c r="M14" s="1186">
        <v>306573905.07999998</v>
      </c>
      <c r="N14" s="1186">
        <v>306568503.94999999</v>
      </c>
      <c r="O14" s="1186">
        <v>306563080.04000002</v>
      </c>
      <c r="P14" s="1186">
        <v>306557633</v>
      </c>
      <c r="Q14" s="515"/>
    </row>
    <row r="15" spans="1:17">
      <c r="A15" s="120"/>
      <c r="B15" s="45"/>
      <c r="C15" s="14"/>
      <c r="D15" s="530"/>
      <c r="E15" s="530"/>
      <c r="F15" s="530"/>
      <c r="G15" s="530"/>
      <c r="H15" s="530"/>
      <c r="I15" s="530"/>
      <c r="J15" s="530"/>
      <c r="K15" s="530"/>
      <c r="L15" s="530"/>
      <c r="M15" s="530"/>
      <c r="N15" s="530"/>
      <c r="O15" s="530"/>
      <c r="P15" s="530"/>
    </row>
    <row r="16" spans="1:17">
      <c r="A16" s="120">
        <f>A14+1</f>
        <v>4</v>
      </c>
      <c r="B16" s="409" t="s">
        <v>2439</v>
      </c>
      <c r="C16" s="530"/>
      <c r="D16" s="530"/>
      <c r="E16" s="530"/>
      <c r="F16" s="530"/>
      <c r="G16" s="530"/>
      <c r="H16" s="530"/>
      <c r="I16" s="530"/>
      <c r="J16" s="530"/>
      <c r="K16" s="530"/>
      <c r="L16" s="530"/>
      <c r="M16" s="530"/>
      <c r="N16" s="530"/>
      <c r="O16" s="530"/>
      <c r="P16" s="530"/>
    </row>
    <row r="17" spans="1:17">
      <c r="A17" s="120"/>
      <c r="B17" s="45"/>
      <c r="C17" s="14"/>
      <c r="D17" s="530"/>
      <c r="E17" s="530"/>
      <c r="F17" s="530"/>
      <c r="G17" s="530"/>
      <c r="H17" s="530"/>
      <c r="I17" s="530"/>
      <c r="J17" s="530"/>
      <c r="K17" s="530"/>
      <c r="L17" s="530"/>
      <c r="M17" s="530"/>
      <c r="N17" s="530"/>
      <c r="O17" s="530"/>
      <c r="P17" s="530"/>
    </row>
    <row r="18" spans="1:17">
      <c r="A18" s="120">
        <f>A16+1</f>
        <v>5</v>
      </c>
      <c r="B18" s="409" t="s">
        <v>2439</v>
      </c>
      <c r="C18" s="530"/>
      <c r="D18" s="530"/>
      <c r="E18" s="530"/>
      <c r="F18" s="530"/>
      <c r="G18" s="530"/>
      <c r="H18" s="530"/>
      <c r="I18" s="530"/>
      <c r="J18" s="530"/>
      <c r="K18" s="530"/>
      <c r="L18" s="530"/>
      <c r="M18" s="530"/>
      <c r="N18" s="530"/>
      <c r="O18" s="530"/>
      <c r="P18" s="530"/>
    </row>
    <row r="19" spans="1:17">
      <c r="A19" s="14"/>
      <c r="B19" s="45"/>
      <c r="C19" s="14"/>
      <c r="D19" s="14"/>
      <c r="E19" s="14"/>
      <c r="F19" s="14"/>
      <c r="G19" s="14"/>
      <c r="H19" s="14"/>
      <c r="I19" s="14"/>
      <c r="J19" s="14"/>
      <c r="K19" s="14"/>
      <c r="L19" s="14"/>
      <c r="M19" s="14"/>
      <c r="N19" s="14"/>
      <c r="O19" s="14"/>
      <c r="P19" s="14"/>
    </row>
    <row r="20" spans="1:17">
      <c r="A20" s="120">
        <v>6</v>
      </c>
      <c r="B20" s="409" t="s">
        <v>2439</v>
      </c>
      <c r="C20" s="530"/>
      <c r="D20" s="530"/>
      <c r="E20" s="530"/>
      <c r="F20" s="530"/>
      <c r="G20" s="530"/>
      <c r="H20" s="530"/>
      <c r="I20" s="530"/>
      <c r="J20" s="530"/>
      <c r="K20" s="530"/>
      <c r="L20" s="530"/>
      <c r="M20" s="530"/>
      <c r="N20" s="530"/>
      <c r="O20" s="530"/>
      <c r="P20" s="530"/>
    </row>
    <row r="21" spans="1:17">
      <c r="A21" s="120"/>
      <c r="B21" s="45"/>
      <c r="C21" s="14"/>
      <c r="D21" s="530"/>
      <c r="E21" s="530"/>
      <c r="F21" s="530"/>
      <c r="G21" s="530"/>
      <c r="H21" s="530"/>
      <c r="I21" s="530"/>
      <c r="J21" s="530"/>
      <c r="K21" s="530"/>
      <c r="L21" s="530"/>
      <c r="M21" s="530"/>
      <c r="N21" s="530"/>
      <c r="O21" s="530"/>
      <c r="P21" s="530"/>
    </row>
    <row r="22" spans="1:17">
      <c r="A22" s="120">
        <f>A20+1</f>
        <v>7</v>
      </c>
      <c r="B22" s="409" t="s">
        <v>2439</v>
      </c>
      <c r="C22" s="530"/>
      <c r="D22" s="530"/>
      <c r="E22" s="530"/>
      <c r="F22" s="530"/>
      <c r="G22" s="530"/>
      <c r="H22" s="530"/>
      <c r="I22" s="530"/>
      <c r="J22" s="530"/>
      <c r="K22" s="530"/>
      <c r="L22" s="530"/>
      <c r="M22" s="530"/>
      <c r="N22" s="530"/>
      <c r="O22" s="530"/>
      <c r="P22" s="530"/>
    </row>
    <row r="23" spans="1:17">
      <c r="A23" s="14"/>
      <c r="B23" s="45" t="s">
        <v>2417</v>
      </c>
    </row>
    <row r="24" spans="1:17">
      <c r="A24" s="120">
        <v>18</v>
      </c>
      <c r="B24" s="120"/>
      <c r="C24" s="530">
        <f t="shared" ref="C24:C30" si="1">SUM(D24:P24)/13</f>
        <v>2281594180.7692308</v>
      </c>
      <c r="D24" s="1186">
        <v>2245054950</v>
      </c>
      <c r="E24" s="1186">
        <v>2245054950</v>
      </c>
      <c r="F24" s="1186">
        <v>2245054950</v>
      </c>
      <c r="G24" s="1186">
        <v>2245054950</v>
      </c>
      <c r="H24" s="1186">
        <v>2245054950</v>
      </c>
      <c r="I24" s="1186">
        <v>2245054950</v>
      </c>
      <c r="J24" s="1186">
        <v>2720064950</v>
      </c>
      <c r="K24" s="1186">
        <v>2245054950</v>
      </c>
      <c r="L24" s="1186">
        <v>2245054950</v>
      </c>
      <c r="M24" s="1186">
        <v>2245054950</v>
      </c>
      <c r="N24" s="1186">
        <v>2245054950</v>
      </c>
      <c r="O24" s="1186">
        <v>2245054950</v>
      </c>
      <c r="P24" s="1186">
        <v>2245054950</v>
      </c>
      <c r="Q24" s="515"/>
    </row>
    <row r="25" spans="1:17">
      <c r="A25" s="120"/>
      <c r="B25" s="45" t="s">
        <v>2696</v>
      </c>
      <c r="D25" s="530"/>
      <c r="E25" s="530"/>
      <c r="F25" s="530"/>
      <c r="G25" s="530"/>
      <c r="H25" s="530"/>
      <c r="I25" s="530"/>
      <c r="J25" s="530"/>
      <c r="K25" s="530"/>
      <c r="L25" s="530"/>
      <c r="M25" s="530"/>
      <c r="N25" s="530"/>
      <c r="O25" s="530"/>
      <c r="P25" s="530"/>
    </row>
    <row r="26" spans="1:17">
      <c r="A26" s="120">
        <f>A24+1</f>
        <v>19</v>
      </c>
      <c r="B26" s="120"/>
      <c r="C26" s="530">
        <f t="shared" si="1"/>
        <v>-44042735.923824795</v>
      </c>
      <c r="D26" s="1233">
        <v>-43904550.31111113</v>
      </c>
      <c r="E26" s="1233">
        <v>-43612325.06111113</v>
      </c>
      <c r="F26" s="1233">
        <v>-43320099.811111137</v>
      </c>
      <c r="G26" s="1233">
        <v>-43027874.56111113</v>
      </c>
      <c r="H26" s="1233">
        <v>-42735649.31111113</v>
      </c>
      <c r="I26" s="1233">
        <v>-42443424.061111137</v>
      </c>
      <c r="J26" s="1233">
        <v>-54784211.311111137</v>
      </c>
      <c r="K26" s="1233">
        <v>-54456894.359722249</v>
      </c>
      <c r="L26" s="1233">
        <v>-41423176.558333315</v>
      </c>
      <c r="M26" s="1233">
        <v>-41138642.101388872</v>
      </c>
      <c r="N26" s="1233">
        <v>-40854107.644444421</v>
      </c>
      <c r="O26" s="1233">
        <v>-40569573.187499985</v>
      </c>
      <c r="P26" s="1233">
        <v>-40285038.730555542</v>
      </c>
    </row>
    <row r="27" spans="1:17">
      <c r="A27" s="120"/>
      <c r="B27" s="45" t="s">
        <v>2421</v>
      </c>
      <c r="D27" s="530"/>
      <c r="E27" s="530"/>
      <c r="F27" s="530"/>
      <c r="G27" s="530"/>
      <c r="H27" s="530"/>
      <c r="I27" s="530"/>
      <c r="J27" s="530"/>
      <c r="K27" s="530"/>
      <c r="L27" s="530"/>
      <c r="M27" s="530"/>
      <c r="N27" s="530"/>
      <c r="O27" s="530"/>
      <c r="P27" s="530"/>
    </row>
    <row r="28" spans="1:17">
      <c r="A28" s="120">
        <f>A26+1</f>
        <v>20</v>
      </c>
      <c r="B28" s="120"/>
      <c r="C28" s="530">
        <f t="shared" si="1"/>
        <v>-12930516.057100974</v>
      </c>
      <c r="D28" s="531">
        <v>-7396211.3637954099</v>
      </c>
      <c r="E28" s="531">
        <v>-7345987.3252827898</v>
      </c>
      <c r="F28" s="531">
        <v>-7295763.2867701696</v>
      </c>
      <c r="G28" s="531">
        <v>-7195315.2097449396</v>
      </c>
      <c r="H28" s="531">
        <v>-7145091.1712323204</v>
      </c>
      <c r="I28" s="531">
        <v>-7145091.1712323204</v>
      </c>
      <c r="J28" s="531">
        <v>-7094867.1327197002</v>
      </c>
      <c r="K28" s="531">
        <v>-19793826.438651599</v>
      </c>
      <c r="L28" s="531">
        <v>-19708188.001959901</v>
      </c>
      <c r="M28" s="531">
        <v>-19622549.5652683</v>
      </c>
      <c r="N28" s="531">
        <v>-19536911.1285767</v>
      </c>
      <c r="O28" s="531">
        <v>-19451272.691885099</v>
      </c>
      <c r="P28" s="531">
        <v>-19365634.255193401</v>
      </c>
    </row>
    <row r="29" spans="1:17">
      <c r="A29" s="14"/>
      <c r="B29" s="45" t="s">
        <v>2422</v>
      </c>
    </row>
    <row r="30" spans="1:17">
      <c r="A30" s="120">
        <v>27</v>
      </c>
      <c r="B30" s="120"/>
      <c r="C30" s="530">
        <f t="shared" si="1"/>
        <v>14822803187.622307</v>
      </c>
      <c r="D30" s="531">
        <v>14482786817</v>
      </c>
      <c r="E30" s="531">
        <v>14615648031.959999</v>
      </c>
      <c r="F30" s="531">
        <v>14509372060.42</v>
      </c>
      <c r="G30" s="531">
        <v>14623685111.110001</v>
      </c>
      <c r="H30" s="531">
        <v>14705023359.23</v>
      </c>
      <c r="I30" s="531">
        <v>14808546333.91</v>
      </c>
      <c r="J30" s="531">
        <v>15195168410</v>
      </c>
      <c r="K30" s="531">
        <v>14852851254.559999</v>
      </c>
      <c r="L30" s="531">
        <v>14841775399.139999</v>
      </c>
      <c r="M30" s="531">
        <v>14993193819.790001</v>
      </c>
      <c r="N30" s="531">
        <v>15128682537.620001</v>
      </c>
      <c r="O30" s="531">
        <v>15267986011.35</v>
      </c>
      <c r="P30" s="531">
        <v>14671722293</v>
      </c>
      <c r="Q30" s="515"/>
    </row>
    <row r="31" spans="1:17">
      <c r="A31" s="120"/>
      <c r="B31" s="45" t="s">
        <v>2697</v>
      </c>
      <c r="D31" s="530"/>
      <c r="E31" s="530"/>
      <c r="F31" s="530"/>
      <c r="G31" s="530"/>
      <c r="H31" s="530"/>
      <c r="I31" s="530"/>
      <c r="J31" s="530"/>
      <c r="K31" s="530"/>
      <c r="L31" s="530"/>
      <c r="M31" s="530"/>
      <c r="N31" s="530"/>
      <c r="O31" s="530"/>
      <c r="P31" s="530"/>
    </row>
    <row r="32" spans="1:17">
      <c r="A32" s="120">
        <v>30</v>
      </c>
      <c r="B32" s="120"/>
      <c r="C32" s="530">
        <f t="shared" ref="C32:C34" si="2">SUM(D32:P32)/13</f>
        <v>2603770.0107692298</v>
      </c>
      <c r="D32" s="1186">
        <v>2603436</v>
      </c>
      <c r="E32" s="1186">
        <v>2603436.5299999998</v>
      </c>
      <c r="F32" s="1186">
        <v>2603436.5299999998</v>
      </c>
      <c r="G32" s="1186">
        <v>2603436.5299999998</v>
      </c>
      <c r="H32" s="1186">
        <v>2603436.5299999998</v>
      </c>
      <c r="I32" s="1186">
        <v>2604191.2199999997</v>
      </c>
      <c r="J32" s="1186">
        <v>2604191.2199999997</v>
      </c>
      <c r="K32" s="1186">
        <v>2604191.2199999997</v>
      </c>
      <c r="L32" s="1186">
        <v>2604191.2199999997</v>
      </c>
      <c r="M32" s="1186">
        <v>2604050.4</v>
      </c>
      <c r="N32" s="1186">
        <v>2604050.4</v>
      </c>
      <c r="O32" s="1186">
        <v>2603481.34</v>
      </c>
      <c r="P32" s="1186">
        <v>2603481</v>
      </c>
      <c r="Q32" s="515"/>
    </row>
    <row r="33" spans="1:17">
      <c r="A33" s="120"/>
      <c r="B33" s="45" t="s">
        <v>2698</v>
      </c>
      <c r="D33" s="530"/>
      <c r="E33" s="530"/>
      <c r="F33" s="530"/>
      <c r="G33" s="530"/>
      <c r="H33" s="530"/>
      <c r="I33" s="530"/>
      <c r="J33" s="530"/>
      <c r="K33" s="530"/>
      <c r="L33" s="530"/>
      <c r="M33" s="530"/>
      <c r="N33" s="530"/>
      <c r="O33" s="530"/>
      <c r="P33" s="530"/>
    </row>
    <row r="34" spans="1:17">
      <c r="A34" s="120">
        <f>A32+1</f>
        <v>31</v>
      </c>
      <c r="B34" s="120"/>
      <c r="C34" s="530">
        <f t="shared" si="2"/>
        <v>18479587.07</v>
      </c>
      <c r="D34" s="1186">
        <v>20446907</v>
      </c>
      <c r="E34" s="1186">
        <v>19981023.739999998</v>
      </c>
      <c r="F34" s="1186">
        <v>19515140.41</v>
      </c>
      <c r="G34" s="1186">
        <v>17543913.98</v>
      </c>
      <c r="H34" s="1186">
        <v>18734451.899999999</v>
      </c>
      <c r="I34" s="1186">
        <v>18250526.899999999</v>
      </c>
      <c r="J34" s="1186">
        <v>18131535.48</v>
      </c>
      <c r="K34" s="1186">
        <v>17647610.48</v>
      </c>
      <c r="L34" s="1186">
        <v>18713013.039999999</v>
      </c>
      <c r="M34" s="1186">
        <v>18000213.66</v>
      </c>
      <c r="N34" s="1186">
        <v>17516288.66</v>
      </c>
      <c r="O34" s="1186">
        <v>17032363.66</v>
      </c>
      <c r="P34" s="1186">
        <v>18721643</v>
      </c>
      <c r="Q34" s="515"/>
    </row>
    <row r="35" spans="1:17">
      <c r="A35" s="120"/>
      <c r="B35" s="120"/>
      <c r="C35" s="530"/>
      <c r="D35" s="530"/>
      <c r="E35" s="530"/>
      <c r="F35" s="530"/>
      <c r="G35" s="530"/>
      <c r="H35" s="530"/>
      <c r="I35" s="530"/>
      <c r="J35" s="530"/>
      <c r="K35" s="530"/>
      <c r="L35" s="530"/>
      <c r="M35" s="530"/>
      <c r="N35" s="530"/>
      <c r="O35" s="530"/>
      <c r="P35" s="530"/>
    </row>
    <row r="36" spans="1:17">
      <c r="A36" s="120"/>
      <c r="B36" s="53" t="s">
        <v>417</v>
      </c>
      <c r="C36" s="530"/>
      <c r="D36" s="530"/>
      <c r="E36" s="530"/>
      <c r="F36" s="530"/>
      <c r="G36" s="530"/>
      <c r="H36" s="530"/>
      <c r="I36" s="530"/>
      <c r="J36" s="530"/>
      <c r="K36" s="530"/>
      <c r="L36" s="530"/>
      <c r="M36" s="530"/>
      <c r="N36" s="530"/>
      <c r="O36" s="530"/>
      <c r="P36" s="530"/>
    </row>
    <row r="37" spans="1:17">
      <c r="A37" s="120"/>
      <c r="B37" s="515" t="s">
        <v>1853</v>
      </c>
      <c r="C37" s="530"/>
      <c r="D37" s="530"/>
      <c r="E37" s="530"/>
      <c r="F37" s="530"/>
      <c r="G37" s="530"/>
      <c r="H37" s="530"/>
      <c r="I37" s="530"/>
      <c r="J37" s="530"/>
      <c r="K37" s="530"/>
      <c r="L37" s="530"/>
      <c r="M37" s="530"/>
      <c r="N37" s="530"/>
      <c r="O37" s="530"/>
      <c r="P37" s="530"/>
    </row>
    <row r="38" spans="1:17">
      <c r="A38" s="120"/>
      <c r="B38" s="519" t="s">
        <v>1864</v>
      </c>
      <c r="C38" s="530"/>
      <c r="D38" s="530"/>
      <c r="E38" s="530"/>
      <c r="F38" s="530"/>
      <c r="G38" s="530"/>
      <c r="H38" s="530"/>
      <c r="I38" s="530"/>
      <c r="J38" s="530"/>
      <c r="K38" s="530"/>
      <c r="L38" s="530"/>
      <c r="M38" s="530"/>
      <c r="N38" s="530"/>
      <c r="O38" s="530"/>
      <c r="P38" s="530"/>
    </row>
    <row r="39" spans="1:17">
      <c r="A39" s="120"/>
      <c r="B39" s="517" t="s">
        <v>2502</v>
      </c>
      <c r="C39" s="409" t="s">
        <v>2439</v>
      </c>
      <c r="D39" s="530"/>
      <c r="E39" s="530"/>
      <c r="F39" s="530"/>
      <c r="G39" s="530"/>
      <c r="H39" s="530"/>
      <c r="I39" s="530"/>
      <c r="J39" s="530"/>
      <c r="K39" s="530"/>
      <c r="L39" s="530"/>
      <c r="M39" s="530"/>
      <c r="N39" s="530"/>
      <c r="O39" s="530"/>
      <c r="P39" s="530"/>
    </row>
    <row r="40" spans="1:17">
      <c r="A40" s="14"/>
      <c r="B40" s="1021" t="s">
        <v>2503</v>
      </c>
      <c r="C40" s="14"/>
      <c r="D40" s="14"/>
      <c r="E40" s="14"/>
      <c r="F40" s="14"/>
      <c r="G40" s="14"/>
      <c r="H40" s="14"/>
      <c r="I40" s="14"/>
      <c r="J40" s="14"/>
      <c r="K40" s="14"/>
      <c r="L40" s="14"/>
    </row>
    <row r="41" spans="1:17">
      <c r="A41" s="14"/>
      <c r="B41" s="514"/>
      <c r="C41" s="14"/>
      <c r="D41" s="14"/>
      <c r="E41" s="14"/>
      <c r="F41" s="14"/>
      <c r="G41" s="14"/>
      <c r="H41" s="14"/>
      <c r="I41" s="14"/>
      <c r="J41" s="14"/>
      <c r="K41" s="14"/>
      <c r="L41" s="14"/>
    </row>
    <row r="42" spans="1:17">
      <c r="A42" s="14"/>
      <c r="B42" s="45" t="s">
        <v>256</v>
      </c>
      <c r="C42" s="14"/>
      <c r="D42" s="14"/>
      <c r="E42" s="14"/>
      <c r="F42" s="14"/>
      <c r="G42" s="14"/>
      <c r="H42" s="14"/>
      <c r="I42" s="14"/>
      <c r="J42" s="14"/>
      <c r="K42" s="14"/>
      <c r="L42" s="14"/>
    </row>
    <row r="43" spans="1:17">
      <c r="A43" s="14"/>
      <c r="B43" s="517" t="s">
        <v>2002</v>
      </c>
      <c r="C43" s="14"/>
      <c r="D43" s="14"/>
      <c r="E43" s="14"/>
      <c r="F43" s="14"/>
      <c r="G43" s="14"/>
      <c r="H43" s="14"/>
      <c r="I43" s="14"/>
      <c r="J43" s="14"/>
      <c r="K43" s="14"/>
      <c r="L43" s="14"/>
    </row>
    <row r="44" spans="1:17">
      <c r="A44" s="14"/>
      <c r="B44" s="517" t="s">
        <v>2003</v>
      </c>
      <c r="C44" s="14"/>
      <c r="D44" s="14"/>
      <c r="E44" s="14"/>
      <c r="F44" s="14"/>
      <c r="G44" s="14"/>
      <c r="H44" s="14"/>
      <c r="I44" s="14"/>
      <c r="J44" s="14"/>
      <c r="K44" s="14"/>
      <c r="L44" s="14"/>
    </row>
    <row r="45" spans="1:17">
      <c r="A45" s="14"/>
      <c r="B45" s="517" t="s">
        <v>2174</v>
      </c>
      <c r="C45" s="14"/>
      <c r="D45" s="14"/>
      <c r="E45" s="14"/>
      <c r="F45" s="14"/>
      <c r="G45" s="14"/>
      <c r="H45" s="14"/>
      <c r="I45" s="14"/>
      <c r="J45" s="14"/>
      <c r="K45" s="14"/>
      <c r="L45" s="14"/>
    </row>
    <row r="46" spans="1:17">
      <c r="A46" s="14"/>
      <c r="B46" s="517" t="s">
        <v>2004</v>
      </c>
      <c r="C46" s="14"/>
      <c r="D46" s="14"/>
      <c r="E46" s="14"/>
      <c r="F46" s="14"/>
      <c r="G46" s="14"/>
      <c r="H46" s="14"/>
      <c r="I46" s="14"/>
      <c r="J46" s="14"/>
      <c r="K46" s="14"/>
      <c r="L46" s="14"/>
    </row>
    <row r="47" spans="1:17">
      <c r="A47" s="14"/>
      <c r="B47" s="517" t="s">
        <v>2440</v>
      </c>
      <c r="C47" s="409" t="s">
        <v>2439</v>
      </c>
      <c r="D47" s="14"/>
      <c r="E47" s="14"/>
      <c r="F47" s="14"/>
      <c r="G47" s="14"/>
      <c r="H47" s="14"/>
      <c r="I47" s="14"/>
      <c r="J47" s="14"/>
      <c r="K47" s="14"/>
      <c r="L47" s="14"/>
    </row>
    <row r="48" spans="1:17">
      <c r="A48" s="14"/>
      <c r="B48" s="517" t="s">
        <v>2437</v>
      </c>
      <c r="C48" s="409" t="s">
        <v>2439</v>
      </c>
      <c r="D48" s="14"/>
      <c r="E48" s="14"/>
      <c r="F48" s="14"/>
      <c r="G48" s="14"/>
      <c r="H48" s="14"/>
      <c r="I48" s="14"/>
      <c r="J48" s="14"/>
      <c r="K48" s="14"/>
      <c r="L48" s="14"/>
    </row>
    <row r="49" spans="1:13">
      <c r="A49" s="14"/>
      <c r="B49" s="517" t="s">
        <v>2500</v>
      </c>
      <c r="C49" s="409" t="s">
        <v>2439</v>
      </c>
      <c r="D49" s="14"/>
      <c r="E49" s="14"/>
      <c r="F49" s="14"/>
      <c r="G49" s="14"/>
      <c r="H49" s="14"/>
      <c r="I49" s="14"/>
      <c r="J49" s="14"/>
      <c r="K49" s="14"/>
      <c r="L49" s="14"/>
    </row>
    <row r="50" spans="1:13">
      <c r="A50" s="14"/>
      <c r="B50" s="517" t="s">
        <v>2501</v>
      </c>
      <c r="C50" s="409" t="s">
        <v>2439</v>
      </c>
      <c r="D50" s="14"/>
      <c r="E50" s="14"/>
      <c r="F50" s="14"/>
      <c r="G50" s="14"/>
      <c r="H50" s="14"/>
      <c r="I50" s="14"/>
      <c r="J50" s="14"/>
      <c r="K50" s="14"/>
      <c r="L50" s="14"/>
    </row>
    <row r="51" spans="1:13">
      <c r="A51" s="14"/>
      <c r="B51" s="517" t="s">
        <v>2418</v>
      </c>
      <c r="C51" s="14"/>
      <c r="D51" s="14"/>
      <c r="E51" s="14"/>
      <c r="F51" s="14"/>
      <c r="G51" s="14"/>
      <c r="H51" s="14"/>
      <c r="I51" s="14"/>
      <c r="J51" s="14"/>
      <c r="K51" s="14"/>
      <c r="L51" s="14"/>
    </row>
    <row r="52" spans="1:13">
      <c r="A52" s="14"/>
      <c r="B52" s="517" t="s">
        <v>2419</v>
      </c>
      <c r="C52" s="14"/>
      <c r="D52" s="14"/>
      <c r="E52" s="14"/>
      <c r="F52" s="14"/>
      <c r="G52" s="14"/>
      <c r="H52" s="14"/>
      <c r="I52" s="14"/>
      <c r="J52" s="14"/>
      <c r="K52" s="14"/>
      <c r="L52" s="14"/>
    </row>
    <row r="53" spans="1:13">
      <c r="A53" s="14"/>
      <c r="B53" s="514" t="s">
        <v>2056</v>
      </c>
      <c r="C53" s="14"/>
      <c r="D53" s="14"/>
      <c r="E53" s="14"/>
      <c r="F53" s="14"/>
      <c r="G53" s="14"/>
      <c r="H53" s="14"/>
      <c r="I53" s="14"/>
      <c r="J53" s="14"/>
      <c r="K53" s="14"/>
      <c r="L53" s="14"/>
    </row>
    <row r="54" spans="1:13">
      <c r="A54" s="14"/>
      <c r="B54" s="14"/>
      <c r="C54" s="14"/>
      <c r="D54" s="14"/>
      <c r="E54" s="14"/>
      <c r="F54" s="14"/>
      <c r="G54" s="14"/>
      <c r="H54" s="120" t="s">
        <v>1158</v>
      </c>
      <c r="I54" s="14"/>
      <c r="J54" s="14"/>
      <c r="K54" s="14"/>
      <c r="L54" s="14"/>
    </row>
    <row r="55" spans="1:13">
      <c r="A55" s="14"/>
      <c r="B55" s="14"/>
      <c r="C55" s="120"/>
      <c r="D55" s="14"/>
      <c r="E55" s="120" t="s">
        <v>1824</v>
      </c>
      <c r="F55" s="120" t="s">
        <v>1825</v>
      </c>
      <c r="G55" s="120" t="s">
        <v>1825</v>
      </c>
      <c r="H55" s="120" t="s">
        <v>218</v>
      </c>
      <c r="I55" s="120" t="s">
        <v>1512</v>
      </c>
      <c r="J55" s="14"/>
      <c r="K55" s="14"/>
      <c r="L55" s="14"/>
    </row>
    <row r="56" spans="1:13">
      <c r="A56" s="14"/>
      <c r="B56" s="14"/>
      <c r="C56" s="134" t="s">
        <v>1826</v>
      </c>
      <c r="D56" s="14"/>
      <c r="E56" s="134" t="s">
        <v>194</v>
      </c>
      <c r="F56" s="134" t="s">
        <v>1827</v>
      </c>
      <c r="G56" s="134" t="s">
        <v>1889</v>
      </c>
      <c r="H56" s="380" t="s">
        <v>2052</v>
      </c>
      <c r="I56" s="134" t="s">
        <v>1158</v>
      </c>
      <c r="J56" s="134" t="s">
        <v>187</v>
      </c>
      <c r="K56" s="14"/>
      <c r="L56" s="14"/>
    </row>
    <row r="57" spans="1:13">
      <c r="A57" s="14"/>
      <c r="B57" s="14"/>
      <c r="C57" s="626" t="s">
        <v>2901</v>
      </c>
      <c r="D57" s="584"/>
      <c r="E57" s="1185">
        <v>350000000</v>
      </c>
      <c r="F57" s="627">
        <v>40925</v>
      </c>
      <c r="G57" s="1185">
        <v>5957289</v>
      </c>
      <c r="H57" s="162">
        <v>10</v>
      </c>
      <c r="I57" s="580">
        <v>595728.9</v>
      </c>
      <c r="J57" s="104"/>
      <c r="K57" s="104"/>
      <c r="L57" s="104"/>
      <c r="M57" s="104"/>
    </row>
    <row r="58" spans="1:13">
      <c r="A58" s="14"/>
      <c r="B58" s="14"/>
      <c r="C58" s="626" t="s">
        <v>2902</v>
      </c>
      <c r="D58" s="584"/>
      <c r="E58" s="1185">
        <v>400000000</v>
      </c>
      <c r="F58" s="627">
        <v>41303</v>
      </c>
      <c r="G58" s="1185">
        <v>12972286</v>
      </c>
      <c r="H58" s="162">
        <v>30</v>
      </c>
      <c r="I58" s="580">
        <v>432409.53333333333</v>
      </c>
      <c r="J58" s="104"/>
      <c r="K58" s="104"/>
      <c r="L58" s="104"/>
      <c r="M58" s="104"/>
    </row>
    <row r="59" spans="1:13">
      <c r="A59" s="14"/>
      <c r="B59" s="14"/>
      <c r="C59" s="626" t="s">
        <v>2903</v>
      </c>
      <c r="D59" s="584"/>
      <c r="E59" s="1185">
        <v>275000000</v>
      </c>
      <c r="F59" s="627">
        <v>41704</v>
      </c>
      <c r="G59" s="1185">
        <v>6272358</v>
      </c>
      <c r="H59" s="162">
        <v>10</v>
      </c>
      <c r="I59" s="580">
        <v>627235.80000000005</v>
      </c>
      <c r="J59" s="104"/>
      <c r="K59" s="104"/>
      <c r="L59" s="104"/>
      <c r="M59" s="104"/>
    </row>
    <row r="60" spans="1:13">
      <c r="A60" s="14"/>
      <c r="B60" s="14"/>
      <c r="C60" s="626" t="s">
        <v>2904</v>
      </c>
      <c r="D60" s="1117"/>
      <c r="E60" s="1185">
        <v>325000000</v>
      </c>
      <c r="F60" s="627">
        <v>42240</v>
      </c>
      <c r="G60" s="1185">
        <v>6419578</v>
      </c>
      <c r="H60" s="162">
        <v>10</v>
      </c>
      <c r="I60" s="580">
        <v>641957.80000000005</v>
      </c>
      <c r="J60" s="104"/>
      <c r="K60" s="104"/>
      <c r="L60" s="104"/>
      <c r="M60" s="104"/>
    </row>
    <row r="61" spans="1:13">
      <c r="A61" s="14"/>
      <c r="B61" s="14"/>
      <c r="C61" s="1128" t="s">
        <v>2905</v>
      </c>
      <c r="D61" s="1117"/>
      <c r="E61" s="1185">
        <v>300000000</v>
      </c>
      <c r="F61" s="627">
        <v>42437</v>
      </c>
      <c r="G61" s="1185">
        <v>6959810</v>
      </c>
      <c r="H61" s="162">
        <v>10</v>
      </c>
      <c r="I61" s="580">
        <v>695981</v>
      </c>
      <c r="J61" s="1160"/>
      <c r="K61" s="104"/>
      <c r="L61" s="104"/>
      <c r="M61" s="104"/>
    </row>
    <row r="62" spans="1:13">
      <c r="A62" s="14"/>
      <c r="B62" s="14"/>
      <c r="C62" s="1128" t="s">
        <v>2975</v>
      </c>
      <c r="D62" s="1117"/>
      <c r="E62" s="1185">
        <v>475000000</v>
      </c>
      <c r="F62" s="627">
        <v>42912</v>
      </c>
      <c r="G62" s="553">
        <v>12800620</v>
      </c>
      <c r="H62" s="162">
        <v>30</v>
      </c>
      <c r="I62" s="1185">
        <v>213343.66666666666</v>
      </c>
      <c r="J62" s="1131" t="s">
        <v>2976</v>
      </c>
      <c r="K62" s="104"/>
      <c r="L62" s="104"/>
      <c r="M62" s="104"/>
    </row>
    <row r="63" spans="1:13">
      <c r="A63" s="14"/>
      <c r="B63" s="14"/>
      <c r="C63" s="661"/>
      <c r="D63" s="661"/>
      <c r="E63" s="14"/>
      <c r="F63" s="14"/>
      <c r="G63" s="14"/>
      <c r="H63" s="14"/>
      <c r="I63" s="510">
        <f>SUM(I57:I62)</f>
        <v>3206656.6999999997</v>
      </c>
      <c r="J63" s="517" t="s">
        <v>2055</v>
      </c>
      <c r="K63" s="14"/>
      <c r="L63" s="14"/>
      <c r="M63" s="14"/>
    </row>
    <row r="64" spans="1:13">
      <c r="A64" s="14"/>
      <c r="B64" s="517" t="s">
        <v>2420</v>
      </c>
      <c r="G64" s="14"/>
      <c r="H64" s="14"/>
      <c r="I64" s="14"/>
      <c r="J64" s="14"/>
      <c r="K64" s="14"/>
      <c r="L64" s="14"/>
      <c r="M64" s="14"/>
    </row>
    <row r="65" spans="1:13">
      <c r="A65" s="14"/>
      <c r="B65" s="514" t="s">
        <v>2053</v>
      </c>
      <c r="G65" s="14"/>
      <c r="H65" s="14"/>
      <c r="I65" s="14"/>
      <c r="J65" s="14"/>
      <c r="K65" s="14"/>
      <c r="L65" s="14"/>
      <c r="M65" s="14"/>
    </row>
    <row r="66" spans="1:13">
      <c r="A66" s="14"/>
      <c r="B66" s="14"/>
      <c r="G66" s="120" t="s">
        <v>1158</v>
      </c>
      <c r="H66" s="14"/>
      <c r="I66" s="14"/>
      <c r="J66" s="14"/>
      <c r="K66" s="14"/>
      <c r="L66" s="14"/>
      <c r="M66" s="14"/>
    </row>
    <row r="67" spans="1:13">
      <c r="A67" s="14"/>
      <c r="B67" s="14"/>
      <c r="C67" s="120"/>
      <c r="E67" s="625" t="s">
        <v>1890</v>
      </c>
      <c r="F67" s="120" t="s">
        <v>1158</v>
      </c>
      <c r="G67" s="120" t="s">
        <v>218</v>
      </c>
      <c r="H67" s="120" t="s">
        <v>1512</v>
      </c>
      <c r="I67" s="120"/>
      <c r="J67" s="14"/>
      <c r="K67" s="14"/>
      <c r="L67" s="14"/>
      <c r="M67" s="14"/>
    </row>
    <row r="68" spans="1:13">
      <c r="A68" s="14"/>
      <c r="B68" s="14"/>
      <c r="C68" s="134" t="s">
        <v>1891</v>
      </c>
      <c r="E68" s="134" t="s">
        <v>1827</v>
      </c>
      <c r="F68" s="134" t="s">
        <v>194</v>
      </c>
      <c r="G68" s="380" t="s">
        <v>2052</v>
      </c>
      <c r="H68" s="134" t="s">
        <v>1158</v>
      </c>
      <c r="I68" s="134" t="s">
        <v>187</v>
      </c>
      <c r="J68" s="14"/>
      <c r="K68" s="14"/>
      <c r="L68" s="14"/>
      <c r="M68" s="14"/>
    </row>
    <row r="69" spans="1:13">
      <c r="A69" s="14"/>
      <c r="B69" s="14"/>
      <c r="C69" s="626" t="s">
        <v>2906</v>
      </c>
      <c r="D69" s="1128"/>
      <c r="E69" s="628" t="s">
        <v>2907</v>
      </c>
      <c r="F69" s="1185">
        <v>-286600</v>
      </c>
      <c r="G69" s="162">
        <v>34</v>
      </c>
      <c r="H69" s="1185">
        <f>+F69/G69</f>
        <v>-8429.4117647058829</v>
      </c>
      <c r="I69" s="104" t="s">
        <v>2908</v>
      </c>
      <c r="J69" s="104"/>
      <c r="K69" s="104"/>
      <c r="L69" s="104"/>
      <c r="M69" s="104"/>
    </row>
    <row r="70" spans="1:13">
      <c r="A70" s="14"/>
      <c r="B70" s="14"/>
      <c r="C70" s="626" t="s">
        <v>2909</v>
      </c>
      <c r="D70" s="1128"/>
      <c r="E70" s="629" t="s">
        <v>2910</v>
      </c>
      <c r="F70" s="1185">
        <v>6247500</v>
      </c>
      <c r="G70" s="162">
        <v>34</v>
      </c>
      <c r="H70" s="1185">
        <f>+F70/G70</f>
        <v>183750</v>
      </c>
      <c r="I70" s="104" t="s">
        <v>2911</v>
      </c>
      <c r="J70" s="104"/>
      <c r="K70" s="104"/>
      <c r="L70" s="104"/>
      <c r="M70" s="104"/>
    </row>
    <row r="71" spans="1:13" s="1158" customFormat="1">
      <c r="A71" s="14"/>
      <c r="B71" s="14"/>
      <c r="C71" s="626" t="s">
        <v>2909</v>
      </c>
      <c r="D71" s="1128"/>
      <c r="E71" s="629" t="s">
        <v>2910</v>
      </c>
      <c r="F71" s="1185">
        <v>1025000</v>
      </c>
      <c r="G71" s="162">
        <v>34</v>
      </c>
      <c r="H71" s="1185">
        <f>+F71/G71</f>
        <v>30147.058823529413</v>
      </c>
      <c r="I71" s="104" t="s">
        <v>2912</v>
      </c>
      <c r="J71" s="104"/>
      <c r="K71" s="104"/>
      <c r="L71" s="104"/>
      <c r="M71" s="104"/>
    </row>
    <row r="72" spans="1:13" s="1158" customFormat="1">
      <c r="A72" s="14"/>
      <c r="B72" s="14"/>
      <c r="C72" s="626" t="s">
        <v>2913</v>
      </c>
      <c r="D72" s="1128"/>
      <c r="E72" s="1309">
        <v>41076</v>
      </c>
      <c r="F72" s="553">
        <v>0</v>
      </c>
      <c r="G72" s="773">
        <v>0</v>
      </c>
      <c r="H72" s="553">
        <v>0</v>
      </c>
      <c r="I72" s="1160" t="s">
        <v>2914</v>
      </c>
      <c r="J72" s="1160"/>
      <c r="K72" s="104"/>
      <c r="L72" s="104"/>
      <c r="M72" s="104"/>
    </row>
    <row r="73" spans="1:13" s="1158" customFormat="1">
      <c r="A73" s="14"/>
      <c r="B73" s="14"/>
      <c r="C73" s="626" t="s">
        <v>2915</v>
      </c>
      <c r="D73" s="1128"/>
      <c r="E73" s="1309">
        <v>41333</v>
      </c>
      <c r="F73" s="553">
        <v>2586350.9805555502</v>
      </c>
      <c r="G73" s="1310">
        <v>30</v>
      </c>
      <c r="H73" s="553">
        <f t="shared" ref="H73:H75" si="3">+F73/G73</f>
        <v>86211.699351851668</v>
      </c>
      <c r="I73" s="1160" t="s">
        <v>2916</v>
      </c>
      <c r="J73" s="1160"/>
      <c r="K73" s="104"/>
      <c r="L73" s="104"/>
      <c r="M73" s="104"/>
    </row>
    <row r="74" spans="1:13" s="1158" customFormat="1">
      <c r="A74" s="14"/>
      <c r="B74" s="14"/>
      <c r="C74" s="626" t="s">
        <v>2917</v>
      </c>
      <c r="D74" s="1128"/>
      <c r="E74" s="1309">
        <v>41333</v>
      </c>
      <c r="F74" s="553">
        <v>2886865.9722222402</v>
      </c>
      <c r="G74" s="1310">
        <v>30</v>
      </c>
      <c r="H74" s="553">
        <f t="shared" si="3"/>
        <v>96228.865740741341</v>
      </c>
      <c r="I74" s="1160" t="s">
        <v>2916</v>
      </c>
      <c r="J74" s="1160"/>
      <c r="K74" s="104"/>
      <c r="L74" s="104"/>
      <c r="M74" s="104"/>
    </row>
    <row r="75" spans="1:13">
      <c r="A75" s="14"/>
      <c r="B75" s="14"/>
      <c r="C75" s="1128" t="s">
        <v>2918</v>
      </c>
      <c r="D75" s="1128"/>
      <c r="E75" s="1309">
        <v>42460</v>
      </c>
      <c r="F75" s="553">
        <v>2147802.5000000098</v>
      </c>
      <c r="G75" s="1310">
        <v>10</v>
      </c>
      <c r="H75" s="553">
        <f t="shared" si="3"/>
        <v>214780.25000000099</v>
      </c>
      <c r="I75" s="1160" t="s">
        <v>2919</v>
      </c>
      <c r="J75" s="1160"/>
      <c r="K75" s="104"/>
      <c r="L75" s="104"/>
      <c r="M75" s="104"/>
    </row>
    <row r="76" spans="1:13" s="1158" customFormat="1">
      <c r="A76" s="14"/>
      <c r="B76" s="14"/>
      <c r="C76" s="1128" t="s">
        <v>2977</v>
      </c>
      <c r="D76" s="1128"/>
      <c r="E76" s="1309">
        <v>42935</v>
      </c>
      <c r="F76" s="553">
        <v>12749183.3444445</v>
      </c>
      <c r="G76" s="1310">
        <f>+$H$62</f>
        <v>30</v>
      </c>
      <c r="H76" s="553">
        <f>+F76/G76*(5/12)</f>
        <v>177071.99089506251</v>
      </c>
      <c r="I76" s="1160" t="s">
        <v>2978</v>
      </c>
      <c r="J76" s="1160"/>
      <c r="K76" s="104"/>
      <c r="L76" s="104"/>
      <c r="M76" s="104"/>
    </row>
    <row r="77" spans="1:13">
      <c r="A77" s="14"/>
      <c r="B77" s="14"/>
      <c r="C77" s="661"/>
      <c r="D77" s="661"/>
      <c r="E77" s="14"/>
      <c r="F77" s="14"/>
      <c r="G77" s="14"/>
      <c r="H77" s="510">
        <f>SUM(H69:H76)</f>
        <v>779760.45304647996</v>
      </c>
      <c r="I77" s="517" t="s">
        <v>2054</v>
      </c>
      <c r="J77" s="14"/>
      <c r="K77" s="14"/>
      <c r="L77" s="14"/>
      <c r="M77" s="14"/>
    </row>
    <row r="78" spans="1:13">
      <c r="A78" s="14"/>
      <c r="B78" s="14"/>
      <c r="C78" s="14"/>
      <c r="D78" s="14"/>
      <c r="E78" s="14"/>
      <c r="F78" s="14"/>
      <c r="G78" s="14"/>
      <c r="H78" s="14"/>
      <c r="I78" s="14"/>
      <c r="J78" s="14"/>
      <c r="K78" s="14"/>
      <c r="L78" s="14"/>
      <c r="M78" s="14"/>
    </row>
    <row r="79" spans="1:13">
      <c r="A79" s="14"/>
      <c r="B79" s="517" t="s">
        <v>2423</v>
      </c>
      <c r="C79" s="14"/>
      <c r="D79" s="14"/>
      <c r="E79" s="14"/>
      <c r="F79" s="14"/>
      <c r="G79" s="14"/>
      <c r="H79" s="14"/>
      <c r="I79" s="14"/>
      <c r="J79" s="14"/>
      <c r="K79" s="14"/>
      <c r="L79" s="14"/>
      <c r="M79" s="14"/>
    </row>
    <row r="80" spans="1:13">
      <c r="A80" s="14"/>
      <c r="B80" s="517" t="s">
        <v>2424</v>
      </c>
      <c r="C80" s="14"/>
      <c r="D80" s="14"/>
      <c r="E80" s="14"/>
      <c r="F80" s="14"/>
      <c r="G80" s="14"/>
      <c r="H80" s="14"/>
      <c r="I80" s="14"/>
      <c r="J80" s="14"/>
      <c r="K80" s="14"/>
      <c r="L80" s="14"/>
      <c r="M80" s="14"/>
    </row>
    <row r="81" spans="1:13">
      <c r="A81" s="14"/>
      <c r="B81" s="517" t="s">
        <v>2425</v>
      </c>
      <c r="C81" s="14"/>
      <c r="D81" s="14"/>
      <c r="E81" s="14"/>
      <c r="F81" s="14"/>
      <c r="G81" s="14"/>
      <c r="H81" s="14"/>
      <c r="I81" s="14"/>
      <c r="J81" s="14"/>
      <c r="K81" s="14"/>
      <c r="L81" s="14"/>
      <c r="M81" s="14"/>
    </row>
  </sheetData>
  <pageMargins left="0.7" right="0.7" top="0.75" bottom="0.75" header="0.3" footer="0.3"/>
  <pageSetup scale="57" fitToHeight="0" orientation="landscape" cellComments="asDisplayed" r:id="rId1"/>
  <headerFooter>
    <oddHeader>&amp;CSchedule 5 ROR-2
Return and Capitalization
&amp;RTO2019 Draft Annual Update
Attachment 5
TO13 True Up TRR</oddHeader>
    <oddFooter>&amp;R5-ROR-2</oddFooter>
  </headerFooter>
  <rowBreaks count="1" manualBreakCount="1">
    <brk id="41"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0" ma:contentTypeDescription="Create a new document." ma:contentTypeScope="" ma:versionID="94dbe26ae28c4d0caa5a3065fb91cf85">
  <xsd:schema xmlns:xsd="http://www.w3.org/2001/XMLSchema" xmlns:xs="http://www.w3.org/2001/XMLSchema" xmlns:p="http://schemas.microsoft.com/office/2006/metadata/properties" targetNamespace="http://schemas.microsoft.com/office/2006/metadata/properties" ma:root="true" ma:fieldsID="aae12c555ce7ed9979d5a752b5dc44a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CA6499-2499-4CF8-A727-C041EEB073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299C4E3-15D5-4A2C-AC70-665DEFC48B0F}">
  <ds:schemaRefs>
    <ds:schemaRef ds:uri="http://purl.org/dc/dcmityp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B1CF0033-5637-49E8-B126-5457E18AF7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40</vt:i4>
      </vt:variant>
    </vt:vector>
  </HeadingPairs>
  <TitlesOfParts>
    <vt:vector size="79"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35-PBOPs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'34-UnfundedReserves'!Print_Area</vt:lpstr>
      <vt:lpstr>'35-PBOPs'!Print_Area</vt:lpstr>
      <vt:lpstr>'3-TrueUpAdjust'!Print_Area</vt:lpstr>
      <vt:lpstr>'4-TUTRR'!Print_Area</vt:lpstr>
      <vt:lpstr>'5-ROR-1'!Print_Area</vt:lpstr>
      <vt:lpstr>'5-ROR-2'!Print_Area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2018-06-11T21:55:57Z</cp:lastPrinted>
  <dcterms:created xsi:type="dcterms:W3CDTF">2009-02-27T16:01:11Z</dcterms:created>
  <dcterms:modified xsi:type="dcterms:W3CDTF">2018-06-12T22:38:30Z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ies>
</file>