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8 FERC Rate Case TO2018\Testimony &amp; Supporting Exhibits\"/>
    </mc:Choice>
  </mc:AlternateContent>
  <bookViews>
    <workbookView xWindow="-30" yWindow="120" windowWidth="13470" windowHeight="11865"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'21-RevenueCredits'!$A$1:$O$235</definedName>
    <definedName name="_xlnm.Print_Area" localSheetId="15">'10-CWIP'!$A$1:$K$412</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'14-IncentivePlant'!$A$1:$J$372</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'19-OandM'!$A$1:$L$153</definedName>
    <definedName name="_xlnm.Print_Area" localSheetId="3">'1-BaseTRR'!$A$1:$K$169</definedName>
    <definedName name="_xlnm.Print_Area" localSheetId="25">'20-AandG'!$A$1:$J$103</definedName>
    <definedName name="_xlnm.Print_Area" localSheetId="26">'21-RevenueCredits'!$A$1:$O$239</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'25-WholesaleDifference'!$A$1:$J$102</definedName>
    <definedName name="_xlnm.Print_Area" localSheetId="31">'26-TaxRates'!$A$1:$F$30</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'32-GrossLoad'!$A$1:$I$19</definedName>
    <definedName name="_xlnm.Print_Area" localSheetId="38">'33-RetailRates'!$A$1:$P$128</definedName>
    <definedName name="_xlnm.Print_Area" localSheetId="39">'34-UnfundedReserves'!$A$1:$K$39</definedName>
    <definedName name="_xlnm.Print_Area" localSheetId="5">'3-TrueUpAdjust'!$A$1:$L$142</definedName>
    <definedName name="_xlnm.Print_Area" localSheetId="6">'4-TUTRR'!$A$1:$J$108</definedName>
    <definedName name="_xlnm.Print_Area" localSheetId="7">'5-ROR-1'!$A$1:$L$57</definedName>
    <definedName name="_xlnm.Print_Area" localSheetId="8">'5-ROR-2'!$A$1:$P$60</definedName>
    <definedName name="_xlnm.Print_Area" localSheetId="9">'5-ROR-3'!$A$1:$M$197</definedName>
    <definedName name="_xlnm.Print_Area" localSheetId="10">'5-ROR-4'!$A$1:$M$71</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'9-ADIT'!$A$1:$J$180</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52511"/>
</workbook>
</file>

<file path=xl/calcChain.xml><?xml version="1.0" encoding="utf-8"?>
<calcChain xmlns="http://schemas.openxmlformats.org/spreadsheetml/2006/main">
  <c r="E95" i="11" l="1"/>
  <c r="E94" i="11"/>
  <c r="F6" i="80" l="1"/>
  <c r="F6" i="81" l="1"/>
  <c r="G36" i="65" l="1"/>
  <c r="E153" i="49" l="1"/>
  <c r="A120" i="15" l="1"/>
  <c r="A77" i="15" l="1"/>
  <c r="H56" i="81" l="1"/>
  <c r="H55" i="81"/>
  <c r="I55" i="81" s="1"/>
  <c r="J55" i="81" s="1"/>
  <c r="K55" i="81" s="1"/>
  <c r="H52" i="81"/>
  <c r="H51" i="81"/>
  <c r="H50" i="81"/>
  <c r="H49" i="81"/>
  <c r="H48" i="81"/>
  <c r="G55" i="81"/>
  <c r="I63" i="1" l="1"/>
  <c r="F11" i="81" l="1"/>
  <c r="A83" i="81"/>
  <c r="A28" i="28" l="1"/>
  <c r="A10" i="28"/>
  <c r="A11" i="28" s="1"/>
  <c r="A12" i="28" s="1"/>
  <c r="A13" i="28" s="1"/>
  <c r="A14" i="28" s="1"/>
  <c r="A15" i="28" s="1"/>
  <c r="A16" i="28" s="1"/>
  <c r="A17" i="28" s="1"/>
  <c r="A18" i="28" s="1"/>
  <c r="A19" i="28" s="1"/>
  <c r="C38" i="72"/>
  <c r="C36" i="72"/>
  <c r="C34" i="72"/>
  <c r="C32" i="72"/>
  <c r="C30" i="72"/>
  <c r="C28" i="72"/>
  <c r="C26" i="72"/>
  <c r="C24" i="72"/>
  <c r="C22" i="72"/>
  <c r="C20" i="72"/>
  <c r="C18" i="72"/>
  <c r="C16" i="72"/>
  <c r="C14" i="72"/>
  <c r="C12" i="72"/>
  <c r="A12" i="72"/>
  <c r="A14" i="72" s="1"/>
  <c r="A16" i="72" s="1"/>
  <c r="A18" i="72" s="1"/>
  <c r="A20" i="72" s="1"/>
  <c r="A22" i="72" s="1"/>
  <c r="A24" i="72" s="1"/>
  <c r="A26" i="72" s="1"/>
  <c r="A28" i="72" s="1"/>
  <c r="A30" i="72" s="1"/>
  <c r="A32" i="72" s="1"/>
  <c r="C10" i="72"/>
  <c r="A10" i="72"/>
  <c r="C8" i="72"/>
  <c r="A34" i="72" l="1"/>
  <c r="A36" i="72" s="1"/>
  <c r="A38" i="72" s="1"/>
  <c r="J30" i="28"/>
  <c r="M45" i="48"/>
  <c r="K70" i="1" l="1"/>
  <c r="I70" i="1"/>
  <c r="I64" i="1"/>
  <c r="J32" i="28" l="1"/>
  <c r="J31" i="28"/>
  <c r="J29" i="28"/>
  <c r="J28" i="28"/>
  <c r="J24" i="28"/>
  <c r="J23" i="28"/>
  <c r="J22" i="28"/>
  <c r="J18" i="28"/>
  <c r="J17" i="28"/>
  <c r="J15" i="28"/>
  <c r="J14" i="28"/>
  <c r="J13" i="28"/>
  <c r="J12" i="28"/>
  <c r="J11" i="28"/>
  <c r="J10" i="28"/>
  <c r="J9" i="28"/>
  <c r="J8" i="28"/>
  <c r="L32" i="28"/>
  <c r="L31" i="28"/>
  <c r="L29" i="28"/>
  <c r="L28" i="28"/>
  <c r="L24" i="28"/>
  <c r="L23" i="28"/>
  <c r="L22" i="28"/>
  <c r="L18" i="28"/>
  <c r="L17" i="28"/>
  <c r="L15" i="28"/>
  <c r="L14" i="28"/>
  <c r="L16" i="28" s="1"/>
  <c r="L13" i="28"/>
  <c r="L12" i="28"/>
  <c r="L11" i="28"/>
  <c r="L10" i="28"/>
  <c r="L9" i="28"/>
  <c r="L8" i="28"/>
  <c r="A29" i="28"/>
  <c r="A30" i="28" s="1"/>
  <c r="A31" i="28" s="1"/>
  <c r="A32" i="28" s="1"/>
  <c r="L30" i="28"/>
  <c r="L25" i="28"/>
  <c r="K68" i="1" s="1"/>
  <c r="K69" i="1" s="1"/>
  <c r="A9" i="28"/>
  <c r="L33" i="28" l="1"/>
  <c r="K73" i="1" s="1"/>
  <c r="L19" i="28"/>
  <c r="K63" i="1" s="1"/>
  <c r="J33" i="28"/>
  <c r="A33" i="28"/>
  <c r="I73" i="1" s="1"/>
  <c r="A22" i="28" l="1"/>
  <c r="J19" i="28"/>
  <c r="J16" i="28"/>
  <c r="J25" i="28" l="1"/>
  <c r="I29" i="28"/>
  <c r="A23" i="28"/>
  <c r="A24" i="28" s="1"/>
  <c r="A25" i="28" l="1"/>
  <c r="I68" i="1" s="1"/>
  <c r="I30" i="28"/>
  <c r="G71" i="80" l="1"/>
  <c r="E71" i="80"/>
  <c r="G66" i="80"/>
  <c r="G65" i="80"/>
  <c r="G64" i="80"/>
  <c r="G63" i="80"/>
  <c r="G62" i="80"/>
  <c r="A62" i="80"/>
  <c r="A63" i="80" s="1"/>
  <c r="A64" i="80" s="1"/>
  <c r="A65" i="80" s="1"/>
  <c r="A66" i="80" s="1"/>
  <c r="A67" i="80" s="1"/>
  <c r="A68" i="80" s="1"/>
  <c r="A69" i="80" s="1"/>
  <c r="A70" i="80" s="1"/>
  <c r="A71" i="80" s="1"/>
  <c r="G61" i="80"/>
  <c r="A61" i="80"/>
  <c r="G60" i="80"/>
  <c r="A43" i="80"/>
  <c r="A44" i="80" s="1"/>
  <c r="A45" i="80" s="1"/>
  <c r="A46" i="80" s="1"/>
  <c r="A47" i="80" s="1"/>
  <c r="A48" i="80" s="1"/>
  <c r="A49" i="80" s="1"/>
  <c r="A50" i="80" s="1"/>
  <c r="A51" i="80" s="1"/>
  <c r="A42" i="80"/>
  <c r="E33" i="80"/>
  <c r="E10" i="80" s="1"/>
  <c r="E12" i="80" s="1"/>
  <c r="F31" i="80"/>
  <c r="G31" i="80" s="1"/>
  <c r="F30" i="80"/>
  <c r="G30" i="80" s="1"/>
  <c r="F29" i="80"/>
  <c r="G29" i="80" s="1"/>
  <c r="F28" i="80"/>
  <c r="G28" i="80" s="1"/>
  <c r="F27" i="80"/>
  <c r="G27" i="80" s="1"/>
  <c r="F26" i="80"/>
  <c r="G26" i="80" s="1"/>
  <c r="F25" i="80"/>
  <c r="G25" i="80" s="1"/>
  <c r="F24" i="80"/>
  <c r="G24" i="80" s="1"/>
  <c r="F23" i="80"/>
  <c r="G23" i="80" s="1"/>
  <c r="A23" i="80"/>
  <c r="A24" i="80" s="1"/>
  <c r="A25" i="80" s="1"/>
  <c r="A26" i="80" s="1"/>
  <c r="A27" i="80" s="1"/>
  <c r="A28" i="80" s="1"/>
  <c r="A29" i="80" s="1"/>
  <c r="A30" i="80" s="1"/>
  <c r="A31" i="80" s="1"/>
  <c r="A32" i="80" s="1"/>
  <c r="A33" i="80" s="1"/>
  <c r="F22" i="80"/>
  <c r="G22" i="80" s="1"/>
  <c r="E11" i="80"/>
  <c r="A9" i="80"/>
  <c r="A10" i="80" s="1"/>
  <c r="A11" i="80" s="1"/>
  <c r="A12" i="80" s="1"/>
  <c r="A13" i="80" s="1"/>
  <c r="A14" i="80" s="1"/>
  <c r="A8" i="80"/>
  <c r="E7" i="80"/>
  <c r="A7" i="80"/>
  <c r="D193" i="81"/>
  <c r="E7" i="81" s="1"/>
  <c r="C193" i="81"/>
  <c r="A136" i="8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9" i="81" s="1"/>
  <c r="A180" i="81" s="1"/>
  <c r="A181" i="81" s="1"/>
  <c r="A182" i="81" s="1"/>
  <c r="A183" i="81" s="1"/>
  <c r="A184" i="81" s="1"/>
  <c r="A185" i="81" s="1"/>
  <c r="A186" i="81" s="1"/>
  <c r="A187" i="81" s="1"/>
  <c r="A188" i="81" s="1"/>
  <c r="A189" i="81" s="1"/>
  <c r="A190" i="81" s="1"/>
  <c r="A191" i="81" s="1"/>
  <c r="A103" i="8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99" i="81"/>
  <c r="A100" i="81" s="1"/>
  <c r="A101" i="81" s="1"/>
  <c r="A102" i="81" s="1"/>
  <c r="A97" i="81"/>
  <c r="A98" i="81" s="1"/>
  <c r="F83" i="81"/>
  <c r="E11" i="81" s="1"/>
  <c r="A82" i="81"/>
  <c r="A80" i="81"/>
  <c r="A81" i="81" s="1"/>
  <c r="F72" i="81"/>
  <c r="I56" i="81"/>
  <c r="G56" i="81"/>
  <c r="I52" i="81"/>
  <c r="G52" i="81"/>
  <c r="I51" i="81"/>
  <c r="G51" i="81"/>
  <c r="I50" i="81"/>
  <c r="G50" i="81"/>
  <c r="I49" i="81"/>
  <c r="G49" i="81"/>
  <c r="I48" i="81"/>
  <c r="G48" i="81"/>
  <c r="H46" i="81"/>
  <c r="I46" i="81" s="1"/>
  <c r="G46" i="81"/>
  <c r="H45" i="81"/>
  <c r="I45" i="81" s="1"/>
  <c r="G45" i="81"/>
  <c r="H44" i="81"/>
  <c r="I44" i="81" s="1"/>
  <c r="G44" i="81"/>
  <c r="H43" i="81"/>
  <c r="I43" i="81" s="1"/>
  <c r="G43" i="81"/>
  <c r="H42" i="81"/>
  <c r="I42" i="81" s="1"/>
  <c r="G42" i="81"/>
  <c r="H41" i="81"/>
  <c r="I41" i="81" s="1"/>
  <c r="G41" i="81"/>
  <c r="H40" i="81"/>
  <c r="I40" i="81" s="1"/>
  <c r="G40" i="81"/>
  <c r="H39" i="81"/>
  <c r="I39" i="81" s="1"/>
  <c r="G39" i="81"/>
  <c r="H38" i="81"/>
  <c r="I38" i="81" s="1"/>
  <c r="G38" i="81"/>
  <c r="I37" i="81"/>
  <c r="H37" i="81"/>
  <c r="G37" i="81"/>
  <c r="H36" i="81"/>
  <c r="I36" i="81" s="1"/>
  <c r="G36" i="81"/>
  <c r="H35" i="81"/>
  <c r="I35" i="81" s="1"/>
  <c r="G35" i="81"/>
  <c r="H34" i="81"/>
  <c r="I34" i="81" s="1"/>
  <c r="G34" i="81"/>
  <c r="H33" i="81"/>
  <c r="I33" i="81" s="1"/>
  <c r="G33" i="81"/>
  <c r="H32" i="81"/>
  <c r="I32" i="81" s="1"/>
  <c r="G32" i="81"/>
  <c r="H31" i="81"/>
  <c r="I31" i="81" s="1"/>
  <c r="G31" i="81"/>
  <c r="H30" i="81"/>
  <c r="I30" i="81" s="1"/>
  <c r="G30" i="81"/>
  <c r="H29" i="81"/>
  <c r="I29" i="81" s="1"/>
  <c r="G29" i="81"/>
  <c r="H28" i="81"/>
  <c r="I28" i="81" s="1"/>
  <c r="G28" i="81"/>
  <c r="H27" i="81"/>
  <c r="I27" i="81" s="1"/>
  <c r="G27" i="81"/>
  <c r="H26" i="81"/>
  <c r="I26" i="81" s="1"/>
  <c r="G26" i="81"/>
  <c r="H25" i="81"/>
  <c r="I25" i="81" s="1"/>
  <c r="G25" i="81"/>
  <c r="H24" i="81"/>
  <c r="I24" i="81" s="1"/>
  <c r="G24" i="81"/>
  <c r="H23" i="81"/>
  <c r="I23" i="81" s="1"/>
  <c r="G23" i="81"/>
  <c r="A23" i="8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H22" i="81"/>
  <c r="I22" i="81" s="1"/>
  <c r="J22" i="81" s="1"/>
  <c r="G22" i="81"/>
  <c r="F12" i="81"/>
  <c r="E12" i="81"/>
  <c r="F10" i="81"/>
  <c r="E10" i="81"/>
  <c r="A8" i="81"/>
  <c r="A9" i="81" s="1"/>
  <c r="A10" i="81" s="1"/>
  <c r="A11" i="81" s="1"/>
  <c r="A12" i="81" s="1"/>
  <c r="A13" i="81" s="1"/>
  <c r="A14" i="81" s="1"/>
  <c r="A15" i="81" s="1"/>
  <c r="I65" i="1" s="1"/>
  <c r="F7" i="81"/>
  <c r="A7" i="81"/>
  <c r="J25" i="81" l="1"/>
  <c r="K25" i="81" s="1"/>
  <c r="J27" i="81"/>
  <c r="K27" i="81" s="1"/>
  <c r="J41" i="81"/>
  <c r="K41" i="81" s="1"/>
  <c r="J43" i="81"/>
  <c r="K43" i="81" s="1"/>
  <c r="K22" i="81"/>
  <c r="J49" i="81"/>
  <c r="K49" i="81" s="1"/>
  <c r="J24" i="81"/>
  <c r="K24" i="81" s="1"/>
  <c r="J33" i="81"/>
  <c r="K33" i="81" s="1"/>
  <c r="J35" i="81"/>
  <c r="K35" i="81" s="1"/>
  <c r="E13" i="81"/>
  <c r="J26" i="81"/>
  <c r="K26" i="81" s="1"/>
  <c r="J42" i="81"/>
  <c r="K42" i="81" s="1"/>
  <c r="J50" i="81"/>
  <c r="K50" i="81" s="1"/>
  <c r="J51" i="81"/>
  <c r="K51" i="81" s="1"/>
  <c r="J28" i="81"/>
  <c r="K28" i="81" s="1"/>
  <c r="J29" i="81"/>
  <c r="K29" i="81" s="1"/>
  <c r="J37" i="81"/>
  <c r="K37" i="81" s="1"/>
  <c r="J45" i="81"/>
  <c r="K45" i="81" s="1"/>
  <c r="J56" i="81"/>
  <c r="K56" i="81" s="1"/>
  <c r="J23" i="81"/>
  <c r="K23" i="81" s="1"/>
  <c r="J30" i="81"/>
  <c r="K30" i="81" s="1"/>
  <c r="J31" i="81"/>
  <c r="K31" i="81" s="1"/>
  <c r="J39" i="81"/>
  <c r="K39" i="81" s="1"/>
  <c r="J46" i="81"/>
  <c r="K46" i="81" s="1"/>
  <c r="F10" i="80"/>
  <c r="I26" i="80"/>
  <c r="J26" i="80" s="1"/>
  <c r="H26" i="80"/>
  <c r="I30" i="80"/>
  <c r="J30" i="80" s="1"/>
  <c r="H30" i="80"/>
  <c r="F11" i="80"/>
  <c r="F7" i="80"/>
  <c r="I23" i="80"/>
  <c r="J23" i="80" s="1"/>
  <c r="H23" i="80"/>
  <c r="I27" i="80"/>
  <c r="J27" i="80" s="1"/>
  <c r="H27" i="80"/>
  <c r="I31" i="80"/>
  <c r="J31" i="80" s="1"/>
  <c r="H31" i="80"/>
  <c r="I24" i="80"/>
  <c r="J24" i="80" s="1"/>
  <c r="H24" i="80"/>
  <c r="I28" i="80"/>
  <c r="J28" i="80" s="1"/>
  <c r="H28" i="80"/>
  <c r="I22" i="80"/>
  <c r="J22" i="80" s="1"/>
  <c r="H22" i="80"/>
  <c r="I25" i="80"/>
  <c r="J25" i="80" s="1"/>
  <c r="H25" i="80"/>
  <c r="I29" i="80"/>
  <c r="J29" i="80" s="1"/>
  <c r="H29" i="80"/>
  <c r="J32" i="81"/>
  <c r="K32" i="81" s="1"/>
  <c r="J34" i="81"/>
  <c r="K34" i="81" s="1"/>
  <c r="J36" i="81"/>
  <c r="K36" i="81" s="1"/>
  <c r="J38" i="81"/>
  <c r="K38" i="81" s="1"/>
  <c r="J40" i="81"/>
  <c r="K40" i="81" s="1"/>
  <c r="J44" i="81"/>
  <c r="K44" i="81" s="1"/>
  <c r="J48" i="81"/>
  <c r="K48" i="81" s="1"/>
  <c r="J52" i="81"/>
  <c r="K52" i="81" s="1"/>
  <c r="K72" i="81" l="1"/>
  <c r="E6" i="81" s="1"/>
  <c r="E8" i="81" s="1"/>
  <c r="E15" i="81" s="1"/>
  <c r="K65" i="1" s="1"/>
  <c r="K64" i="1" s="1"/>
  <c r="J33" i="80"/>
  <c r="E6" i="80" s="1"/>
  <c r="E8" i="80" s="1"/>
  <c r="E14" i="80" s="1"/>
  <c r="E139" i="15" l="1"/>
  <c r="J139" i="15" s="1"/>
  <c r="H139" i="15"/>
  <c r="G139" i="15"/>
  <c r="G140" i="15" s="1"/>
  <c r="H140" i="15" s="1"/>
  <c r="G141" i="15" l="1"/>
  <c r="H141" i="15" s="1"/>
  <c r="G25" i="46"/>
  <c r="G142" i="15" l="1"/>
  <c r="H142" i="15" s="1"/>
  <c r="G143" i="15" l="1"/>
  <c r="H143" i="15" s="1"/>
  <c r="G144" i="15" l="1"/>
  <c r="H144" i="15" s="1"/>
  <c r="F70" i="26"/>
  <c r="E70" i="26"/>
  <c r="F102" i="8"/>
  <c r="F97" i="8"/>
  <c r="G145" i="15" l="1"/>
  <c r="H145" i="15" s="1"/>
  <c r="G146" i="15" l="1"/>
  <c r="H146" i="15" s="1"/>
  <c r="G147" i="15" l="1"/>
  <c r="H147" i="15" s="1"/>
  <c r="E6" i="66"/>
  <c r="E12" i="66"/>
  <c r="E18" i="66"/>
  <c r="H121" i="61"/>
  <c r="N121" i="61" s="1"/>
  <c r="H63" i="61"/>
  <c r="G63" i="61" s="1"/>
  <c r="H62" i="61"/>
  <c r="G62" i="61" s="1"/>
  <c r="N123" i="61"/>
  <c r="N122" i="61"/>
  <c r="N120" i="61"/>
  <c r="N119" i="61"/>
  <c r="N118" i="61"/>
  <c r="N178" i="61"/>
  <c r="J178" i="61"/>
  <c r="M178" i="61" s="1"/>
  <c r="G178" i="61"/>
  <c r="I178" i="61" s="1"/>
  <c r="N177" i="61"/>
  <c r="J177" i="61"/>
  <c r="M177" i="61" s="1"/>
  <c r="G177" i="61"/>
  <c r="I177" i="61" s="1"/>
  <c r="N148" i="61"/>
  <c r="J148" i="61"/>
  <c r="M148" i="61" s="1"/>
  <c r="G148" i="61"/>
  <c r="I148" i="61" s="1"/>
  <c r="N147" i="61"/>
  <c r="J147" i="61"/>
  <c r="M147" i="61" s="1"/>
  <c r="G147" i="61"/>
  <c r="I147" i="61" s="1"/>
  <c r="N146" i="61"/>
  <c r="J146" i="61"/>
  <c r="M146" i="61" s="1"/>
  <c r="G146" i="61"/>
  <c r="I146" i="61" s="1"/>
  <c r="E133" i="61"/>
  <c r="E132" i="61"/>
  <c r="J123" i="61"/>
  <c r="M123" i="61" s="1"/>
  <c r="G123" i="61"/>
  <c r="H123" i="61" s="1"/>
  <c r="I123" i="61" s="1"/>
  <c r="J122" i="61"/>
  <c r="M122" i="61" s="1"/>
  <c r="G122" i="61"/>
  <c r="I122" i="61" s="1"/>
  <c r="J121" i="61"/>
  <c r="M121" i="61" s="1"/>
  <c r="J120" i="61"/>
  <c r="M120" i="61" s="1"/>
  <c r="G120" i="61"/>
  <c r="I120" i="61" s="1"/>
  <c r="J119" i="61"/>
  <c r="M119" i="61" s="1"/>
  <c r="G119" i="61"/>
  <c r="I119" i="61" s="1"/>
  <c r="J118" i="61"/>
  <c r="M118" i="61" s="1"/>
  <c r="G118" i="61"/>
  <c r="I118" i="61" s="1"/>
  <c r="J63" i="61"/>
  <c r="M63" i="61" s="1"/>
  <c r="J62" i="61"/>
  <c r="M62" i="61" s="1"/>
  <c r="N63" i="61"/>
  <c r="E56" i="61"/>
  <c r="N62" i="61" l="1"/>
  <c r="G148" i="15"/>
  <c r="H148" i="15" s="1"/>
  <c r="G121" i="61"/>
  <c r="G149" i="15" l="1"/>
  <c r="H149" i="15" s="1"/>
  <c r="G150" i="15" l="1"/>
  <c r="H150" i="15" s="1"/>
  <c r="B145" i="21"/>
  <c r="M106" i="21"/>
  <c r="L106" i="21"/>
  <c r="K106" i="21"/>
  <c r="J106" i="21"/>
  <c r="I106" i="21"/>
  <c r="H106" i="21"/>
  <c r="G106" i="21"/>
  <c r="F106" i="21"/>
  <c r="E106" i="21"/>
  <c r="D106" i="21"/>
  <c r="E45" i="21"/>
  <c r="F58" i="21" s="1"/>
  <c r="E44" i="21"/>
  <c r="A44" i="21"/>
  <c r="F35" i="21"/>
  <c r="E35" i="21"/>
  <c r="D35" i="21"/>
  <c r="A35" i="21"/>
  <c r="G34" i="21"/>
  <c r="G33" i="21"/>
  <c r="N24" i="21"/>
  <c r="A13" i="21"/>
  <c r="A14" i="21" s="1"/>
  <c r="A15" i="21" s="1"/>
  <c r="A16" i="21" s="1"/>
  <c r="A17" i="21" s="1"/>
  <c r="A18" i="21" s="1"/>
  <c r="A19" i="21" s="1"/>
  <c r="A20" i="21" s="1"/>
  <c r="A21" i="21" s="1"/>
  <c r="A22" i="21" s="1"/>
  <c r="A23" i="21" s="1"/>
  <c r="A24" i="21" s="1"/>
  <c r="N12" i="21"/>
  <c r="G151" i="15" l="1"/>
  <c r="H151" i="15" s="1"/>
  <c r="E46" i="21"/>
  <c r="F51" i="21" s="1"/>
  <c r="G35" i="21"/>
  <c r="B148" i="21"/>
  <c r="A25" i="21"/>
  <c r="A33" i="21" s="1"/>
  <c r="N106" i="21"/>
  <c r="H46" i="21"/>
  <c r="A45" i="21"/>
  <c r="E23" i="4"/>
  <c r="F23" i="4"/>
  <c r="G23" i="4"/>
  <c r="H23" i="4"/>
  <c r="I23" i="4"/>
  <c r="J23" i="4"/>
  <c r="K23" i="4"/>
  <c r="L23" i="4"/>
  <c r="L85" i="4"/>
  <c r="K85" i="4"/>
  <c r="J85" i="4"/>
  <c r="I85" i="4"/>
  <c r="H85" i="4"/>
  <c r="G85" i="4"/>
  <c r="F85" i="4"/>
  <c r="E85" i="4"/>
  <c r="M85" i="4" s="1"/>
  <c r="D92" i="4"/>
  <c r="B144" i="21" l="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C159" i="4" s="1"/>
  <c r="L139" i="4"/>
  <c r="K139" i="4"/>
  <c r="J139" i="4"/>
  <c r="I139" i="4"/>
  <c r="H139" i="4"/>
  <c r="G139" i="4"/>
  <c r="F139" i="4"/>
  <c r="E139" i="4"/>
  <c r="D139" i="4"/>
  <c r="C139" i="4"/>
  <c r="L138" i="4"/>
  <c r="K138" i="4"/>
  <c r="K157" i="4" s="1"/>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C155" i="4" s="1"/>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D152" i="4" s="1"/>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C160" i="4" s="1"/>
  <c r="L102" i="4"/>
  <c r="K102" i="4"/>
  <c r="J102" i="4"/>
  <c r="I102" i="4"/>
  <c r="I159" i="4" s="1"/>
  <c r="H102" i="4"/>
  <c r="G102" i="4"/>
  <c r="F102" i="4"/>
  <c r="E102" i="4"/>
  <c r="E159" i="4" s="1"/>
  <c r="D102" i="4"/>
  <c r="C102" i="4"/>
  <c r="L101" i="4"/>
  <c r="K101" i="4"/>
  <c r="J101" i="4"/>
  <c r="I101" i="4"/>
  <c r="H101" i="4"/>
  <c r="G101" i="4"/>
  <c r="G158" i="4" s="1"/>
  <c r="F101" i="4"/>
  <c r="E101" i="4"/>
  <c r="D101" i="4"/>
  <c r="C101" i="4"/>
  <c r="L100" i="4"/>
  <c r="K100" i="4"/>
  <c r="J100" i="4"/>
  <c r="I100" i="4"/>
  <c r="I157" i="4" s="1"/>
  <c r="H100" i="4"/>
  <c r="G100" i="4"/>
  <c r="G157" i="4" s="1"/>
  <c r="F100" i="4"/>
  <c r="E100" i="4"/>
  <c r="E157" i="4" s="1"/>
  <c r="D100" i="4"/>
  <c r="C100" i="4"/>
  <c r="L99" i="4"/>
  <c r="K99" i="4"/>
  <c r="K156" i="4" s="1"/>
  <c r="J99" i="4"/>
  <c r="I99" i="4"/>
  <c r="H99" i="4"/>
  <c r="G99" i="4"/>
  <c r="G156" i="4" s="1"/>
  <c r="F99" i="4"/>
  <c r="E99" i="4"/>
  <c r="D99" i="4"/>
  <c r="C99" i="4"/>
  <c r="L98" i="4"/>
  <c r="K98" i="4"/>
  <c r="J98" i="4"/>
  <c r="I98" i="4"/>
  <c r="I155" i="4" s="1"/>
  <c r="H98" i="4"/>
  <c r="G98" i="4"/>
  <c r="F98" i="4"/>
  <c r="E98" i="4"/>
  <c r="E155" i="4" s="1"/>
  <c r="D98" i="4"/>
  <c r="C98" i="4"/>
  <c r="L97" i="4"/>
  <c r="K97" i="4"/>
  <c r="J97" i="4"/>
  <c r="I97" i="4"/>
  <c r="H97" i="4"/>
  <c r="G97" i="4"/>
  <c r="G154" i="4" s="1"/>
  <c r="F97" i="4"/>
  <c r="E97" i="4"/>
  <c r="D97" i="4"/>
  <c r="C97" i="4"/>
  <c r="C154" i="4" s="1"/>
  <c r="L96" i="4"/>
  <c r="K96" i="4"/>
  <c r="J96" i="4"/>
  <c r="I96" i="4"/>
  <c r="I153" i="4" s="1"/>
  <c r="H96" i="4"/>
  <c r="G96" i="4"/>
  <c r="F96" i="4"/>
  <c r="E96" i="4"/>
  <c r="E153" i="4" s="1"/>
  <c r="D96" i="4"/>
  <c r="C96" i="4"/>
  <c r="L95" i="4"/>
  <c r="L152" i="4" s="1"/>
  <c r="K95" i="4"/>
  <c r="K152" i="4" s="1"/>
  <c r="J95" i="4"/>
  <c r="I95" i="4"/>
  <c r="H95" i="4"/>
  <c r="G95" i="4"/>
  <c r="G152" i="4" s="1"/>
  <c r="F95" i="4"/>
  <c r="E95" i="4"/>
  <c r="D95" i="4"/>
  <c r="C95" i="4"/>
  <c r="C152" i="4" s="1"/>
  <c r="L94" i="4"/>
  <c r="K94" i="4"/>
  <c r="J94" i="4"/>
  <c r="I94" i="4"/>
  <c r="I151" i="4" s="1"/>
  <c r="H94" i="4"/>
  <c r="G94" i="4"/>
  <c r="F94" i="4"/>
  <c r="E94" i="4"/>
  <c r="E151" i="4" s="1"/>
  <c r="D94" i="4"/>
  <c r="C94" i="4"/>
  <c r="L93" i="4"/>
  <c r="K93" i="4"/>
  <c r="K150" i="4" s="1"/>
  <c r="J93" i="4"/>
  <c r="I93" i="4"/>
  <c r="H93" i="4"/>
  <c r="G93" i="4"/>
  <c r="G150" i="4" s="1"/>
  <c r="F93" i="4"/>
  <c r="E93" i="4"/>
  <c r="D93" i="4"/>
  <c r="C93" i="4"/>
  <c r="C150" i="4" s="1"/>
  <c r="L92" i="4"/>
  <c r="K92" i="4"/>
  <c r="J92" i="4"/>
  <c r="I92" i="4"/>
  <c r="I149" i="4" s="1"/>
  <c r="H92" i="4"/>
  <c r="G92" i="4"/>
  <c r="F92" i="4"/>
  <c r="E92" i="4"/>
  <c r="E149" i="4" s="1"/>
  <c r="C92" i="4"/>
  <c r="L103" i="4"/>
  <c r="K103" i="4"/>
  <c r="K160" i="4" s="1"/>
  <c r="I103" i="4"/>
  <c r="I160" i="4" s="1"/>
  <c r="H103" i="4"/>
  <c r="G103" i="4"/>
  <c r="G160" i="4" s="1"/>
  <c r="E103" i="4"/>
  <c r="E160" i="4" s="1"/>
  <c r="M84" i="4"/>
  <c r="M83" i="4"/>
  <c r="M82" i="4"/>
  <c r="M81" i="4"/>
  <c r="M80" i="4"/>
  <c r="M79" i="4"/>
  <c r="M78" i="4"/>
  <c r="M77" i="4"/>
  <c r="M76" i="4"/>
  <c r="M75" i="4"/>
  <c r="M74" i="4"/>
  <c r="M73" i="4"/>
  <c r="H53" i="4"/>
  <c r="F61" i="4" s="1"/>
  <c r="H52" i="4"/>
  <c r="E36" i="4"/>
  <c r="D36" i="4"/>
  <c r="C36" i="4"/>
  <c r="F35" i="4"/>
  <c r="F34" i="4"/>
  <c r="F36" i="4" s="1"/>
  <c r="A12" i="4"/>
  <c r="A13" i="4" s="1"/>
  <c r="A14" i="4" s="1"/>
  <c r="A15" i="4" s="1"/>
  <c r="A16" i="4" s="1"/>
  <c r="A17" i="4" s="1"/>
  <c r="A18" i="4" s="1"/>
  <c r="A19" i="4" s="1"/>
  <c r="A20" i="4" s="1"/>
  <c r="A21" i="4" s="1"/>
  <c r="A22" i="4" s="1"/>
  <c r="A23" i="4" s="1"/>
  <c r="M11" i="4"/>
  <c r="J149" i="4" l="1"/>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I161" i="4" s="1"/>
  <c r="I169" i="4" s="1"/>
  <c r="J92" i="21" s="1"/>
  <c r="C151" i="4"/>
  <c r="G151" i="4"/>
  <c r="K151" i="4"/>
  <c r="E152" i="4"/>
  <c r="I152" i="4"/>
  <c r="C153" i="4"/>
  <c r="M153" i="4" s="1"/>
  <c r="G153" i="4"/>
  <c r="K153" i="4"/>
  <c r="E154" i="4"/>
  <c r="I154" i="4"/>
  <c r="M154" i="4" s="1"/>
  <c r="G155" i="4"/>
  <c r="K155" i="4"/>
  <c r="E156" i="4"/>
  <c r="I156" i="4"/>
  <c r="C157" i="4"/>
  <c r="E158" i="4"/>
  <c r="I158" i="4"/>
  <c r="G159" i="4"/>
  <c r="K159" i="4"/>
  <c r="D142" i="4"/>
  <c r="D186" i="4" s="1"/>
  <c r="H142" i="4"/>
  <c r="H186" i="4" s="1"/>
  <c r="L142" i="4"/>
  <c r="L186" i="4" s="1"/>
  <c r="H160" i="4"/>
  <c r="E142" i="4"/>
  <c r="E186" i="4" s="1"/>
  <c r="I142" i="4"/>
  <c r="I186" i="4" s="1"/>
  <c r="K154" i="4"/>
  <c r="K158" i="4"/>
  <c r="G51" i="21"/>
  <c r="A51" i="21"/>
  <c r="D149" i="4"/>
  <c r="L149" i="4"/>
  <c r="F150" i="4"/>
  <c r="M150" i="4" s="1"/>
  <c r="J150" i="4"/>
  <c r="D151" i="4"/>
  <c r="H151" i="4"/>
  <c r="L151" i="4"/>
  <c r="M151" i="4" s="1"/>
  <c r="F152" i="4"/>
  <c r="J152" i="4"/>
  <c r="D153" i="4"/>
  <c r="H153" i="4"/>
  <c r="L153" i="4"/>
  <c r="F154" i="4"/>
  <c r="J154" i="4"/>
  <c r="D155" i="4"/>
  <c r="M155" i="4" s="1"/>
  <c r="H155" i="4"/>
  <c r="L155" i="4"/>
  <c r="F156" i="4"/>
  <c r="J156" i="4"/>
  <c r="D157" i="4"/>
  <c r="H157" i="4"/>
  <c r="L157" i="4"/>
  <c r="F158" i="4"/>
  <c r="J158" i="4"/>
  <c r="D159" i="4"/>
  <c r="H159" i="4"/>
  <c r="L159" i="4"/>
  <c r="M159" i="4" s="1"/>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D190" i="4"/>
  <c r="E161" i="4"/>
  <c r="E168" i="4" s="1"/>
  <c r="F91" i="21" s="1"/>
  <c r="M98" i="4"/>
  <c r="M102" i="4"/>
  <c r="M132" i="4"/>
  <c r="M136" i="4"/>
  <c r="M140" i="4"/>
  <c r="M92" i="4"/>
  <c r="M93" i="4"/>
  <c r="M94" i="4"/>
  <c r="M95" i="4"/>
  <c r="M96" i="4"/>
  <c r="E104" i="4"/>
  <c r="I104" i="4"/>
  <c r="C142" i="4"/>
  <c r="C186" i="4" s="1"/>
  <c r="C190" i="4" s="1"/>
  <c r="C149" i="4"/>
  <c r="G149" i="4"/>
  <c r="K149" i="4"/>
  <c r="J313" i="49"/>
  <c r="D119" i="15"/>
  <c r="E119" i="15" s="1"/>
  <c r="E106" i="15"/>
  <c r="E105" i="15"/>
  <c r="E104" i="15"/>
  <c r="E103" i="15"/>
  <c r="E102" i="15"/>
  <c r="E101" i="15"/>
  <c r="G98" i="15"/>
  <c r="D81" i="15"/>
  <c r="E81" i="15" s="1"/>
  <c r="E80" i="15"/>
  <c r="E79" i="15"/>
  <c r="E78" i="15"/>
  <c r="E77" i="15"/>
  <c r="F76" i="15"/>
  <c r="G46" i="15"/>
  <c r="E45" i="15"/>
  <c r="E44" i="15"/>
  <c r="E43" i="15"/>
  <c r="E41" i="15"/>
  <c r="E40" i="15"/>
  <c r="E39" i="15"/>
  <c r="M104" i="4" l="1"/>
  <c r="C197" i="4"/>
  <c r="C12" i="4" s="1"/>
  <c r="D204" i="4"/>
  <c r="D202" i="4"/>
  <c r="L161" i="4"/>
  <c r="M160" i="4"/>
  <c r="M158" i="4"/>
  <c r="M157" i="4"/>
  <c r="L170" i="4"/>
  <c r="M93" i="21" s="1"/>
  <c r="M152" i="4"/>
  <c r="A52" i="21"/>
  <c r="A53" i="21" s="1"/>
  <c r="A58" i="21" s="1"/>
  <c r="G53" i="21"/>
  <c r="J161" i="4"/>
  <c r="J167" i="4"/>
  <c r="K90" i="21" s="1"/>
  <c r="J168" i="4"/>
  <c r="K91" i="21" s="1"/>
  <c r="J174" i="4"/>
  <c r="K97" i="21" s="1"/>
  <c r="J171" i="4"/>
  <c r="K94" i="21" s="1"/>
  <c r="J172" i="4"/>
  <c r="K95" i="21" s="1"/>
  <c r="J169" i="4"/>
  <c r="K92" i="21" s="1"/>
  <c r="J173" i="4"/>
  <c r="K96" i="21" s="1"/>
  <c r="J175" i="4"/>
  <c r="K98" i="21" s="1"/>
  <c r="M156" i="4"/>
  <c r="L169" i="4"/>
  <c r="M92" i="21" s="1"/>
  <c r="L172" i="4"/>
  <c r="M95" i="21" s="1"/>
  <c r="D161" i="4"/>
  <c r="L173" i="4"/>
  <c r="M96" i="21" s="1"/>
  <c r="L171" i="4"/>
  <c r="M94" i="21" s="1"/>
  <c r="L177" i="4"/>
  <c r="M100" i="21" s="1"/>
  <c r="D173" i="4"/>
  <c r="E96" i="21" s="1"/>
  <c r="I174" i="4"/>
  <c r="J97" i="21" s="1"/>
  <c r="D171" i="4"/>
  <c r="E94" i="21" s="1"/>
  <c r="I170" i="4"/>
  <c r="J93" i="21" s="1"/>
  <c r="E175" i="4"/>
  <c r="F98" i="21" s="1"/>
  <c r="I176" i="4"/>
  <c r="J99" i="21" s="1"/>
  <c r="I172" i="4"/>
  <c r="J95" i="21" s="1"/>
  <c r="F161" i="4"/>
  <c r="I173" i="4"/>
  <c r="J96" i="21" s="1"/>
  <c r="E169" i="4"/>
  <c r="F92" i="21" s="1"/>
  <c r="I177" i="4"/>
  <c r="J100" i="21" s="1"/>
  <c r="K161" i="4"/>
  <c r="K166" i="4" s="1"/>
  <c r="L89" i="21" s="1"/>
  <c r="E174" i="4"/>
  <c r="F97" i="21" s="1"/>
  <c r="E170" i="4"/>
  <c r="F93" i="21" s="1"/>
  <c r="E166" i="4"/>
  <c r="F89" i="21" s="1"/>
  <c r="J176" i="4"/>
  <c r="K99" i="21" s="1"/>
  <c r="L174" i="4"/>
  <c r="M97" i="21" s="1"/>
  <c r="M142" i="4"/>
  <c r="M186" i="4" s="1"/>
  <c r="E176" i="4"/>
  <c r="F99" i="21" s="1"/>
  <c r="E172" i="4"/>
  <c r="F95" i="21" s="1"/>
  <c r="E173" i="4"/>
  <c r="F96" i="21" s="1"/>
  <c r="J170" i="4"/>
  <c r="K93" i="21" s="1"/>
  <c r="E177" i="4"/>
  <c r="F100" i="21" s="1"/>
  <c r="L167" i="4"/>
  <c r="M90" i="21" s="1"/>
  <c r="J166" i="4"/>
  <c r="K89" i="21" s="1"/>
  <c r="L168" i="4"/>
  <c r="M91" i="21" s="1"/>
  <c r="L166" i="4"/>
  <c r="M89" i="21" s="1"/>
  <c r="G161" i="4"/>
  <c r="G166" i="4" s="1"/>
  <c r="H89" i="21" s="1"/>
  <c r="I171" i="4"/>
  <c r="J94" i="21" s="1"/>
  <c r="I167" i="4"/>
  <c r="J90" i="21" s="1"/>
  <c r="A34" i="4"/>
  <c r="H161" i="4"/>
  <c r="H166" i="4" s="1"/>
  <c r="I89" i="21" s="1"/>
  <c r="I168" i="4"/>
  <c r="J91" i="21" s="1"/>
  <c r="M149" i="4"/>
  <c r="C161" i="4"/>
  <c r="C166" i="4" s="1"/>
  <c r="D89" i="21" s="1"/>
  <c r="I166" i="4"/>
  <c r="J89" i="21" s="1"/>
  <c r="J177" i="4"/>
  <c r="K100" i="21" s="1"/>
  <c r="I175" i="4"/>
  <c r="J98" i="21" s="1"/>
  <c r="D174" i="4"/>
  <c r="E97" i="21" s="1"/>
  <c r="E171" i="4"/>
  <c r="F94" i="21" s="1"/>
  <c r="E167" i="4"/>
  <c r="F90" i="21" s="1"/>
  <c r="D168" i="4"/>
  <c r="E91" i="21" s="1"/>
  <c r="M161" i="4" l="1"/>
  <c r="D205" i="4"/>
  <c r="D199"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92" i="21" l="1"/>
  <c r="C200" i="4"/>
  <c r="D97" i="21"/>
  <c r="C205" i="4"/>
  <c r="D93" i="21"/>
  <c r="C201" i="4"/>
  <c r="E95" i="21"/>
  <c r="D203" i="4"/>
  <c r="E90" i="21"/>
  <c r="D198" i="4"/>
  <c r="D98" i="21"/>
  <c r="C206" i="4"/>
  <c r="D100" i="21"/>
  <c r="C208" i="4"/>
  <c r="D90" i="21"/>
  <c r="C198" i="4"/>
  <c r="C13" i="4" s="1"/>
  <c r="C14" i="4" s="1"/>
  <c r="C15" i="4" s="1"/>
  <c r="C16" i="4" s="1"/>
  <c r="C17" i="4" s="1"/>
  <c r="C18" i="4" s="1"/>
  <c r="E99" i="21"/>
  <c r="D207" i="4"/>
  <c r="E100" i="21"/>
  <c r="D208" i="4"/>
  <c r="D91" i="21"/>
  <c r="C199" i="4"/>
  <c r="D99" i="21"/>
  <c r="C207" i="4"/>
  <c r="E98" i="21"/>
  <c r="D206" i="4"/>
  <c r="E89" i="21"/>
  <c r="D197" i="4"/>
  <c r="D12" i="4" s="1"/>
  <c r="D13" i="4" s="1"/>
  <c r="D14" i="4" s="1"/>
  <c r="D15"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6" i="4" l="1"/>
  <c r="D17" i="4" s="1"/>
  <c r="D18" i="4" s="1"/>
  <c r="D19" i="4" s="1"/>
  <c r="D20" i="4" s="1"/>
  <c r="D21" i="4" s="1"/>
  <c r="D22" i="4" s="1"/>
  <c r="C19" i="4"/>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G63" i="4" l="1"/>
  <c r="A62" i="4"/>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B231" i="4" l="1"/>
  <c r="A149" i="4"/>
  <c r="B234" i="4" l="1"/>
  <c r="A150" i="4"/>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A186" i="4" l="1"/>
  <c r="A190" i="4" s="1"/>
  <c r="B233" i="4" s="1"/>
  <c r="A197" i="4" l="1"/>
  <c r="B232" i="4"/>
  <c r="A198" i="4" l="1"/>
  <c r="A199" i="4" s="1"/>
  <c r="A200" i="4" s="1"/>
  <c r="A201" i="4" s="1"/>
  <c r="A202" i="4" s="1"/>
  <c r="A203" i="4" s="1"/>
  <c r="A204" i="4" s="1"/>
  <c r="A205" i="4" s="1"/>
  <c r="A206" i="4" s="1"/>
  <c r="A207" i="4" s="1"/>
  <c r="A208" i="4" s="1"/>
  <c r="A209" i="4" s="1"/>
  <c r="B235" i="4" l="1"/>
  <c r="E42" i="30"/>
  <c r="E41" i="30"/>
  <c r="C57" i="22" l="1"/>
  <c r="F19" i="71" l="1"/>
  <c r="G19" i="71"/>
  <c r="D19" i="71"/>
  <c r="D18" i="71"/>
  <c r="B190" i="71"/>
  <c r="F69" i="22" l="1"/>
  <c r="F46" i="22" s="1"/>
  <c r="F63" i="22"/>
  <c r="F34" i="22" s="1"/>
  <c r="G69" i="22"/>
  <c r="G63" i="22"/>
  <c r="G22" i="45" l="1"/>
  <c r="C32" i="57" l="1"/>
  <c r="G20" i="45"/>
  <c r="E32" i="57" s="1"/>
  <c r="G19" i="45"/>
  <c r="G18" i="45"/>
  <c r="D32" i="57" l="1"/>
  <c r="B107" i="65"/>
  <c r="B106" i="65"/>
  <c r="B103" i="65"/>
  <c r="B98" i="65"/>
  <c r="B95" i="65"/>
  <c r="B94" i="65"/>
  <c r="B9" i="65"/>
  <c r="B8" i="65"/>
  <c r="B7" i="65"/>
  <c r="F44" i="65"/>
  <c r="F43" i="65"/>
  <c r="F42" i="65"/>
  <c r="F41" i="65"/>
  <c r="F40" i="65"/>
  <c r="A82" i="44" l="1"/>
  <c r="A83" i="44" s="1"/>
  <c r="B117" i="65" l="1"/>
  <c r="B114" i="65"/>
  <c r="B113" i="65"/>
  <c r="H24" i="65"/>
  <c r="J24" i="65" s="1"/>
  <c r="L24" i="65" s="1"/>
  <c r="H128" i="53" l="1"/>
  <c r="E128" i="53"/>
  <c r="D128" i="53"/>
  <c r="C128" i="53"/>
  <c r="J126" i="53"/>
  <c r="I126" i="53"/>
  <c r="K126" i="53" s="1"/>
  <c r="F126" i="53"/>
  <c r="B126" i="53"/>
  <c r="J125" i="53"/>
  <c r="I125" i="53"/>
  <c r="K125" i="53" s="1"/>
  <c r="F125" i="53"/>
  <c r="B125" i="53"/>
  <c r="J124" i="53"/>
  <c r="K124" i="53" s="1"/>
  <c r="I124" i="53"/>
  <c r="F124" i="53"/>
  <c r="B124" i="53"/>
  <c r="J123" i="53"/>
  <c r="I123" i="53"/>
  <c r="K123" i="53" s="1"/>
  <c r="F123" i="53"/>
  <c r="B123" i="53"/>
  <c r="J122" i="53"/>
  <c r="I122" i="53"/>
  <c r="F122" i="53"/>
  <c r="B122" i="53"/>
  <c r="K121" i="53"/>
  <c r="J121" i="53"/>
  <c r="I121" i="53"/>
  <c r="F121" i="53"/>
  <c r="B121" i="53"/>
  <c r="J120" i="53"/>
  <c r="K120" i="53" s="1"/>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K115" i="53" s="1"/>
  <c r="F115" i="53"/>
  <c r="B115" i="53"/>
  <c r="J114" i="53"/>
  <c r="I114" i="53"/>
  <c r="F114" i="53"/>
  <c r="B114" i="53"/>
  <c r="K113" i="53"/>
  <c r="J113" i="53"/>
  <c r="I113" i="53"/>
  <c r="F113" i="53"/>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L126" i="53" l="1"/>
  <c r="L118" i="53"/>
  <c r="F128" i="53"/>
  <c r="J128" i="53"/>
  <c r="K122" i="53"/>
  <c r="L122" i="53" s="1"/>
  <c r="K114" i="53"/>
  <c r="L114" i="53" s="1"/>
  <c r="L119" i="53"/>
  <c r="L121" i="53"/>
  <c r="J28" i="53"/>
  <c r="I128" i="53"/>
  <c r="L125" i="53"/>
  <c r="L117" i="53"/>
  <c r="K116" i="53"/>
  <c r="K128" i="53" s="1"/>
  <c r="L113" i="53"/>
  <c r="L115" i="53"/>
  <c r="L123" i="53"/>
  <c r="L116" i="53"/>
  <c r="L124" i="53"/>
  <c r="L120"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28" i="53" l="1"/>
  <c r="M116" i="53" s="1"/>
  <c r="C16" i="53" s="1"/>
  <c r="M113" i="53"/>
  <c r="M120" i="53"/>
  <c r="C20" i="53" s="1"/>
  <c r="M115" i="53"/>
  <c r="C15" i="53" s="1"/>
  <c r="A38" i="79"/>
  <c r="A39" i="79"/>
  <c r="C12" i="53" l="1"/>
  <c r="M119" i="53"/>
  <c r="C19" i="53" s="1"/>
  <c r="M121" i="53"/>
  <c r="C21" i="53" s="1"/>
  <c r="M117" i="53"/>
  <c r="C17" i="53" s="1"/>
  <c r="M122" i="53"/>
  <c r="C22" i="53" s="1"/>
  <c r="M114" i="53"/>
  <c r="C13" i="53" s="1"/>
  <c r="M126" i="53"/>
  <c r="C26" i="53" s="1"/>
  <c r="M118" i="53"/>
  <c r="C18" i="53" s="1"/>
  <c r="M125" i="53"/>
  <c r="C25" i="53" s="1"/>
  <c r="M123" i="53"/>
  <c r="C23" i="53" s="1"/>
  <c r="M124" i="53"/>
  <c r="C24" i="53" s="1"/>
  <c r="D123" i="15"/>
  <c r="E123" i="15"/>
  <c r="H123" i="15"/>
  <c r="F115" i="15"/>
  <c r="D115" i="15"/>
  <c r="M128" i="53" l="1"/>
  <c r="C28" i="53"/>
  <c r="E30" i="61" l="1"/>
  <c r="L30" i="61"/>
  <c r="H30" i="61"/>
  <c r="G27" i="61" l="1"/>
  <c r="I27" i="61" s="1"/>
  <c r="J27" i="61"/>
  <c r="M27" i="61" s="1"/>
  <c r="N27" i="61"/>
  <c r="G26" i="61"/>
  <c r="I26" i="61" s="1"/>
  <c r="J26" i="61"/>
  <c r="M26" i="61" s="1"/>
  <c r="N26" i="61"/>
  <c r="G25" i="61"/>
  <c r="I25" i="61" s="1"/>
  <c r="J25" i="61"/>
  <c r="M25" i="61" s="1"/>
  <c r="N25" i="61"/>
  <c r="F55" i="15" l="1"/>
  <c r="D63" i="15"/>
  <c r="H63" i="15"/>
  <c r="G63" i="15"/>
  <c r="F63" i="15"/>
  <c r="E63" i="15"/>
  <c r="D55" i="15"/>
  <c r="E29" i="55" l="1"/>
  <c r="D29" i="55"/>
  <c r="C29" i="55"/>
  <c r="H42" i="8" l="1"/>
  <c r="H33" i="8"/>
  <c r="G21" i="45" l="1"/>
  <c r="F26" i="65" l="1"/>
  <c r="F27" i="65"/>
  <c r="F28" i="65"/>
  <c r="F29" i="65"/>
  <c r="F30" i="65"/>
  <c r="F31" i="65"/>
  <c r="F32" i="65"/>
  <c r="F33" i="65"/>
  <c r="F34" i="65"/>
  <c r="F35" i="65"/>
  <c r="F36" i="65"/>
  <c r="F25" i="65"/>
  <c r="E218" i="49" l="1"/>
  <c r="D78" i="49" l="1"/>
  <c r="H76" i="49"/>
  <c r="H77" i="49"/>
  <c r="H78" i="49"/>
  <c r="G76" i="49"/>
  <c r="G77" i="49"/>
  <c r="G78" i="49"/>
  <c r="D77" i="49"/>
  <c r="D75" i="49"/>
  <c r="D76" i="49"/>
  <c r="O34" i="48" l="1"/>
  <c r="O35" i="48"/>
  <c r="O36" i="48"/>
  <c r="N116" i="61" l="1"/>
  <c r="N117" i="61"/>
  <c r="J116" i="61"/>
  <c r="M116" i="61" s="1"/>
  <c r="J117" i="61"/>
  <c r="M117" i="61" s="1"/>
  <c r="G116" i="61"/>
  <c r="I116" i="61" s="1"/>
  <c r="G117" i="61"/>
  <c r="I117" i="61" s="1"/>
  <c r="N59" i="61"/>
  <c r="N60" i="61"/>
  <c r="N61" i="61"/>
  <c r="J61" i="61"/>
  <c r="M61" i="61" s="1"/>
  <c r="J60" i="61"/>
  <c r="M60" i="61" s="1"/>
  <c r="J59" i="61"/>
  <c r="M59" i="61" s="1"/>
  <c r="G59" i="61"/>
  <c r="I59" i="61" s="1"/>
  <c r="G60" i="61"/>
  <c r="I60" i="61" s="1"/>
  <c r="G61" i="61"/>
  <c r="I61" i="61" s="1"/>
  <c r="J20" i="61"/>
  <c r="M20" i="61" s="1"/>
  <c r="J21" i="61"/>
  <c r="M21" i="61" s="1"/>
  <c r="J22" i="61"/>
  <c r="M22" i="61" s="1"/>
  <c r="J23" i="61"/>
  <c r="M23" i="61" s="1"/>
  <c r="J24" i="61"/>
  <c r="M24" i="61" s="1"/>
  <c r="G20" i="61"/>
  <c r="I20" i="61" s="1"/>
  <c r="G21" i="61"/>
  <c r="I21" i="61" s="1"/>
  <c r="G22" i="61"/>
  <c r="I22" i="61" s="1"/>
  <c r="G23" i="61"/>
  <c r="I23" i="61" s="1"/>
  <c r="G24" i="61"/>
  <c r="I24" i="61" s="1"/>
  <c r="N20" i="61"/>
  <c r="N21" i="61"/>
  <c r="N22" i="61"/>
  <c r="N23" i="61"/>
  <c r="N24" i="6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09" i="61" l="1"/>
  <c r="F72" i="64"/>
  <c r="E72" i="64"/>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N70" i="21" l="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c r="B146" i="21" l="1"/>
  <c r="G77" i="64"/>
  <c r="F92" i="64" s="1"/>
  <c r="B98" i="64"/>
  <c r="A69" i="64"/>
  <c r="A70" i="64" s="1"/>
  <c r="A71" i="64" s="1"/>
  <c r="A72" i="64" s="1"/>
  <c r="B99" i="64" l="1"/>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5" i="8"/>
  <c r="C117" i="48" l="1"/>
  <c r="H72" i="44" l="1"/>
  <c r="H26" i="8" l="1"/>
  <c r="I31" i="1"/>
  <c r="I37" i="79" l="1"/>
  <c r="G37" i="79"/>
  <c r="A33" i="79"/>
  <c r="A34" i="79" s="1"/>
  <c r="A35" i="79" s="1"/>
  <c r="A36" i="79" s="1"/>
  <c r="A37"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75" i="49" l="1"/>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F87" i="49"/>
  <c r="E87" i="49"/>
  <c r="D87" i="49"/>
  <c r="K86" i="49"/>
  <c r="J86" i="49"/>
  <c r="I86" i="49"/>
  <c r="H86" i="49"/>
  <c r="G86" i="49"/>
  <c r="F86" i="49"/>
  <c r="E86" i="49"/>
  <c r="D86" i="49"/>
  <c r="G85" i="49"/>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D25" i="49"/>
  <c r="D24" i="49"/>
  <c r="D23" i="49"/>
  <c r="D22" i="49"/>
  <c r="D21" i="49"/>
  <c r="D20" i="49"/>
  <c r="D19" i="49"/>
  <c r="D18" i="49"/>
  <c r="D17" i="49"/>
  <c r="D16" i="49"/>
  <c r="D15" i="49"/>
  <c r="D14" i="49"/>
  <c r="A14" i="49"/>
  <c r="A15" i="49" s="1"/>
  <c r="A16" i="49" s="1"/>
  <c r="A17" i="49" s="1"/>
  <c r="A18" i="49" s="1"/>
  <c r="A19" i="49" s="1"/>
  <c r="A20" i="49" s="1"/>
  <c r="A21" i="49" s="1"/>
  <c r="A22" i="49" s="1"/>
  <c r="A23" i="49" s="1"/>
  <c r="A24" i="49" s="1"/>
  <c r="A25" i="49" s="1"/>
  <c r="D13" i="49"/>
  <c r="H13" i="48" l="1"/>
  <c r="M76"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J90" i="49"/>
  <c r="K90" i="49" s="1"/>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M13" i="48" l="1"/>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J283" i="49" l="1"/>
  <c r="K283" i="49" s="1"/>
  <c r="J381" i="49"/>
  <c r="K381" i="49" s="1"/>
  <c r="J252" i="49"/>
  <c r="K252" i="49" s="1"/>
  <c r="J316" i="49"/>
  <c r="K316" i="49" s="1"/>
  <c r="J124" i="49"/>
  <c r="K124" i="49" s="1"/>
  <c r="K123" i="49"/>
  <c r="P37" i="48"/>
  <c r="D41" i="57" s="1"/>
  <c r="J219" i="49"/>
  <c r="A107" i="48"/>
  <c r="A111" i="48" s="1"/>
  <c r="G72" i="48"/>
  <c r="I87" i="48"/>
  <c r="I24" i="48" s="1"/>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284" i="49"/>
  <c r="K284" i="49" s="1"/>
  <c r="J382" i="49"/>
  <c r="K382" i="49" s="1"/>
  <c r="J92" i="49"/>
  <c r="K92" i="49" s="1"/>
  <c r="J155" i="49"/>
  <c r="K155" i="49" s="1"/>
  <c r="J253" i="49" l="1"/>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383" i="49"/>
  <c r="K383" i="49" s="1"/>
  <c r="J285" i="49"/>
  <c r="K285" i="49" s="1"/>
  <c r="J93" i="49"/>
  <c r="K93" i="49" s="1"/>
  <c r="J318" i="49" l="1"/>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384" i="49"/>
  <c r="K384" i="49" s="1"/>
  <c r="J94" i="49"/>
  <c r="K94" i="49" s="1"/>
  <c r="J319" i="49" l="1"/>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K59" i="49"/>
  <c r="J158" i="49"/>
  <c r="K158" i="49" s="1"/>
  <c r="J256" i="49"/>
  <c r="K256" i="49" s="1"/>
  <c r="J385" i="49"/>
  <c r="K385" i="49" s="1"/>
  <c r="J320" i="49" l="1"/>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386" i="49"/>
  <c r="K386" i="49" s="1"/>
  <c r="J288" i="49"/>
  <c r="K288" i="49" s="1"/>
  <c r="J257" i="49"/>
  <c r="K257" i="49" s="1"/>
  <c r="J96" i="49"/>
  <c r="K96" i="49" s="1"/>
  <c r="K60" i="49"/>
  <c r="J159" i="49"/>
  <c r="K159" i="49" s="1"/>
  <c r="J321" i="49" l="1"/>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387" i="49"/>
  <c r="K387" i="49" s="1"/>
  <c r="J225" i="49"/>
  <c r="K225" i="49" s="1"/>
  <c r="J322" i="49" l="1"/>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195" i="49"/>
  <c r="K195" i="49" s="1"/>
  <c r="J259" i="49"/>
  <c r="K259" i="49" s="1"/>
  <c r="J161" i="49"/>
  <c r="K62" i="49"/>
  <c r="J62" i="49"/>
  <c r="J388" i="49"/>
  <c r="K388" i="49" s="1"/>
  <c r="J98" i="49"/>
  <c r="K98" i="49" s="1"/>
  <c r="J323" i="49" l="1"/>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99" i="49"/>
  <c r="K99" i="49" s="1"/>
  <c r="J389" i="49"/>
  <c r="K389" i="49" s="1"/>
  <c r="J162" i="49"/>
  <c r="J291" i="49"/>
  <c r="K291" i="49" s="1"/>
  <c r="J132" i="49"/>
  <c r="K132" i="49" s="1"/>
  <c r="J260" i="49"/>
  <c r="K260" i="49" s="1"/>
  <c r="J227" i="49"/>
  <c r="K227" i="49" s="1"/>
  <c r="J196" i="49"/>
  <c r="K196" i="49" s="1"/>
  <c r="J324" i="49" l="1"/>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197" i="49"/>
  <c r="K197" i="49" s="1"/>
  <c r="J133" i="49"/>
  <c r="K133" i="49" s="1"/>
  <c r="J390" i="49"/>
  <c r="K390" i="49" s="1"/>
  <c r="J325" i="49"/>
  <c r="K325" i="49" s="1"/>
  <c r="J228" i="49"/>
  <c r="K228" i="49" s="1"/>
  <c r="J292" i="49"/>
  <c r="K292" i="49" s="1"/>
  <c r="J261" i="49"/>
  <c r="K261" i="49" s="1"/>
  <c r="J100" i="49"/>
  <c r="K100" i="49" s="1"/>
  <c r="J163" i="49"/>
  <c r="K163" i="49" s="1"/>
  <c r="J356" i="49" l="1"/>
  <c r="K356" i="49" s="1"/>
  <c r="A366" i="49"/>
  <c r="A367" i="49" s="1"/>
  <c r="A368" i="49" s="1"/>
  <c r="A369" i="49" s="1"/>
  <c r="G17" i="71" s="1"/>
  <c r="G16" i="71"/>
  <c r="K86" i="48"/>
  <c r="K22" i="48"/>
  <c r="K57" i="48"/>
  <c r="J101" i="49"/>
  <c r="K101" i="49" s="1"/>
  <c r="J326" i="49"/>
  <c r="K326" i="49" s="1"/>
  <c r="J198" i="49"/>
  <c r="K198" i="49" s="1"/>
  <c r="J262" i="49"/>
  <c r="K262" i="49" s="1"/>
  <c r="J391" i="49"/>
  <c r="K391" i="49" s="1"/>
  <c r="K65" i="49"/>
  <c r="J164" i="49"/>
  <c r="J293" i="49"/>
  <c r="K293" i="49" s="1"/>
  <c r="J134" i="49"/>
  <c r="K134" i="49" s="1"/>
  <c r="J65" i="49"/>
  <c r="J229" i="49"/>
  <c r="K229" i="49" s="1"/>
  <c r="J357" i="49" l="1"/>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135" i="49"/>
  <c r="K135" i="49" s="1"/>
  <c r="J294" i="49"/>
  <c r="K294" i="49" s="1"/>
  <c r="J263" i="49"/>
  <c r="K263" i="49" s="1"/>
  <c r="J102" i="49"/>
  <c r="K102" i="49" s="1"/>
  <c r="J230" i="49"/>
  <c r="K230" i="49" s="1"/>
  <c r="J165" i="49"/>
  <c r="K165" i="49" s="1"/>
  <c r="J199" i="49"/>
  <c r="K199" i="49" s="1"/>
  <c r="J392" i="49"/>
  <c r="K392" i="49" s="1"/>
  <c r="J327" i="49"/>
  <c r="K327" i="49" s="1"/>
  <c r="J358" i="49" l="1"/>
  <c r="K358" i="49" s="1"/>
  <c r="K66" i="49"/>
  <c r="A399" i="49"/>
  <c r="A400" i="49" s="1"/>
  <c r="A401" i="49" s="1"/>
  <c r="A402" i="49" s="1"/>
  <c r="G18" i="71" s="1"/>
  <c r="K88" i="48"/>
  <c r="K24" i="48"/>
  <c r="K59" i="48"/>
  <c r="J393" i="49"/>
  <c r="K393" i="49" s="1"/>
  <c r="J103" i="49"/>
  <c r="K103" i="49" s="1"/>
  <c r="J166" i="49"/>
  <c r="K166" i="49" s="1"/>
  <c r="K67" i="49"/>
  <c r="J295" i="49"/>
  <c r="K295" i="49" s="1"/>
  <c r="J200" i="49"/>
  <c r="K200" i="49" s="1"/>
  <c r="J67" i="49"/>
  <c r="J136" i="49"/>
  <c r="K136" i="49" s="1"/>
  <c r="J231" i="49"/>
  <c r="K231" i="49" s="1"/>
  <c r="J328" i="49"/>
  <c r="K328" i="49" s="1"/>
  <c r="J264" i="49"/>
  <c r="K264" i="49" s="1"/>
  <c r="J359" i="49" l="1"/>
  <c r="K359" i="49" s="1"/>
  <c r="K89" i="48"/>
  <c r="K25" i="48"/>
  <c r="K60" i="48"/>
  <c r="J167" i="49"/>
  <c r="J137" i="49"/>
  <c r="K137" i="49" s="1"/>
  <c r="J329" i="49"/>
  <c r="K329" i="49" s="1"/>
  <c r="J104" i="49"/>
  <c r="K104" i="49" s="1"/>
  <c r="J265" i="49"/>
  <c r="K265" i="49" s="1"/>
  <c r="J232" i="49"/>
  <c r="K232" i="49" s="1"/>
  <c r="J68" i="49"/>
  <c r="J201" i="49"/>
  <c r="K201" i="49" s="1"/>
  <c r="J296" i="49"/>
  <c r="K296" i="49" s="1"/>
  <c r="J394" i="49"/>
  <c r="K394" i="49" s="1"/>
  <c r="J360" i="49" l="1"/>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364" i="49"/>
  <c r="K364" i="49" s="1"/>
  <c r="J236" i="49"/>
  <c r="K236" i="49" s="1"/>
  <c r="J300" i="49"/>
  <c r="K300" i="49" s="1"/>
  <c r="J333" i="49"/>
  <c r="K333" i="49" s="1"/>
  <c r="J398" i="49"/>
  <c r="K398" i="49" s="1"/>
  <c r="J399" i="49" l="1"/>
  <c r="K399" i="49" s="1"/>
  <c r="K94" i="48"/>
  <c r="K30" i="48"/>
  <c r="K65" i="48"/>
  <c r="J172" i="49"/>
  <c r="K172" i="49" s="1"/>
  <c r="K73" i="49"/>
  <c r="J270" i="49"/>
  <c r="K270" i="49" s="1"/>
  <c r="J334" i="49"/>
  <c r="K334" i="49" s="1"/>
  <c r="J301" i="49"/>
  <c r="K301" i="49" s="1"/>
  <c r="J142" i="49"/>
  <c r="K142" i="49" s="1"/>
  <c r="J109" i="49"/>
  <c r="J237" i="49"/>
  <c r="K237" i="49" s="1"/>
  <c r="J206" i="49"/>
  <c r="K206" i="49" s="1"/>
  <c r="J365" i="49"/>
  <c r="K365" i="49" s="1"/>
  <c r="J73" i="49"/>
  <c r="J74" i="49" l="1"/>
  <c r="J110" i="49"/>
  <c r="K110" i="49" s="1"/>
  <c r="K109" i="49"/>
  <c r="K66" i="48"/>
  <c r="J400" i="49"/>
  <c r="K400" i="49" s="1"/>
  <c r="J366" i="49"/>
  <c r="K366" i="49" s="1"/>
  <c r="J335" i="49"/>
  <c r="K335" i="49" s="1"/>
  <c r="J302" i="49"/>
  <c r="K302" i="49" s="1"/>
  <c r="J271" i="49"/>
  <c r="K271" i="49" s="1"/>
  <c r="J238" i="49"/>
  <c r="K238" i="49" s="1"/>
  <c r="J207" i="49"/>
  <c r="K207" i="49" s="1"/>
  <c r="J143" i="49"/>
  <c r="K143" i="49" s="1"/>
  <c r="K95" i="48"/>
  <c r="K31" i="48"/>
  <c r="K74" i="49"/>
  <c r="J173" i="49"/>
  <c r="K173" i="49" s="1"/>
  <c r="J111" i="49" l="1"/>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2" i="49" l="1"/>
  <c r="K401" i="49"/>
  <c r="J76" i="49"/>
  <c r="K174" i="49"/>
  <c r="K76" i="49" s="1"/>
  <c r="K35" i="48"/>
  <c r="K34" i="48"/>
  <c r="K113" i="49"/>
  <c r="G26" i="11" s="1"/>
  <c r="F18" i="71"/>
  <c r="K68" i="48"/>
  <c r="K36" i="48" s="1"/>
  <c r="J368" i="49"/>
  <c r="K368" i="49" s="1"/>
  <c r="J337" i="49"/>
  <c r="K337" i="49" s="1"/>
  <c r="J304" i="49"/>
  <c r="K304" i="49" s="1"/>
  <c r="J273" i="49"/>
  <c r="K273" i="49" s="1"/>
  <c r="J240" i="49"/>
  <c r="K240" i="49" s="1"/>
  <c r="J209" i="49"/>
  <c r="K209" i="49" s="1"/>
  <c r="J175" i="49"/>
  <c r="J145" i="49"/>
  <c r="K145" i="49" s="1"/>
  <c r="K33" i="48"/>
  <c r="J77" i="49" l="1"/>
  <c r="K175" i="49"/>
  <c r="K77" i="49" s="1"/>
  <c r="F9" i="71"/>
  <c r="K37" i="48"/>
  <c r="C41" i="57" s="1"/>
  <c r="K241" i="49"/>
  <c r="K305" i="49"/>
  <c r="K369"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73" i="15"/>
  <c r="G174" i="15" s="1"/>
  <c r="G165" i="15"/>
  <c r="I125" i="15"/>
  <c r="A125" i="15"/>
  <c r="I123" i="15"/>
  <c r="G123" i="15"/>
  <c r="F123" i="15"/>
  <c r="I115" i="15"/>
  <c r="A99" i="15"/>
  <c r="A100" i="15" s="1"/>
  <c r="A101" i="15" s="1"/>
  <c r="A102" i="15" s="1"/>
  <c r="A103" i="15" s="1"/>
  <c r="A104" i="15" s="1"/>
  <c r="E90" i="15"/>
  <c r="A86" i="15"/>
  <c r="A87" i="15" s="1"/>
  <c r="I85" i="15"/>
  <c r="H85" i="15"/>
  <c r="D85" i="15"/>
  <c r="A78" i="15"/>
  <c r="A79" i="15" s="1"/>
  <c r="A80" i="15" s="1"/>
  <c r="A81" i="15" s="1"/>
  <c r="A82" i="15" s="1"/>
  <c r="I65" i="15"/>
  <c r="A65" i="15"/>
  <c r="E70" i="15" s="1"/>
  <c r="I63" i="15"/>
  <c r="A60" i="15"/>
  <c r="A30" i="15"/>
  <c r="A11" i="15"/>
  <c r="A12" i="15" s="1"/>
  <c r="A105" i="15" l="1"/>
  <c r="A106" i="15" s="1"/>
  <c r="A113" i="15" s="1"/>
  <c r="E99" i="15"/>
  <c r="E32" i="15"/>
  <c r="E38" i="15"/>
  <c r="E30" i="15"/>
  <c r="E37" i="15"/>
  <c r="G166" i="15"/>
  <c r="E13" i="15"/>
  <c r="A13" i="15"/>
  <c r="E18" i="15" s="1"/>
  <c r="K79" i="49"/>
  <c r="C42" i="57" s="1"/>
  <c r="F11" i="71"/>
  <c r="F85" i="15"/>
  <c r="F87" i="15" s="1"/>
  <c r="I87" i="15"/>
  <c r="E85" i="15"/>
  <c r="A126" i="15"/>
  <c r="A127" i="15" s="1"/>
  <c r="E12" i="15" s="1"/>
  <c r="D65" i="15"/>
  <c r="G85" i="15"/>
  <c r="F65" i="15"/>
  <c r="F67" i="15" s="1"/>
  <c r="A31" i="15"/>
  <c r="A32" i="15" s="1"/>
  <c r="A33" i="15" s="1"/>
  <c r="A34" i="15" s="1"/>
  <c r="A35" i="15" s="1"/>
  <c r="A36" i="15" s="1"/>
  <c r="A37" i="15" s="1"/>
  <c r="A38" i="15" s="1"/>
  <c r="A39" i="15" s="1"/>
  <c r="A40" i="15" s="1"/>
  <c r="A41" i="15" s="1"/>
  <c r="A42" i="15" s="1"/>
  <c r="A43" i="15" s="1"/>
  <c r="A44" i="15" s="1"/>
  <c r="A45" i="15" s="1"/>
  <c r="A46" i="15" s="1"/>
  <c r="A53" i="15" s="1"/>
  <c r="I55" i="15"/>
  <c r="A90" i="15"/>
  <c r="E11" i="15"/>
  <c r="A66" i="15"/>
  <c r="A67" i="15" s="1"/>
  <c r="E130" i="15"/>
  <c r="E33" i="15" l="1"/>
  <c r="E31" i="15"/>
  <c r="E36" i="15"/>
  <c r="H36" i="15" s="1"/>
  <c r="E35" i="15"/>
  <c r="H35" i="15" s="1"/>
  <c r="E34" i="15"/>
  <c r="H34" i="15" s="1"/>
  <c r="E42" i="15"/>
  <c r="H42" i="15" s="1"/>
  <c r="E100" i="15"/>
  <c r="H100" i="15" s="1"/>
  <c r="H115" i="15" s="1"/>
  <c r="H125" i="15" s="1"/>
  <c r="H33" i="15"/>
  <c r="H31" i="15"/>
  <c r="G99" i="15"/>
  <c r="G115" i="15" s="1"/>
  <c r="G125" i="15"/>
  <c r="D82" i="7"/>
  <c r="A14" i="15"/>
  <c r="A15" i="15" s="1"/>
  <c r="A16" i="15" s="1"/>
  <c r="A17" i="15" s="1"/>
  <c r="A18" i="15" s="1"/>
  <c r="A19" i="15" s="1"/>
  <c r="A20" i="15" s="1"/>
  <c r="A21" i="15" s="1"/>
  <c r="A22" i="15" s="1"/>
  <c r="A23" i="15" s="1"/>
  <c r="A130" i="15"/>
  <c r="A139" i="15" s="1"/>
  <c r="A140" i="15" s="1"/>
  <c r="A141" i="15" s="1"/>
  <c r="A142" i="15" s="1"/>
  <c r="A143" i="15" s="1"/>
  <c r="A144" i="15" s="1"/>
  <c r="A145" i="15" s="1"/>
  <c r="A146" i="15" s="1"/>
  <c r="A147" i="15" s="1"/>
  <c r="A148" i="15" s="1"/>
  <c r="A149" i="15" s="1"/>
  <c r="A150" i="15" s="1"/>
  <c r="A151" i="15" s="1"/>
  <c r="A152" i="15" s="1"/>
  <c r="A153" i="15" s="1"/>
  <c r="E23" i="15" s="1"/>
  <c r="I127" i="15"/>
  <c r="A70" i="15"/>
  <c r="E10" i="15"/>
  <c r="D125" i="15"/>
  <c r="I67" i="15"/>
  <c r="F125" i="15"/>
  <c r="F127" i="15" s="1"/>
  <c r="E115" i="15" l="1"/>
  <c r="E125" i="15" s="1"/>
  <c r="H55" i="15"/>
  <c r="H65" i="15" s="1"/>
  <c r="E22" i="30"/>
  <c r="D22" i="30"/>
  <c r="E86" i="8" l="1"/>
  <c r="G56" i="46"/>
  <c r="F23" i="22" l="1"/>
  <c r="A10" i="22"/>
  <c r="A11" i="22" s="1"/>
  <c r="A12" i="22" s="1"/>
  <c r="A13" i="22" s="1"/>
  <c r="A14" i="22" s="1"/>
  <c r="A15" i="22" s="1"/>
  <c r="A16" i="22" s="1"/>
  <c r="A17" i="22" s="1"/>
  <c r="A18" i="22" s="1"/>
  <c r="A19" i="22" s="1"/>
  <c r="A20" i="22" s="1"/>
  <c r="A21" i="22" l="1"/>
  <c r="G23" i="22" s="1"/>
  <c r="K108" i="1" l="1"/>
  <c r="H190" i="61" l="1"/>
  <c r="H193" i="61" s="1"/>
  <c r="M190" i="61" l="1"/>
  <c r="F190" i="61"/>
  <c r="N190" i="61" s="1"/>
  <c r="G190" i="61" l="1"/>
  <c r="I190" i="61" s="1"/>
  <c r="D52" i="2" l="1"/>
  <c r="D53" i="2" s="1"/>
  <c r="D46" i="2"/>
  <c r="D47" i="2" s="1"/>
  <c r="D40" i="2"/>
  <c r="D41" i="2" s="1"/>
  <c r="D34" i="2"/>
  <c r="D35" i="2" s="1"/>
  <c r="F117" i="46" l="1"/>
  <c r="F116" i="46"/>
  <c r="F115" i="46"/>
  <c r="F118" i="46"/>
  <c r="F103" i="46"/>
  <c r="F87" i="46"/>
  <c r="F95" i="46"/>
  <c r="F97" i="46"/>
  <c r="F79" i="46"/>
  <c r="F93" i="46"/>
  <c r="F76" i="46"/>
  <c r="F74" i="46"/>
  <c r="F101" i="46"/>
  <c r="F83" i="46"/>
  <c r="F99" i="46"/>
  <c r="F90" i="46"/>
  <c r="F82" i="46"/>
  <c r="C29" i="46"/>
  <c r="L29" i="46"/>
  <c r="E92" i="46" s="1"/>
  <c r="K29" i="46"/>
  <c r="G29" i="46"/>
  <c r="J29" i="46" l="1"/>
  <c r="C92" i="46" s="1"/>
  <c r="D92" i="46"/>
  <c r="E11" i="2" l="1"/>
  <c r="E10" i="2"/>
  <c r="E41" i="71"/>
  <c r="H27" i="8"/>
  <c r="H25" i="8"/>
  <c r="H23" i="8"/>
  <c r="H9" i="8"/>
  <c r="H8" i="8"/>
  <c r="G27" i="32"/>
  <c r="G21" i="32"/>
  <c r="G13" i="32"/>
  <c r="B100" i="44"/>
  <c r="B194" i="71"/>
  <c r="F141" i="71"/>
  <c r="F140" i="71"/>
  <c r="D64" i="46"/>
  <c r="G68" i="8"/>
  <c r="G70" i="8"/>
  <c r="E51" i="7"/>
  <c r="E39" i="7"/>
  <c r="I134" i="1"/>
  <c r="I133" i="1"/>
  <c r="I130" i="1"/>
  <c r="I128" i="1"/>
  <c r="I126" i="1"/>
  <c r="I100" i="1"/>
  <c r="I32" i="1"/>
  <c r="I30" i="1"/>
  <c r="I26" i="1"/>
  <c r="I22" i="1"/>
  <c r="I12" i="1"/>
  <c r="I11" i="1"/>
  <c r="F206" i="61" l="1"/>
  <c r="F207" i="61"/>
  <c r="F204" i="61"/>
  <c r="F210" i="61"/>
  <c r="J45" i="8" l="1"/>
  <c r="E70" i="8" l="1"/>
  <c r="C99" i="26" l="1"/>
  <c r="E19" i="55"/>
  <c r="E17" i="55"/>
  <c r="E18" i="55"/>
  <c r="I21" i="45"/>
  <c r="H56" i="26" l="1"/>
  <c r="F63" i="26"/>
  <c r="F49" i="22" l="1"/>
  <c r="N188" i="61"/>
  <c r="J188" i="61"/>
  <c r="M188" i="61" s="1"/>
  <c r="G188" i="61"/>
  <c r="I188" i="61" s="1"/>
  <c r="E193" i="61"/>
  <c r="E194" i="61" s="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7" i="11" l="1"/>
  <c r="G97" i="11" s="1"/>
  <c r="E105" i="11"/>
  <c r="G105" i="11" s="1"/>
  <c r="E101" i="11"/>
  <c r="G101" i="11" s="1"/>
  <c r="E99" i="11"/>
  <c r="G99" i="11" s="1"/>
  <c r="E103" i="11"/>
  <c r="G103" i="11" s="1"/>
  <c r="G95" i="11"/>
  <c r="G94" i="11"/>
  <c r="E96" i="11"/>
  <c r="G96" i="11" s="1"/>
  <c r="E98" i="11"/>
  <c r="G98" i="11" s="1"/>
  <c r="E100" i="11"/>
  <c r="G100" i="11" s="1"/>
  <c r="E102" i="11"/>
  <c r="G102" i="11" s="1"/>
  <c r="E104" i="11"/>
  <c r="G104" i="11" s="1"/>
  <c r="E106" i="11"/>
  <c r="G106" i="11" s="1"/>
  <c r="G107" i="11" l="1"/>
  <c r="E107" i="11"/>
  <c r="H19" i="8" l="1"/>
  <c r="E36" i="7"/>
  <c r="D37" i="7"/>
  <c r="G23" i="2"/>
  <c r="G21" i="2"/>
  <c r="M12" i="64" l="1"/>
  <c r="E38" i="7"/>
  <c r="I21" i="1"/>
  <c r="J19" i="8"/>
  <c r="K22" i="1"/>
  <c r="D39" i="7"/>
  <c r="H18" i="8" l="1"/>
  <c r="F100" i="12"/>
  <c r="B108" i="12"/>
  <c r="E37" i="7" l="1"/>
  <c r="H20" i="8"/>
  <c r="I23" i="1" l="1"/>
  <c r="H6" i="8" l="1"/>
  <c r="I9" i="1" l="1"/>
  <c r="E23" i="2" l="1"/>
  <c r="E21"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E126" i="61"/>
  <c r="E35" i="61"/>
  <c r="F75" i="61"/>
  <c r="G75" i="61" s="1"/>
  <c r="F41" i="61"/>
  <c r="J41" i="61" s="1"/>
  <c r="G11" i="2"/>
  <c r="C64" i="46"/>
  <c r="G56" i="26"/>
  <c r="G57" i="26" s="1"/>
  <c r="G37" i="26" s="1"/>
  <c r="D37" i="26" s="1"/>
  <c r="G6" i="26" s="1"/>
  <c r="H6" i="26" s="1"/>
  <c r="E63" i="26"/>
  <c r="G10" i="2" s="1"/>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E40" i="56"/>
  <c r="E42" i="56" s="1"/>
  <c r="G20" i="2" s="1"/>
  <c r="E26" i="56"/>
  <c r="E12" i="56"/>
  <c r="E17" i="56" s="1"/>
  <c r="J9" i="8"/>
  <c r="G9" i="2"/>
  <c r="A7" i="2"/>
  <c r="A8" i="2" s="1"/>
  <c r="A9" i="2" s="1"/>
  <c r="A10" i="2" s="1"/>
  <c r="K126" i="1"/>
  <c r="J50" i="8" s="1"/>
  <c r="A11" i="7"/>
  <c r="A12" i="7" s="1"/>
  <c r="A13" i="7" s="1"/>
  <c r="A14" i="7" s="1"/>
  <c r="A15" i="7" s="1"/>
  <c r="A16" i="7" s="1"/>
  <c r="K32" i="1"/>
  <c r="I87" i="65"/>
  <c r="I86" i="65"/>
  <c r="I85" i="65"/>
  <c r="I83" i="65"/>
  <c r="I82" i="65"/>
  <c r="I81" i="65"/>
  <c r="I79" i="65"/>
  <c r="I78" i="65"/>
  <c r="G89" i="65"/>
  <c r="E89" i="65"/>
  <c r="C89" i="65"/>
  <c r="A14" i="65"/>
  <c r="A15" i="65" s="1"/>
  <c r="A16" i="65" s="1"/>
  <c r="A17" i="65" s="1"/>
  <c r="A18" i="65" s="1"/>
  <c r="A19" i="65" s="1"/>
  <c r="A20" i="65" s="1"/>
  <c r="A21" i="65" s="1"/>
  <c r="A22" i="65" s="1"/>
  <c r="A23" i="65" s="1"/>
  <c r="I77" i="65"/>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08" i="61"/>
  <c r="F189" i="61"/>
  <c r="G189" i="61" s="1"/>
  <c r="I189" i="61" s="1"/>
  <c r="F187" i="61"/>
  <c r="J187" i="61" s="1"/>
  <c r="L193" i="61"/>
  <c r="F186" i="61"/>
  <c r="N186" i="61" s="1"/>
  <c r="H181" i="61"/>
  <c r="E181" i="61"/>
  <c r="E182" i="61" s="1"/>
  <c r="F176" i="61"/>
  <c r="J176" i="61" s="1"/>
  <c r="M176" i="61" s="1"/>
  <c r="F175" i="61"/>
  <c r="J175" i="61" s="1"/>
  <c r="M175" i="61" s="1"/>
  <c r="F174" i="61"/>
  <c r="N174" i="61" s="1"/>
  <c r="F173" i="61"/>
  <c r="G173" i="61" s="1"/>
  <c r="I173" i="61" s="1"/>
  <c r="F172" i="61"/>
  <c r="J172" i="61" s="1"/>
  <c r="M172" i="61" s="1"/>
  <c r="F171" i="61"/>
  <c r="N171" i="61" s="1"/>
  <c r="F170" i="61"/>
  <c r="J170" i="61" s="1"/>
  <c r="M170" i="61" s="1"/>
  <c r="F169" i="61"/>
  <c r="N169" i="61" s="1"/>
  <c r="F168" i="61"/>
  <c r="J168" i="61" s="1"/>
  <c r="M168" i="61" s="1"/>
  <c r="F167" i="61"/>
  <c r="G167" i="61" s="1"/>
  <c r="I167" i="61" s="1"/>
  <c r="F166" i="61"/>
  <c r="N166" i="61" s="1"/>
  <c r="F165" i="61"/>
  <c r="N165" i="61" s="1"/>
  <c r="F164" i="61"/>
  <c r="N164" i="61" s="1"/>
  <c r="L181" i="61"/>
  <c r="N160" i="61"/>
  <c r="M160" i="61"/>
  <c r="L160" i="61"/>
  <c r="J160" i="61"/>
  <c r="I160" i="61"/>
  <c r="H160" i="61"/>
  <c r="G160" i="61"/>
  <c r="E160" i="61"/>
  <c r="N155" i="61"/>
  <c r="M155" i="61"/>
  <c r="L155" i="61"/>
  <c r="J155" i="61"/>
  <c r="I155" i="61"/>
  <c r="H155" i="61"/>
  <c r="G155" i="61"/>
  <c r="E155" i="61"/>
  <c r="L150" i="61"/>
  <c r="E150" i="61"/>
  <c r="F145" i="61"/>
  <c r="J145" i="61" s="1"/>
  <c r="M145" i="61" s="1"/>
  <c r="F144" i="61"/>
  <c r="G144" i="61" s="1"/>
  <c r="I144" i="61" s="1"/>
  <c r="F143" i="61"/>
  <c r="J143" i="61" s="1"/>
  <c r="M143" i="61" s="1"/>
  <c r="F142" i="61"/>
  <c r="N142" i="61" s="1"/>
  <c r="F141" i="61"/>
  <c r="N141" i="61" s="1"/>
  <c r="F140" i="61"/>
  <c r="N140" i="61" s="1"/>
  <c r="F139" i="61"/>
  <c r="N139" i="61" s="1"/>
  <c r="F138" i="61"/>
  <c r="N138" i="61" s="1"/>
  <c r="F137" i="61"/>
  <c r="N137" i="61" s="1"/>
  <c r="F136" i="61"/>
  <c r="N136" i="61" s="1"/>
  <c r="F135" i="61"/>
  <c r="G135" i="61" s="1"/>
  <c r="H135" i="61" s="1"/>
  <c r="I135" i="61" s="1"/>
  <c r="F134" i="61"/>
  <c r="N134" i="61" s="1"/>
  <c r="F133" i="61"/>
  <c r="N133" i="61" s="1"/>
  <c r="F132" i="61"/>
  <c r="N132" i="61" s="1"/>
  <c r="F131" i="61"/>
  <c r="N131" i="61" s="1"/>
  <c r="F130" i="61"/>
  <c r="N130" i="61" s="1"/>
  <c r="F129" i="61"/>
  <c r="G129" i="61" s="1"/>
  <c r="H129" i="61" s="1"/>
  <c r="F115" i="61"/>
  <c r="N115" i="61" s="1"/>
  <c r="F114" i="61"/>
  <c r="N114" i="61" s="1"/>
  <c r="F113" i="61"/>
  <c r="N113" i="61" s="1"/>
  <c r="F112" i="61"/>
  <c r="N112" i="61" s="1"/>
  <c r="F111" i="61"/>
  <c r="G111" i="61" s="1"/>
  <c r="I111" i="61" s="1"/>
  <c r="F110" i="61"/>
  <c r="N110" i="61" s="1"/>
  <c r="F109" i="61"/>
  <c r="N109" i="61" s="1"/>
  <c r="F108" i="61"/>
  <c r="N108" i="61" s="1"/>
  <c r="F107" i="61"/>
  <c r="J107" i="61" s="1"/>
  <c r="M107" i="61" s="1"/>
  <c r="F106" i="61"/>
  <c r="J106" i="61" s="1"/>
  <c r="M106" i="61" s="1"/>
  <c r="F105" i="61"/>
  <c r="J105" i="61" s="1"/>
  <c r="M105" i="61" s="1"/>
  <c r="F104" i="61"/>
  <c r="J104" i="61" s="1"/>
  <c r="M104" i="61" s="1"/>
  <c r="F103" i="61"/>
  <c r="N103" i="61" s="1"/>
  <c r="F102" i="61"/>
  <c r="N102" i="61" s="1"/>
  <c r="F101" i="61"/>
  <c r="N101" i="61" s="1"/>
  <c r="F100" i="61"/>
  <c r="J100" i="61" s="1"/>
  <c r="M100" i="61" s="1"/>
  <c r="F99" i="61"/>
  <c r="N99" i="61" s="1"/>
  <c r="F98" i="61"/>
  <c r="G98" i="61" s="1"/>
  <c r="I98" i="61" s="1"/>
  <c r="F97" i="61"/>
  <c r="N97" i="61" s="1"/>
  <c r="F96" i="61"/>
  <c r="J96" i="61" s="1"/>
  <c r="M96" i="61" s="1"/>
  <c r="F95" i="61"/>
  <c r="N95" i="61" s="1"/>
  <c r="F94" i="61"/>
  <c r="J94" i="61" s="1"/>
  <c r="M94" i="61" s="1"/>
  <c r="F93" i="61"/>
  <c r="N93" i="61" s="1"/>
  <c r="F92" i="61"/>
  <c r="J92" i="61" s="1"/>
  <c r="M92" i="61" s="1"/>
  <c r="F91" i="61"/>
  <c r="N91" i="61" s="1"/>
  <c r="F90" i="61"/>
  <c r="J90" i="61" s="1"/>
  <c r="M90" i="61" s="1"/>
  <c r="F89" i="61"/>
  <c r="J89" i="61" s="1"/>
  <c r="M89" i="61" s="1"/>
  <c r="F88" i="61"/>
  <c r="J88" i="61" s="1"/>
  <c r="M88" i="61" s="1"/>
  <c r="F87" i="61"/>
  <c r="N87" i="61" s="1"/>
  <c r="F86" i="61"/>
  <c r="J86" i="61" s="1"/>
  <c r="M86" i="61" s="1"/>
  <c r="F85" i="61"/>
  <c r="N85" i="61" s="1"/>
  <c r="L126" i="61"/>
  <c r="F84" i="61"/>
  <c r="J84" i="61" s="1"/>
  <c r="M84" i="61" s="1"/>
  <c r="F83" i="61"/>
  <c r="J83" i="61" s="1"/>
  <c r="M83" i="61" s="1"/>
  <c r="F82" i="61"/>
  <c r="J82" i="61" s="1"/>
  <c r="M82" i="61" s="1"/>
  <c r="F81" i="61"/>
  <c r="J81" i="61" s="1"/>
  <c r="F80" i="61"/>
  <c r="J80" i="61" s="1"/>
  <c r="M80" i="61" s="1"/>
  <c r="F79" i="61"/>
  <c r="N79" i="61" s="1"/>
  <c r="F78" i="61"/>
  <c r="N78" i="61" s="1"/>
  <c r="H77" i="61"/>
  <c r="G77" i="61" s="1"/>
  <c r="F77" i="61"/>
  <c r="J77" i="61" s="1"/>
  <c r="M77" i="61" s="1"/>
  <c r="H76" i="61"/>
  <c r="F76" i="61"/>
  <c r="G76" i="61" s="1"/>
  <c r="F74" i="61"/>
  <c r="N74" i="61" s="1"/>
  <c r="F73" i="61"/>
  <c r="N73" i="61" s="1"/>
  <c r="F72" i="61"/>
  <c r="N72" i="61" s="1"/>
  <c r="F71" i="61"/>
  <c r="N71" i="61" s="1"/>
  <c r="F70" i="61"/>
  <c r="N70" i="61" s="1"/>
  <c r="F69" i="61"/>
  <c r="J69" i="61" s="1"/>
  <c r="M69" i="61" s="1"/>
  <c r="F68" i="61"/>
  <c r="J68" i="61" s="1"/>
  <c r="M68" i="61" s="1"/>
  <c r="E65" i="61"/>
  <c r="F58" i="61"/>
  <c r="N58" i="61" s="1"/>
  <c r="F57" i="61"/>
  <c r="G57" i="61" s="1"/>
  <c r="I57" i="61" s="1"/>
  <c r="F56" i="61"/>
  <c r="J56" i="61" s="1"/>
  <c r="M56" i="61" s="1"/>
  <c r="F55" i="61"/>
  <c r="N55" i="61" s="1"/>
  <c r="F54" i="61"/>
  <c r="N54" i="61" s="1"/>
  <c r="F53" i="61"/>
  <c r="N53" i="61" s="1"/>
  <c r="F52" i="61"/>
  <c r="N52" i="61" s="1"/>
  <c r="F51" i="61"/>
  <c r="N51" i="61" s="1"/>
  <c r="H50" i="61"/>
  <c r="F50" i="61"/>
  <c r="G50" i="61" s="1"/>
  <c r="H49" i="61"/>
  <c r="G49" i="61" s="1"/>
  <c r="F49" i="61"/>
  <c r="J49" i="61" s="1"/>
  <c r="M49" i="61" s="1"/>
  <c r="H48" i="61"/>
  <c r="F48" i="61"/>
  <c r="G48" i="61" s="1"/>
  <c r="H47" i="61"/>
  <c r="G47" i="61" s="1"/>
  <c r="F47" i="61"/>
  <c r="J47" i="61" s="1"/>
  <c r="M47" i="61" s="1"/>
  <c r="F46" i="61"/>
  <c r="N46" i="61" s="1"/>
  <c r="F45" i="61"/>
  <c r="N45" i="61" s="1"/>
  <c r="F44" i="61"/>
  <c r="J44" i="61" s="1"/>
  <c r="M44" i="61" s="1"/>
  <c r="F43" i="61"/>
  <c r="J43" i="61" s="1"/>
  <c r="M43" i="61" s="1"/>
  <c r="L65" i="61"/>
  <c r="F42" i="61"/>
  <c r="J42" i="61" s="1"/>
  <c r="M42" i="61" s="1"/>
  <c r="F40" i="61"/>
  <c r="N40" i="61" s="1"/>
  <c r="F39" i="61"/>
  <c r="N39" i="61" s="1"/>
  <c r="F38" i="61"/>
  <c r="N38" i="61" s="1"/>
  <c r="L35" i="61"/>
  <c r="H35" i="61"/>
  <c r="F19" i="61"/>
  <c r="N19" i="61" s="1"/>
  <c r="F18" i="61"/>
  <c r="G18" i="61" s="1"/>
  <c r="I18" i="61" s="1"/>
  <c r="F17" i="61"/>
  <c r="J17" i="61" s="1"/>
  <c r="M17" i="61" s="1"/>
  <c r="F16" i="61"/>
  <c r="N16" i="61" s="1"/>
  <c r="F15" i="61"/>
  <c r="J15" i="61" s="1"/>
  <c r="M15" i="61" s="1"/>
  <c r="F14" i="61"/>
  <c r="G14" i="61" s="1"/>
  <c r="I14" i="61" s="1"/>
  <c r="F13" i="61"/>
  <c r="J13" i="61" s="1"/>
  <c r="F12" i="61"/>
  <c r="J12" i="61" s="1"/>
  <c r="M12" i="61" s="1"/>
  <c r="F11" i="61"/>
  <c r="J11" i="61" s="1"/>
  <c r="L8" i="61"/>
  <c r="H8" i="61"/>
  <c r="E8" i="61"/>
  <c r="F5" i="61"/>
  <c r="J5" i="61" s="1"/>
  <c r="M5" i="61" s="1"/>
  <c r="F4" i="61"/>
  <c r="G4" i="61" s="1"/>
  <c r="D16" i="57"/>
  <c r="E11" i="57"/>
  <c r="E12" i="57" s="1"/>
  <c r="D11" i="57"/>
  <c r="D10" i="57"/>
  <c r="C10" i="57" s="1"/>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C40" i="56"/>
  <c r="C42" i="56" s="1"/>
  <c r="F39" i="56"/>
  <c r="F38" i="56"/>
  <c r="F36" i="56"/>
  <c r="C26" i="56"/>
  <c r="F25" i="56"/>
  <c r="F24" i="56"/>
  <c r="F23" i="56"/>
  <c r="F22" i="56"/>
  <c r="F21" i="56"/>
  <c r="F20" i="56"/>
  <c r="C12" i="56"/>
  <c r="C17" i="56" s="1"/>
  <c r="K30" i="1"/>
  <c r="K134" i="1"/>
  <c r="J58" i="8" s="1"/>
  <c r="A13" i="32"/>
  <c r="G14" i="32" s="1"/>
  <c r="A7" i="26"/>
  <c r="A8" i="26" s="1"/>
  <c r="A9" i="26" s="1"/>
  <c r="A10" i="26" s="1"/>
  <c r="A27" i="11"/>
  <c r="K100" i="1"/>
  <c r="A7" i="8"/>
  <c r="A8" i="8" s="1"/>
  <c r="A9" i="8" s="1"/>
  <c r="E27" i="32"/>
  <c r="K12" i="1"/>
  <c r="K128" i="1"/>
  <c r="F24" i="26"/>
  <c r="F7" i="42"/>
  <c r="F27" i="12"/>
  <c r="F56" i="12" s="1"/>
  <c r="F26" i="12"/>
  <c r="F55" i="12" s="1"/>
  <c r="F25" i="12"/>
  <c r="F54" i="12" s="1"/>
  <c r="J44" i="8"/>
  <c r="F22" i="31"/>
  <c r="E22" i="31"/>
  <c r="D22" i="31"/>
  <c r="E20" i="26"/>
  <c r="F15" i="56"/>
  <c r="G56" i="61"/>
  <c r="I56" i="61" s="1"/>
  <c r="F47" i="11"/>
  <c r="F61" i="11"/>
  <c r="A28" i="11"/>
  <c r="A29" i="11" s="1"/>
  <c r="A30" i="11" s="1"/>
  <c r="A31" i="11" s="1"/>
  <c r="A32" i="11" s="1"/>
  <c r="A33" i="11" s="1"/>
  <c r="A34" i="11" s="1"/>
  <c r="A35" i="11" s="1"/>
  <c r="A36" i="11" s="1"/>
  <c r="A37" i="11" s="1"/>
  <c r="D89" i="65"/>
  <c r="F89" i="65"/>
  <c r="H89" i="65"/>
  <c r="I80" i="65"/>
  <c r="I84" i="65"/>
  <c r="I88" i="65"/>
  <c r="C43" i="46"/>
  <c r="L11" i="46"/>
  <c r="E74" i="46" s="1"/>
  <c r="K11" i="46"/>
  <c r="K34" i="46"/>
  <c r="D97" i="46" s="1"/>
  <c r="K36" i="46"/>
  <c r="D99" i="46" s="1"/>
  <c r="K38" i="46"/>
  <c r="K40" i="46"/>
  <c r="L52" i="46"/>
  <c r="H64" i="44"/>
  <c r="A10" i="1"/>
  <c r="J95" i="61" l="1"/>
  <c r="M95" i="61" s="1"/>
  <c r="J136" i="61"/>
  <c r="M136" i="61" s="1"/>
  <c r="G143" i="61"/>
  <c r="I143" i="61" s="1"/>
  <c r="J112" i="61"/>
  <c r="M112" i="61" s="1"/>
  <c r="G80" i="61"/>
  <c r="I80" i="61" s="1"/>
  <c r="G70" i="61"/>
  <c r="I70" i="61" s="1"/>
  <c r="J171" i="61"/>
  <c r="M171" i="61" s="1"/>
  <c r="N105" i="61"/>
  <c r="G97" i="61"/>
  <c r="I97" i="61" s="1"/>
  <c r="G19" i="61"/>
  <c r="I19" i="61" s="1"/>
  <c r="J14" i="61"/>
  <c r="M14" i="61" s="1"/>
  <c r="N94" i="61"/>
  <c r="G16" i="61"/>
  <c r="I16" i="61" s="1"/>
  <c r="G54" i="61"/>
  <c r="I54" i="61" s="1"/>
  <c r="J108" i="61"/>
  <c r="M108" i="61" s="1"/>
  <c r="N90" i="61"/>
  <c r="G12" i="61"/>
  <c r="I12" i="61" s="1"/>
  <c r="J132" i="61"/>
  <c r="M132" i="61" s="1"/>
  <c r="J16" i="61"/>
  <c r="M16" i="61" s="1"/>
  <c r="G168" i="61"/>
  <c r="I168" i="61" s="1"/>
  <c r="J113" i="61"/>
  <c r="M113" i="61" s="1"/>
  <c r="N76" i="61"/>
  <c r="N82" i="61"/>
  <c r="J135" i="61"/>
  <c r="M135" i="61" s="1"/>
  <c r="J76" i="61"/>
  <c r="M76" i="61" s="1"/>
  <c r="J85" i="61"/>
  <c r="M85" i="61" s="1"/>
  <c r="J73" i="61"/>
  <c r="M73" i="61" s="1"/>
  <c r="J166" i="61"/>
  <c r="M166" i="61" s="1"/>
  <c r="J39" i="61"/>
  <c r="M39" i="61" s="1"/>
  <c r="J19" i="61"/>
  <c r="M19" i="61" s="1"/>
  <c r="J139" i="61"/>
  <c r="M139" i="61" s="1"/>
  <c r="N84" i="61"/>
  <c r="G15" i="61"/>
  <c r="I15" i="61" s="1"/>
  <c r="N12" i="61"/>
  <c r="G186" i="61"/>
  <c r="I186" i="61" s="1"/>
  <c r="J189" i="61"/>
  <c r="M189" i="61" s="1"/>
  <c r="G88" i="61"/>
  <c r="I88" i="61" s="1"/>
  <c r="G55" i="61"/>
  <c r="I55" i="61" s="1"/>
  <c r="G93" i="61"/>
  <c r="I93" i="61" s="1"/>
  <c r="J52" i="8"/>
  <c r="N172" i="61"/>
  <c r="N89" i="61"/>
  <c r="G140" i="61"/>
  <c r="I140" i="61" s="1"/>
  <c r="G52" i="61"/>
  <c r="I52" i="61" s="1"/>
  <c r="N68" i="61"/>
  <c r="J165" i="61"/>
  <c r="M165" i="61" s="1"/>
  <c r="G113" i="61"/>
  <c r="I113" i="61" s="1"/>
  <c r="G99" i="61"/>
  <c r="I99" i="61" s="1"/>
  <c r="A41" i="46"/>
  <c r="A42" i="46" s="1"/>
  <c r="A43" i="46" s="1"/>
  <c r="E9" i="2"/>
  <c r="A24" i="65"/>
  <c r="A25" i="65" s="1"/>
  <c r="A26" i="65" s="1"/>
  <c r="A27" i="65" s="1"/>
  <c r="A28" i="65" s="1"/>
  <c r="A29" i="65" s="1"/>
  <c r="A30" i="65" s="1"/>
  <c r="A31" i="65" s="1"/>
  <c r="A32" i="65" s="1"/>
  <c r="A33" i="65" s="1"/>
  <c r="A34" i="65" s="1"/>
  <c r="A35" i="65" s="1"/>
  <c r="A36" i="65" s="1"/>
  <c r="A38" i="65" s="1"/>
  <c r="F47" i="71"/>
  <c r="E54" i="7"/>
  <c r="A29" i="57"/>
  <c r="N129" i="61"/>
  <c r="J109" i="61"/>
  <c r="M109" i="61" s="1"/>
  <c r="G86" i="61"/>
  <c r="I86" i="61" s="1"/>
  <c r="G72" i="61"/>
  <c r="I72" i="61" s="1"/>
  <c r="N83" i="61"/>
  <c r="J99" i="61"/>
  <c r="M99" i="61" s="1"/>
  <c r="G89" i="61"/>
  <c r="I89" i="61" s="1"/>
  <c r="J133" i="61"/>
  <c r="M133" i="61" s="1"/>
  <c r="J103" i="61"/>
  <c r="M103" i="61" s="1"/>
  <c r="J72" i="61"/>
  <c r="M72" i="61" s="1"/>
  <c r="G176" i="61"/>
  <c r="I176" i="61" s="1"/>
  <c r="J140" i="61"/>
  <c r="M140" i="61" s="1"/>
  <c r="G137" i="61"/>
  <c r="I137" i="61" s="1"/>
  <c r="G83" i="61"/>
  <c r="I83" i="61" s="1"/>
  <c r="G68" i="61"/>
  <c r="J45" i="61"/>
  <c r="M45" i="61" s="1"/>
  <c r="G165" i="61"/>
  <c r="I165" i="61" s="1"/>
  <c r="G133" i="61"/>
  <c r="I133" i="61" s="1"/>
  <c r="G103" i="61"/>
  <c r="I103" i="61" s="1"/>
  <c r="G95" i="61"/>
  <c r="I95" i="61" s="1"/>
  <c r="J52" i="61"/>
  <c r="M52" i="61" s="1"/>
  <c r="N100" i="61"/>
  <c r="N42" i="61"/>
  <c r="C28" i="56"/>
  <c r="J129" i="61"/>
  <c r="M129" i="61" s="1"/>
  <c r="G91" i="61"/>
  <c r="I91" i="61" s="1"/>
  <c r="J38" i="61"/>
  <c r="M38" i="61" s="1"/>
  <c r="J79" i="61"/>
  <c r="M79" i="61" s="1"/>
  <c r="J137" i="61"/>
  <c r="M137" i="61" s="1"/>
  <c r="J91" i="61"/>
  <c r="M91" i="61" s="1"/>
  <c r="G79" i="61"/>
  <c r="I79" i="61" s="1"/>
  <c r="G38" i="61"/>
  <c r="N44" i="61"/>
  <c r="F40" i="56"/>
  <c r="M11" i="61"/>
  <c r="E28" i="56"/>
  <c r="G19" i="2" s="1"/>
  <c r="A11" i="1"/>
  <c r="A12" i="1" s="1"/>
  <c r="A15" i="1" s="1"/>
  <c r="A16" i="1" s="1"/>
  <c r="A17" i="1" s="1"/>
  <c r="H14" i="8" s="1"/>
  <c r="D18" i="57"/>
  <c r="D12" i="57"/>
  <c r="E61" i="11"/>
  <c r="E55" i="12" s="1"/>
  <c r="C58" i="46"/>
  <c r="C60" i="46" s="1"/>
  <c r="I60" i="46"/>
  <c r="F42" i="56"/>
  <c r="F17" i="56"/>
  <c r="C11" i="57"/>
  <c r="C12" i="57" s="1"/>
  <c r="K20" i="57"/>
  <c r="E31" i="57" s="1"/>
  <c r="J111" i="61"/>
  <c r="M111" i="61" s="1"/>
  <c r="G74" i="61"/>
  <c r="I74" i="61" s="1"/>
  <c r="J93" i="61"/>
  <c r="M93" i="61" s="1"/>
  <c r="N75" i="61"/>
  <c r="G58" i="61"/>
  <c r="I58" i="61" s="1"/>
  <c r="N145" i="61"/>
  <c r="G142" i="61"/>
  <c r="I142" i="61" s="1"/>
  <c r="G46" i="61"/>
  <c r="I46" i="61" s="1"/>
  <c r="N35" i="61"/>
  <c r="H126" i="61"/>
  <c r="J75" i="61"/>
  <c r="M75" i="61" s="1"/>
  <c r="N15" i="61"/>
  <c r="J74" i="61"/>
  <c r="M74" i="61" s="1"/>
  <c r="G172" i="61"/>
  <c r="I172" i="61" s="1"/>
  <c r="J164" i="61"/>
  <c r="M164" i="61" s="1"/>
  <c r="J138" i="61"/>
  <c r="M138" i="61" s="1"/>
  <c r="J115" i="61"/>
  <c r="M115" i="61" s="1"/>
  <c r="G82" i="61"/>
  <c r="I82" i="61" s="1"/>
  <c r="G71" i="61"/>
  <c r="I71" i="61" s="1"/>
  <c r="G43" i="61"/>
  <c r="I43" i="61" s="1"/>
  <c r="G11" i="61"/>
  <c r="N86" i="61"/>
  <c r="N176" i="61"/>
  <c r="N5" i="61"/>
  <c r="G175" i="61"/>
  <c r="I175" i="61" s="1"/>
  <c r="N143" i="61"/>
  <c r="G131" i="61"/>
  <c r="I131" i="61" s="1"/>
  <c r="J102" i="61"/>
  <c r="M102" i="61" s="1"/>
  <c r="J142" i="61"/>
  <c r="M142" i="61" s="1"/>
  <c r="N88" i="61"/>
  <c r="G78" i="61"/>
  <c r="I78" i="61" s="1"/>
  <c r="J54" i="61"/>
  <c r="M54" i="61" s="1"/>
  <c r="G51" i="61"/>
  <c r="I51" i="61" s="1"/>
  <c r="G44" i="61"/>
  <c r="I44" i="61" s="1"/>
  <c r="J98" i="61"/>
  <c r="M98" i="61" s="1"/>
  <c r="N56" i="61"/>
  <c r="J18" i="61"/>
  <c r="M18" i="61" s="1"/>
  <c r="J167" i="61"/>
  <c r="M167" i="61" s="1"/>
  <c r="J46" i="61"/>
  <c r="M46" i="61" s="1"/>
  <c r="G87" i="61"/>
  <c r="I87" i="61" s="1"/>
  <c r="J23" i="46"/>
  <c r="C86" i="46" s="1"/>
  <c r="D86" i="46"/>
  <c r="H86" i="46" s="1"/>
  <c r="G86" i="46" s="1"/>
  <c r="J33" i="46"/>
  <c r="C96" i="46" s="1"/>
  <c r="F41" i="12"/>
  <c r="F39" i="12"/>
  <c r="F26" i="56"/>
  <c r="H24" i="8"/>
  <c r="I28" i="1"/>
  <c r="E62" i="11"/>
  <c r="E56" i="12" s="1"/>
  <c r="F40" i="12"/>
  <c r="E47" i="11"/>
  <c r="E40" i="12" s="1"/>
  <c r="E21" i="32"/>
  <c r="C16" i="57"/>
  <c r="G20" i="57"/>
  <c r="C26" i="57" s="1"/>
  <c r="C15" i="57"/>
  <c r="J39" i="46"/>
  <c r="C102" i="46" s="1"/>
  <c r="D96" i="46"/>
  <c r="J37" i="46"/>
  <c r="C100" i="46" s="1"/>
  <c r="N47" i="61"/>
  <c r="N77" i="61"/>
  <c r="N17" i="61"/>
  <c r="N41" i="61"/>
  <c r="N14" i="61"/>
  <c r="G187" i="61"/>
  <c r="I187" i="61" s="1"/>
  <c r="G138" i="61"/>
  <c r="I138" i="61" s="1"/>
  <c r="G107" i="61"/>
  <c r="I107" i="61" s="1"/>
  <c r="G84" i="61"/>
  <c r="I84" i="61" s="1"/>
  <c r="G73" i="61"/>
  <c r="I73" i="61" s="1"/>
  <c r="G69" i="61"/>
  <c r="I69" i="61" s="1"/>
  <c r="N18" i="61"/>
  <c r="G5" i="61"/>
  <c r="I5" i="61" s="1"/>
  <c r="N4" i="61"/>
  <c r="N170" i="61"/>
  <c r="N187" i="61"/>
  <c r="N173" i="61"/>
  <c r="J141" i="61"/>
  <c r="M141" i="61" s="1"/>
  <c r="J101" i="61"/>
  <c r="M101" i="61" s="1"/>
  <c r="J169" i="61"/>
  <c r="M169" i="61" s="1"/>
  <c r="G145" i="61"/>
  <c r="I145" i="61" s="1"/>
  <c r="J97" i="61"/>
  <c r="M97" i="61" s="1"/>
  <c r="G53" i="61"/>
  <c r="I53" i="61" s="1"/>
  <c r="J40" i="61"/>
  <c r="M40" i="61" s="1"/>
  <c r="G96" i="61"/>
  <c r="I96" i="61" s="1"/>
  <c r="J87" i="61"/>
  <c r="M87" i="61" s="1"/>
  <c r="J48" i="61"/>
  <c r="M48" i="61" s="1"/>
  <c r="G92" i="61"/>
  <c r="I92" i="61" s="1"/>
  <c r="N13" i="61"/>
  <c r="J130" i="61"/>
  <c r="M130" i="61" s="1"/>
  <c r="J173" i="61"/>
  <c r="M173" i="61" s="1"/>
  <c r="N104" i="61"/>
  <c r="N111" i="61"/>
  <c r="J70" i="61"/>
  <c r="M70" i="61" s="1"/>
  <c r="N50" i="61"/>
  <c r="J174" i="61"/>
  <c r="M174" i="61" s="1"/>
  <c r="N106" i="61"/>
  <c r="G81" i="61"/>
  <c r="I81" i="61" s="1"/>
  <c r="G17" i="61"/>
  <c r="I17" i="61" s="1"/>
  <c r="G13" i="61"/>
  <c r="I13" i="61" s="1"/>
  <c r="J58" i="61"/>
  <c r="M58" i="61" s="1"/>
  <c r="N81" i="61"/>
  <c r="N69" i="61"/>
  <c r="N189" i="61"/>
  <c r="N167" i="61"/>
  <c r="J144" i="61"/>
  <c r="M144" i="61" s="1"/>
  <c r="J134" i="61"/>
  <c r="M134" i="61" s="1"/>
  <c r="J131" i="61"/>
  <c r="M131" i="61" s="1"/>
  <c r="G101" i="61"/>
  <c r="I101" i="61" s="1"/>
  <c r="N135" i="61"/>
  <c r="G40" i="61"/>
  <c r="I40" i="61" s="1"/>
  <c r="G100" i="61"/>
  <c r="I100" i="61" s="1"/>
  <c r="N96" i="61"/>
  <c r="H65" i="61"/>
  <c r="G41" i="61"/>
  <c r="I41" i="61" s="1"/>
  <c r="N57" i="61"/>
  <c r="J71" i="61"/>
  <c r="M71" i="61" s="1"/>
  <c r="G170" i="61"/>
  <c r="I170" i="61" s="1"/>
  <c r="G174" i="61"/>
  <c r="I174" i="61" s="1"/>
  <c r="G164" i="61"/>
  <c r="I164" i="61" s="1"/>
  <c r="G139" i="61"/>
  <c r="I139" i="61" s="1"/>
  <c r="G136" i="61"/>
  <c r="I136" i="61" s="1"/>
  <c r="J110" i="61"/>
  <c r="M110" i="61" s="1"/>
  <c r="G106" i="61"/>
  <c r="I106" i="61" s="1"/>
  <c r="G94" i="61"/>
  <c r="I94" i="61" s="1"/>
  <c r="G115" i="61"/>
  <c r="I115" i="61" s="1"/>
  <c r="G112" i="61"/>
  <c r="I112" i="61" s="1"/>
  <c r="N107" i="61"/>
  <c r="J57" i="61"/>
  <c r="M57" i="61" s="1"/>
  <c r="N49" i="61"/>
  <c r="N11" i="61"/>
  <c r="G109" i="61"/>
  <c r="I109" i="61" s="1"/>
  <c r="N168" i="61"/>
  <c r="N43" i="61"/>
  <c r="J186" i="61"/>
  <c r="M186" i="61" s="1"/>
  <c r="G171" i="61"/>
  <c r="I171" i="61" s="1"/>
  <c r="N144" i="61"/>
  <c r="G141" i="61"/>
  <c r="I141" i="61" s="1"/>
  <c r="G134" i="61"/>
  <c r="I134" i="61" s="1"/>
  <c r="G132" i="61"/>
  <c r="I132" i="61" s="1"/>
  <c r="G130" i="61"/>
  <c r="G169" i="61"/>
  <c r="I169" i="61" s="1"/>
  <c r="J55" i="61"/>
  <c r="M55" i="61" s="1"/>
  <c r="J53" i="61"/>
  <c r="M53" i="61" s="1"/>
  <c r="J51" i="61"/>
  <c r="M51" i="61" s="1"/>
  <c r="G42" i="61"/>
  <c r="I42" i="61" s="1"/>
  <c r="G39" i="61"/>
  <c r="I39" i="61" s="1"/>
  <c r="N98" i="61"/>
  <c r="G85" i="61"/>
  <c r="I85" i="61" s="1"/>
  <c r="N48" i="61"/>
  <c r="N175" i="61"/>
  <c r="G166" i="61"/>
  <c r="I166" i="61" s="1"/>
  <c r="J114" i="61"/>
  <c r="M114" i="61" s="1"/>
  <c r="G108" i="61"/>
  <c r="I108" i="61" s="1"/>
  <c r="G105" i="61"/>
  <c r="I105" i="61" s="1"/>
  <c r="G90" i="61"/>
  <c r="I90" i="61" s="1"/>
  <c r="G114" i="61"/>
  <c r="I114" i="61" s="1"/>
  <c r="G110" i="61"/>
  <c r="I110" i="61" s="1"/>
  <c r="N92" i="61"/>
  <c r="G45" i="61"/>
  <c r="I45" i="61" s="1"/>
  <c r="J4" i="61"/>
  <c r="G104" i="61"/>
  <c r="I104" i="61" s="1"/>
  <c r="G102" i="61"/>
  <c r="I102" i="61" s="1"/>
  <c r="J78" i="61"/>
  <c r="M78" i="61" s="1"/>
  <c r="J50" i="61"/>
  <c r="M50" i="61" s="1"/>
  <c r="N80" i="61"/>
  <c r="E197" i="61"/>
  <c r="I89" i="65"/>
  <c r="F12" i="56"/>
  <c r="E13" i="32"/>
  <c r="H20" i="57"/>
  <c r="D26" i="57" s="1"/>
  <c r="E26" i="57" s="1"/>
  <c r="C17" i="57"/>
  <c r="I129" i="61"/>
  <c r="H150" i="61"/>
  <c r="L197" i="61"/>
  <c r="E200" i="61" s="1"/>
  <c r="E201" i="61" s="1"/>
  <c r="L58" i="46"/>
  <c r="J55" i="46"/>
  <c r="C118" i="46" s="1"/>
  <c r="J53" i="46"/>
  <c r="C116" i="46" s="1"/>
  <c r="J54" i="46"/>
  <c r="C117" i="46" s="1"/>
  <c r="G90" i="46"/>
  <c r="J36" i="46"/>
  <c r="C99" i="46" s="1"/>
  <c r="J38" i="46"/>
  <c r="C101" i="46" s="1"/>
  <c r="J35" i="46"/>
  <c r="C98" i="46" s="1"/>
  <c r="J40" i="46"/>
  <c r="C103" i="46" s="1"/>
  <c r="L43" i="46"/>
  <c r="E48" i="11"/>
  <c r="E20" i="71"/>
  <c r="E24" i="71" s="1"/>
  <c r="A11" i="2"/>
  <c r="A12" i="2" s="1"/>
  <c r="I50" i="61"/>
  <c r="I76" i="61"/>
  <c r="J20" i="57"/>
  <c r="D27" i="57" s="1"/>
  <c r="I20" i="57"/>
  <c r="C27" i="57" s="1"/>
  <c r="D103" i="46"/>
  <c r="H103" i="46" s="1"/>
  <c r="G103" i="46" s="1"/>
  <c r="G24" i="26"/>
  <c r="A11" i="26"/>
  <c r="A12" i="26" s="1"/>
  <c r="A13" i="26" s="1"/>
  <c r="A14" i="26" s="1"/>
  <c r="A15" i="26" s="1"/>
  <c r="A16" i="26" s="1"/>
  <c r="A17" i="26" s="1"/>
  <c r="A18" i="26" s="1"/>
  <c r="A19" i="26" s="1"/>
  <c r="A20" i="26" s="1"/>
  <c r="M187" i="61"/>
  <c r="J27" i="8"/>
  <c r="G12" i="2"/>
  <c r="G13" i="2" s="1"/>
  <c r="D101" i="46"/>
  <c r="H101" i="46" s="1"/>
  <c r="G101" i="46" s="1"/>
  <c r="E18" i="57"/>
  <c r="E20" i="57" s="1"/>
  <c r="M13" i="61"/>
  <c r="I48" i="61"/>
  <c r="M41" i="61"/>
  <c r="I4" i="61"/>
  <c r="M81" i="61"/>
  <c r="I75" i="61"/>
  <c r="E37" i="11"/>
  <c r="K28" i="1" s="1"/>
  <c r="F20" i="17"/>
  <c r="F22" i="17" s="1"/>
  <c r="K101" i="1"/>
  <c r="K102"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I18" i="1"/>
  <c r="G77" i="44"/>
  <c r="A31" i="44"/>
  <c r="A46" i="11"/>
  <c r="H39" i="12" s="1"/>
  <c r="A12" i="8"/>
  <c r="A11" i="56"/>
  <c r="A12" i="56" s="1"/>
  <c r="E115" i="46"/>
  <c r="E141" i="71"/>
  <c r="A22" i="7"/>
  <c r="A23" i="7" s="1"/>
  <c r="A24" i="7" s="1"/>
  <c r="A25" i="7" s="1"/>
  <c r="E140" i="71"/>
  <c r="E68" i="8"/>
  <c r="A23" i="22"/>
  <c r="A14" i="32"/>
  <c r="A20" i="32" s="1"/>
  <c r="A27" i="12"/>
  <c r="D47" i="71"/>
  <c r="E47" i="71"/>
  <c r="E54" i="71"/>
  <c r="D54" i="71"/>
  <c r="A6" i="31"/>
  <c r="A7" i="31" s="1"/>
  <c r="A8" i="31" s="1"/>
  <c r="B39" i="31" s="1"/>
  <c r="N30" i="61" l="1"/>
  <c r="E51" i="11"/>
  <c r="A44" i="46"/>
  <c r="A52" i="46" s="1"/>
  <c r="A53" i="46" s="1"/>
  <c r="A54" i="46" s="1"/>
  <c r="A55" i="46" s="1"/>
  <c r="E62" i="46"/>
  <c r="D20" i="57"/>
  <c r="I11" i="61"/>
  <c r="I30" i="61" s="1"/>
  <c r="G30" i="61"/>
  <c r="M30" i="61"/>
  <c r="I68" i="61"/>
  <c r="I126" i="61" s="1"/>
  <c r="G126" i="61"/>
  <c r="A30" i="57"/>
  <c r="A31" i="57" s="1"/>
  <c r="G31" i="57"/>
  <c r="C76" i="26"/>
  <c r="F54" i="71"/>
  <c r="E58" i="7"/>
  <c r="A18" i="1"/>
  <c r="A21" i="1" s="1"/>
  <c r="I35" i="61"/>
  <c r="G35" i="61"/>
  <c r="J30" i="61"/>
  <c r="I38" i="61"/>
  <c r="I65" i="61" s="1"/>
  <c r="G65" i="61"/>
  <c r="C18" i="57"/>
  <c r="C20" i="57" s="1"/>
  <c r="C28" i="57"/>
  <c r="I193" i="61"/>
  <c r="N193" i="61"/>
  <c r="N181" i="61"/>
  <c r="G8" i="61"/>
  <c r="N8" i="61"/>
  <c r="N150" i="61"/>
  <c r="J35" i="61"/>
  <c r="M193" i="61"/>
  <c r="E205" i="61"/>
  <c r="E206" i="61" s="1"/>
  <c r="M35" i="61"/>
  <c r="M181" i="61"/>
  <c r="L60" i="46"/>
  <c r="E203" i="61"/>
  <c r="E204" i="61" s="1"/>
  <c r="G193" i="61"/>
  <c r="M150" i="61"/>
  <c r="N126" i="61"/>
  <c r="H197" i="61"/>
  <c r="I8" i="61"/>
  <c r="J193" i="61"/>
  <c r="J181" i="61"/>
  <c r="J150" i="61"/>
  <c r="I181" i="61"/>
  <c r="N65" i="61"/>
  <c r="M4" i="61"/>
  <c r="M8" i="61" s="1"/>
  <c r="J8" i="61"/>
  <c r="I130" i="61"/>
  <c r="I150" i="61" s="1"/>
  <c r="G150" i="61"/>
  <c r="M126" i="61"/>
  <c r="M65" i="61"/>
  <c r="J126" i="61"/>
  <c r="J65" i="61"/>
  <c r="G181" i="61"/>
  <c r="E41" i="12"/>
  <c r="E31" i="71"/>
  <c r="F28" i="56"/>
  <c r="E27" i="57"/>
  <c r="D28" i="57"/>
  <c r="E65" i="11"/>
  <c r="A23" i="26"/>
  <c r="A24" i="26" s="1"/>
  <c r="A25" i="26" s="1"/>
  <c r="G23" i="26"/>
  <c r="D31" i="71"/>
  <c r="G76" i="46"/>
  <c r="F112" i="71"/>
  <c r="G41" i="44"/>
  <c r="E25" i="7"/>
  <c r="E12" i="2"/>
  <c r="E13" i="2"/>
  <c r="A13" i="2"/>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G37" i="1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F37" i="11"/>
  <c r="J24" i="8" s="1"/>
  <c r="A24" i="22"/>
  <c r="G27" i="22" s="1"/>
  <c r="A13" i="56"/>
  <c r="A14" i="56" s="1"/>
  <c r="A15" i="56" s="1"/>
  <c r="A16" i="56" s="1"/>
  <c r="A17" i="56" s="1"/>
  <c r="A13" i="8"/>
  <c r="A14" i="8" s="1"/>
  <c r="A15" i="8" s="1"/>
  <c r="A47" i="11"/>
  <c r="H40" i="12" s="1"/>
  <c r="A32" i="44"/>
  <c r="G55" i="44"/>
  <c r="F91" i="12" l="1"/>
  <c r="A56" i="46"/>
  <c r="A57" i="46" s="1"/>
  <c r="A58" i="46" s="1"/>
  <c r="A39" i="65"/>
  <c r="A40" i="65" s="1"/>
  <c r="A32" i="57"/>
  <c r="A33" i="57" s="1"/>
  <c r="G197" i="61"/>
  <c r="D17" i="56"/>
  <c r="E124" i="46"/>
  <c r="E28" i="57"/>
  <c r="E33" i="57" s="1"/>
  <c r="E40" i="57" s="1"/>
  <c r="E43" i="57" s="1"/>
  <c r="E207" i="61"/>
  <c r="E209" i="61" s="1"/>
  <c r="E210" i="61" s="1"/>
  <c r="E213" i="61" s="1"/>
  <c r="I93" i="46"/>
  <c r="H96" i="46"/>
  <c r="I95" i="46"/>
  <c r="M197" i="61"/>
  <c r="N197" i="61"/>
  <c r="I197" i="61"/>
  <c r="J197" i="61"/>
  <c r="I94" i="46"/>
  <c r="H94" i="46"/>
  <c r="K83" i="1"/>
  <c r="E14" i="2"/>
  <c r="A14" i="2"/>
  <c r="H15" i="8"/>
  <c r="H43" i="46"/>
  <c r="H60" i="46" s="1"/>
  <c r="A26" i="26"/>
  <c r="A27" i="26" s="1"/>
  <c r="A28" i="26" s="1"/>
  <c r="G25" i="26"/>
  <c r="H59" i="44"/>
  <c r="H78" i="44" s="1"/>
  <c r="H65" i="44"/>
  <c r="H66" i="44" s="1"/>
  <c r="H79" i="44" s="1"/>
  <c r="J42" i="46"/>
  <c r="C105" i="46" s="1"/>
  <c r="C106" i="46" s="1"/>
  <c r="D105" i="46"/>
  <c r="D106" i="46" s="1"/>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G52" i="21" l="1"/>
  <c r="G59" i="21"/>
  <c r="G62" i="4"/>
  <c r="G57" i="4"/>
  <c r="K130" i="1"/>
  <c r="A59" i="46"/>
  <c r="A60" i="46" s="1"/>
  <c r="E63" i="46"/>
  <c r="A41" i="65"/>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C29" i="57"/>
  <c r="C31" i="57" s="1"/>
  <c r="C33" i="57" s="1"/>
  <c r="C40" i="57" s="1"/>
  <c r="C43" i="57" s="1"/>
  <c r="C45" i="57" s="1"/>
  <c r="B9" i="31"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26" i="26"/>
  <c r="G50" i="22"/>
  <c r="F28" i="54"/>
  <c r="G54" i="22"/>
  <c r="G24" i="22"/>
  <c r="I55" i="1"/>
  <c r="A15" i="2"/>
  <c r="A16" i="2" s="1"/>
  <c r="A17" i="2" s="1"/>
  <c r="A18" i="2" s="1"/>
  <c r="A19" i="2" s="1"/>
  <c r="A20" i="2" s="1"/>
  <c r="A21" i="2" s="1"/>
  <c r="K60" i="46"/>
  <c r="G22" i="32"/>
  <c r="G45" i="57"/>
  <c r="G43" i="57"/>
  <c r="G27" i="26"/>
  <c r="A55" i="12"/>
  <c r="A56" i="12" s="1"/>
  <c r="A57" i="12" s="1"/>
  <c r="A58" i="12" s="1"/>
  <c r="A59" i="12" s="1"/>
  <c r="H61" i="8" s="1"/>
  <c r="B185" i="71"/>
  <c r="B188" i="71"/>
  <c r="J43" i="46"/>
  <c r="J60" i="46" s="1"/>
  <c r="F26" i="71"/>
  <c r="D121" i="46"/>
  <c r="D124" i="46" s="1"/>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J54" i="8" l="1"/>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I148" i="1"/>
  <c r="A33" i="71"/>
  <c r="A34" i="71" s="1"/>
  <c r="F65" i="71" s="1"/>
  <c r="C36" i="71"/>
  <c r="A46" i="57"/>
  <c r="A47" i="57" s="1"/>
  <c r="G9" i="31"/>
  <c r="G10" i="31"/>
  <c r="A28" i="1"/>
  <c r="A30" i="1" s="1"/>
  <c r="H54" i="12"/>
  <c r="F68" i="12"/>
  <c r="E48" i="7"/>
  <c r="E22" i="2"/>
  <c r="A22" i="2"/>
  <c r="B109" i="12"/>
  <c r="A68" i="12"/>
  <c r="K80" i="1"/>
  <c r="K79" i="1"/>
  <c r="K89" i="1" s="1"/>
  <c r="K78" i="1"/>
  <c r="K88" i="1" s="1"/>
  <c r="A19" i="31"/>
  <c r="A20" i="31" s="1"/>
  <c r="A22" i="31" s="1"/>
  <c r="A56" i="7"/>
  <c r="A57" i="7" s="1"/>
  <c r="A58" i="7" s="1"/>
  <c r="A59" i="7" s="1"/>
  <c r="A60" i="7" s="1"/>
  <c r="A61" i="7" s="1"/>
  <c r="E55" i="7" s="1"/>
  <c r="B189" i="71"/>
  <c r="B186" i="71"/>
  <c r="A35" i="71"/>
  <c r="A36" i="71" s="1"/>
  <c r="A23" i="8"/>
  <c r="H29" i="8"/>
  <c r="A30" i="26"/>
  <c r="I125" i="1" s="1"/>
  <c r="G30" i="26"/>
  <c r="H21" i="8"/>
  <c r="D26" i="56"/>
  <c r="G28" i="32"/>
  <c r="A34" i="22"/>
  <c r="A41" i="44"/>
  <c r="A42" i="44" s="1"/>
  <c r="A24" i="31"/>
  <c r="A27" i="31" s="1"/>
  <c r="A61" i="11"/>
  <c r="A27" i="56"/>
  <c r="A28" i="56" s="1"/>
  <c r="D28" i="56"/>
  <c r="E95" i="8" l="1"/>
  <c r="E94" i="8"/>
  <c r="A31" i="1"/>
  <c r="A32" i="1" s="1"/>
  <c r="A34" i="1" s="1"/>
  <c r="I115" i="1" s="1"/>
  <c r="A104" i="46"/>
  <c r="A105" i="46" s="1"/>
  <c r="A106" i="46" s="1"/>
  <c r="A107" i="46" s="1"/>
  <c r="A115" i="46" s="1"/>
  <c r="A116" i="46" s="1"/>
  <c r="A117" i="46" s="1"/>
  <c r="A118" i="46" s="1"/>
  <c r="A119" i="46" s="1"/>
  <c r="A120" i="46" s="1"/>
  <c r="A121" i="46" s="1"/>
  <c r="A122" i="46" s="1"/>
  <c r="A123" i="46" s="1"/>
  <c r="A124" i="46" s="1"/>
  <c r="A125" i="46" s="1"/>
  <c r="A39" i="1"/>
  <c r="A40" i="1" s="1"/>
  <c r="A41" i="1" s="1"/>
  <c r="G12" i="32"/>
  <c r="G26" i="32"/>
  <c r="G20" i="32"/>
  <c r="E19" i="2"/>
  <c r="A37" i="71"/>
  <c r="F34" i="71"/>
  <c r="H55" i="12"/>
  <c r="F69" i="12"/>
  <c r="F93" i="12"/>
  <c r="E96" i="8"/>
  <c r="A35" i="22"/>
  <c r="A36" i="22" s="1"/>
  <c r="A37" i="22" s="1"/>
  <c r="A38" i="22" s="1"/>
  <c r="A39" i="22" s="1"/>
  <c r="A40" i="22" s="1"/>
  <c r="A41" i="22" s="1"/>
  <c r="A42" i="22" s="1"/>
  <c r="A43" i="22" s="1"/>
  <c r="A44" i="22" s="1"/>
  <c r="A45" i="22" s="1"/>
  <c r="A46" i="22" s="1"/>
  <c r="G49" i="22" s="1"/>
  <c r="A23" i="2"/>
  <c r="K90" i="1"/>
  <c r="K91" i="1" s="1"/>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E102" i="8" l="1"/>
  <c r="J42" i="8" s="1"/>
  <c r="K93" i="1"/>
  <c r="I35" i="1"/>
  <c r="B125" i="46"/>
  <c r="H56" i="12"/>
  <c r="F70" i="12"/>
  <c r="E97" i="8"/>
  <c r="J33" i="8" s="1"/>
  <c r="E64" i="7"/>
  <c r="E69" i="7"/>
  <c r="E24" i="2"/>
  <c r="A24" i="2"/>
  <c r="G102" i="46"/>
  <c r="A25" i="8"/>
  <c r="G53" i="22"/>
  <c r="A64" i="7"/>
  <c r="A65" i="7" s="1"/>
  <c r="B110" i="12"/>
  <c r="A90" i="12"/>
  <c r="E83" i="12"/>
  <c r="F83" i="12" s="1"/>
  <c r="E82" i="12"/>
  <c r="F82" i="12" s="1"/>
  <c r="E81" i="12"/>
  <c r="F81" i="12" s="1"/>
  <c r="D32" i="71"/>
  <c r="D34" i="71" s="1"/>
  <c r="D25" i="71"/>
  <c r="D26" i="71" s="1"/>
  <c r="E25" i="71"/>
  <c r="E26" i="71" s="1"/>
  <c r="I41" i="1"/>
  <c r="D51" i="7"/>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A26" i="8" l="1"/>
  <c r="A27" i="8" s="1"/>
  <c r="A29" i="8" s="1"/>
  <c r="I124" i="1"/>
  <c r="E6" i="2"/>
  <c r="A25" i="2"/>
  <c r="A26" i="2" s="1"/>
  <c r="A27" i="2" s="1"/>
  <c r="E65" i="7"/>
  <c r="D40" i="56"/>
  <c r="A66" i="7"/>
  <c r="A67" i="7" s="1"/>
  <c r="A68" i="7" s="1"/>
  <c r="A69" i="7" s="1"/>
  <c r="A70" i="7" s="1"/>
  <c r="A50" i="22"/>
  <c r="A51" i="22" s="1"/>
  <c r="H13" i="8" s="1"/>
  <c r="F86" i="12"/>
  <c r="A91" i="12"/>
  <c r="A92" i="12" s="1"/>
  <c r="H46" i="11"/>
  <c r="H47" i="11"/>
  <c r="H48" i="11"/>
  <c r="D22" i="7"/>
  <c r="D25" i="7" s="1"/>
  <c r="E112" i="71" s="1"/>
  <c r="E113" i="71" s="1"/>
  <c r="E32" i="71"/>
  <c r="E34" i="71" s="1"/>
  <c r="E95"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1" i="8" s="1"/>
  <c r="G44" i="12"/>
  <c r="K135" i="1" s="1"/>
  <c r="D81" i="71"/>
  <c r="D82" i="71"/>
  <c r="D83" i="71"/>
  <c r="D80" i="71"/>
  <c r="D64" i="71"/>
  <c r="D85" i="71"/>
  <c r="D77" i="71"/>
  <c r="D78" i="71"/>
  <c r="D79" i="71"/>
  <c r="D84" i="71"/>
  <c r="A56" i="71"/>
  <c r="A57" i="71" s="1"/>
  <c r="F67" i="71"/>
  <c r="A41" i="56"/>
  <c r="A42" i="56" s="1"/>
  <c r="E20" i="2" s="1"/>
  <c r="D42" i="56"/>
  <c r="A85" i="11"/>
  <c r="G87" i="44"/>
  <c r="A55" i="44"/>
  <c r="A44" i="26"/>
  <c r="A53" i="22"/>
  <c r="A45" i="1"/>
  <c r="G90" i="12" l="1"/>
  <c r="H41" i="8"/>
  <c r="A33" i="8"/>
  <c r="H30" i="8"/>
  <c r="I126" i="15"/>
  <c r="I86" i="15"/>
  <c r="I66" i="15"/>
  <c r="A64" i="71"/>
  <c r="F48" i="71"/>
  <c r="F55" i="71"/>
  <c r="E101" i="71"/>
  <c r="E97" i="71"/>
  <c r="E99" i="71"/>
  <c r="E94" i="71"/>
  <c r="E96" i="71"/>
  <c r="E100" i="71"/>
  <c r="E102" i="71"/>
  <c r="E65" i="71"/>
  <c r="E98" i="71"/>
  <c r="E27" i="2"/>
  <c r="A28" i="2"/>
  <c r="A29" i="2" s="1"/>
  <c r="A30" i="2" s="1"/>
  <c r="A31" i="2" s="1"/>
  <c r="I40" i="1"/>
  <c r="G28" i="26"/>
  <c r="D47" i="7"/>
  <c r="D48" i="7" s="1"/>
  <c r="D83" i="7"/>
  <c r="D84" i="7" s="1"/>
  <c r="G92" i="12"/>
  <c r="A71" i="7"/>
  <c r="E71" i="7"/>
  <c r="H41" i="44"/>
  <c r="H44" i="44" s="1"/>
  <c r="H87"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A65" i="71"/>
  <c r="D105" i="71"/>
  <c r="E88" i="71"/>
  <c r="F78" i="71"/>
  <c r="D170" i="71" s="1"/>
  <c r="D67" i="71"/>
  <c r="F95" i="71"/>
  <c r="G95" i="71" s="1"/>
  <c r="E67" i="71"/>
  <c r="D88" i="71"/>
  <c r="F94" i="71"/>
  <c r="E66" i="71"/>
  <c r="F77" i="71"/>
  <c r="G77" i="71" s="1"/>
  <c r="D66" i="71"/>
  <c r="D127" i="71"/>
  <c r="D124" i="71"/>
  <c r="D123" i="71"/>
  <c r="D126" i="71"/>
  <c r="D128" i="71"/>
  <c r="D121" i="71"/>
  <c r="D125" i="71"/>
  <c r="D122" i="71"/>
  <c r="A56" i="44"/>
  <c r="A57" i="44" s="1"/>
  <c r="G59" i="44" s="1"/>
  <c r="A46" i="1"/>
  <c r="A47" i="1" s="1"/>
  <c r="A48" i="1" s="1"/>
  <c r="H34" i="8" l="1"/>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E73" i="7"/>
  <c r="A118" i="11"/>
  <c r="A119" i="11" s="1"/>
  <c r="A120" i="11" s="1"/>
  <c r="A121" i="11" s="1"/>
  <c r="A122" i="11" s="1"/>
  <c r="A123" i="11" s="1"/>
  <c r="A124" i="11" s="1"/>
  <c r="A125" i="11" s="1"/>
  <c r="A126" i="11" s="1"/>
  <c r="A127" i="11" s="1"/>
  <c r="A128" i="11" s="1"/>
  <c r="A129" i="11" s="1"/>
  <c r="F69" i="11" s="1"/>
  <c r="D63" i="7"/>
  <c r="D64" i="7" s="1"/>
  <c r="E105" i="71"/>
  <c r="A87" i="7"/>
  <c r="A88" i="7" s="1"/>
  <c r="A89" i="7" s="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A38" i="8" l="1"/>
  <c r="H55" i="8"/>
  <c r="E89" i="7"/>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H56" i="8" l="1"/>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A307" i="11" s="1"/>
  <c r="A308" i="11" s="1"/>
  <c r="G169" i="71"/>
  <c r="G180" i="71" s="1"/>
  <c r="I54" i="1"/>
  <c r="G101" i="12"/>
  <c r="A55" i="1"/>
  <c r="A56" i="1" s="1"/>
  <c r="A58" i="1" s="1"/>
  <c r="E142" i="71"/>
  <c r="E144" i="71" s="1"/>
  <c r="F137" i="71"/>
  <c r="A68" i="71"/>
  <c r="B184" i="71" s="1"/>
  <c r="G151" i="71"/>
  <c r="F162" i="71"/>
  <c r="D162" i="71"/>
  <c r="A65" i="44"/>
  <c r="A66" i="44" s="1"/>
  <c r="A67" i="44" s="1"/>
  <c r="A68" i="44" s="1"/>
  <c r="A69" i="44" s="1"/>
  <c r="A70" i="44" s="1"/>
  <c r="A49" i="8" l="1"/>
  <c r="A50" i="8" s="1"/>
  <c r="A51" i="8" s="1"/>
  <c r="A52" i="8" s="1"/>
  <c r="A53" i="8" s="1"/>
  <c r="A54" i="8" s="1"/>
  <c r="A55" i="8" s="1"/>
  <c r="A56" i="8" s="1"/>
  <c r="A57" i="8" s="1"/>
  <c r="A58" i="8" s="1"/>
  <c r="A59" i="8" s="1"/>
  <c r="G69" i="11"/>
  <c r="A71" i="44"/>
  <c r="A72" i="44" s="1"/>
  <c r="G25" i="12"/>
  <c r="A309" i="11"/>
  <c r="A312" i="11" s="1"/>
  <c r="A313" i="11" s="1"/>
  <c r="G66" i="44"/>
  <c r="I58" i="1"/>
  <c r="I56" i="1"/>
  <c r="E145" i="71"/>
  <c r="D19" i="31" s="1"/>
  <c r="A69" i="71"/>
  <c r="A77" i="71" s="1"/>
  <c r="F69" i="71"/>
  <c r="G162" i="71"/>
  <c r="G79" i="44"/>
  <c r="I129" i="1"/>
  <c r="A63" i="1"/>
  <c r="H59" i="8" l="1"/>
  <c r="A61" i="8"/>
  <c r="A63" i="8" s="1"/>
  <c r="G72" i="44"/>
  <c r="A73" i="44"/>
  <c r="A74" i="44" s="1"/>
  <c r="G26" i="12"/>
  <c r="A314" i="11"/>
  <c r="A317" i="11" s="1"/>
  <c r="A318" i="11" s="1"/>
  <c r="E19" i="31"/>
  <c r="A78" i="71"/>
  <c r="A79" i="71" s="1"/>
  <c r="A80" i="71" s="1"/>
  <c r="A81" i="71" s="1"/>
  <c r="A82" i="71" s="1"/>
  <c r="A83" i="71" s="1"/>
  <c r="A84" i="71" s="1"/>
  <c r="A85" i="71" s="1"/>
  <c r="A86" i="71" s="1"/>
  <c r="A87" i="71" s="1"/>
  <c r="I88" i="71" s="1"/>
  <c r="A64" i="1"/>
  <c r="A67" i="8" l="1"/>
  <c r="G67" i="8"/>
  <c r="H63" i="8"/>
  <c r="G74" i="44"/>
  <c r="G81" i="44"/>
  <c r="A77" i="44"/>
  <c r="A78" i="44" s="1"/>
  <c r="A79" i="44" s="1"/>
  <c r="A80" i="44" s="1"/>
  <c r="A81" i="44" s="1"/>
  <c r="G27" i="12"/>
  <c r="A319" i="11"/>
  <c r="A320" i="11" s="1"/>
  <c r="A323" i="11" s="1"/>
  <c r="A324" i="11" s="1"/>
  <c r="A325" i="11" s="1"/>
  <c r="A326" i="11" s="1"/>
  <c r="A327" i="11" s="1"/>
  <c r="A330" i="11" s="1"/>
  <c r="A331" i="11" s="1"/>
  <c r="A332" i="11" s="1"/>
  <c r="A335" i="11" s="1"/>
  <c r="A336" i="11" s="1"/>
  <c r="A337" i="11" s="1"/>
  <c r="A340" i="11" s="1"/>
  <c r="A341" i="11" s="1"/>
  <c r="A342" i="11" s="1"/>
  <c r="A345" i="11" s="1"/>
  <c r="A346" i="11" s="1"/>
  <c r="A347" i="11" s="1"/>
  <c r="A350" i="11" s="1"/>
  <c r="A351" i="11" s="1"/>
  <c r="A352" i="11" s="1"/>
  <c r="A355" i="11" s="1"/>
  <c r="A356" i="11" s="1"/>
  <c r="A357" i="11" s="1"/>
  <c r="A360" i="11" s="1"/>
  <c r="A361" i="11" s="1"/>
  <c r="A362" i="11" s="1"/>
  <c r="A365" i="11" s="1"/>
  <c r="A366" i="11" s="1"/>
  <c r="A367" i="11" s="1"/>
  <c r="A32" i="2"/>
  <c r="A88" i="71"/>
  <c r="A94" i="71" s="1"/>
  <c r="B192" i="71"/>
  <c r="A65" i="1"/>
  <c r="A68" i="8" l="1"/>
  <c r="A69" i="8" s="1"/>
  <c r="G69" i="8"/>
  <c r="G88" i="44"/>
  <c r="A87" i="44"/>
  <c r="A88" i="44" s="1"/>
  <c r="A89" i="44" s="1"/>
  <c r="A90" i="44" s="1"/>
  <c r="A91" i="44" s="1"/>
  <c r="A92" i="44" s="1"/>
  <c r="A93" i="44" s="1"/>
  <c r="I155" i="1" s="1"/>
  <c r="A33" i="2"/>
  <c r="A34" i="2" s="1"/>
  <c r="A35" i="2" s="1"/>
  <c r="A95" i="71"/>
  <c r="A96" i="71" s="1"/>
  <c r="A97" i="71" s="1"/>
  <c r="A98" i="71" s="1"/>
  <c r="A99" i="71" s="1"/>
  <c r="A100" i="71" s="1"/>
  <c r="A101" i="71" s="1"/>
  <c r="A102" i="71" s="1"/>
  <c r="A103" i="71" s="1"/>
  <c r="A104" i="71" s="1"/>
  <c r="A105" i="71" s="1"/>
  <c r="A111" i="71" s="1"/>
  <c r="A68" i="1"/>
  <c r="I83" i="1"/>
  <c r="A70" i="8" l="1"/>
  <c r="A71" i="8" s="1"/>
  <c r="G71" i="8"/>
  <c r="B101" i="44"/>
  <c r="G93" i="44"/>
  <c r="G91" i="44"/>
  <c r="E35" i="2"/>
  <c r="E34" i="2"/>
  <c r="A36" i="2"/>
  <c r="A37" i="2" s="1"/>
  <c r="A38" i="2" s="1"/>
  <c r="I105" i="71"/>
  <c r="A112" i="71"/>
  <c r="A113" i="71" s="1"/>
  <c r="F114" i="71" s="1"/>
  <c r="A69" i="1"/>
  <c r="A70" i="1" s="1"/>
  <c r="A72" i="8" l="1"/>
  <c r="H14" i="65" s="1"/>
  <c r="G72" i="8"/>
  <c r="A39" i="2"/>
  <c r="A40" i="2" s="1"/>
  <c r="A41" i="2" s="1"/>
  <c r="F113" i="71"/>
  <c r="A114" i="71"/>
  <c r="A115" i="71" s="1"/>
  <c r="A120" i="71" s="1"/>
  <c r="F138" i="71"/>
  <c r="A73" i="1"/>
  <c r="I75" i="1" s="1"/>
  <c r="I84" i="1"/>
  <c r="E40" i="2" l="1"/>
  <c r="E41" i="2"/>
  <c r="A42" i="2"/>
  <c r="F115" i="71"/>
  <c r="A121" i="71"/>
  <c r="A122" i="71" s="1"/>
  <c r="A123" i="71" s="1"/>
  <c r="A124" i="71" s="1"/>
  <c r="A125" i="71" s="1"/>
  <c r="A126" i="71" s="1"/>
  <c r="A127" i="71" s="1"/>
  <c r="A128" i="71" s="1"/>
  <c r="A129" i="71" s="1"/>
  <c r="A130" i="71" s="1"/>
  <c r="A131" i="71" s="1"/>
  <c r="A137" i="71" s="1"/>
  <c r="A75" i="1"/>
  <c r="I80" i="1" s="1"/>
  <c r="A44" i="2" l="1"/>
  <c r="A45" i="2" s="1"/>
  <c r="A46" i="2" s="1"/>
  <c r="A47" i="2" s="1"/>
  <c r="A48" i="2" s="1"/>
  <c r="A43" i="2"/>
  <c r="A138" i="71"/>
  <c r="A139" i="71" s="1"/>
  <c r="F131" i="71"/>
  <c r="B193" i="71"/>
  <c r="A78" i="1"/>
  <c r="I78" i="1"/>
  <c r="I79" i="1"/>
  <c r="A49" i="2" l="1"/>
  <c r="A50" i="2" s="1"/>
  <c r="A51" i="2" s="1"/>
  <c r="A52" i="2" s="1"/>
  <c r="A53" i="2" s="1"/>
  <c r="F139" i="7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6" i="8" s="1"/>
  <c r="I89" i="1"/>
  <c r="G93" i="12" l="1"/>
  <c r="I15" i="12"/>
  <c r="A83" i="1"/>
  <c r="A84" i="1" s="1"/>
  <c r="A85" i="1" s="1"/>
  <c r="I81" i="1"/>
  <c r="G100" i="12" l="1"/>
  <c r="I90" i="1"/>
  <c r="A88" i="1"/>
  <c r="A89" i="1" s="1"/>
  <c r="F95" i="8" s="1"/>
  <c r="E21" i="7" l="1"/>
  <c r="F94" i="8"/>
  <c r="A90" i="1"/>
  <c r="I93" i="1" s="1"/>
  <c r="I91" i="1" l="1"/>
  <c r="A91" i="1"/>
  <c r="F25" i="71" l="1"/>
  <c r="A93" i="1"/>
  <c r="I95" i="1"/>
  <c r="F32" i="71" l="1"/>
  <c r="E22" i="7"/>
  <c r="I116" i="1"/>
  <c r="A95" i="1"/>
  <c r="A100" i="1" l="1"/>
  <c r="I131" i="1"/>
  <c r="A101" i="1" l="1"/>
  <c r="A102" i="1" s="1"/>
  <c r="F33" i="71" l="1"/>
  <c r="I16" i="12"/>
  <c r="H43" i="8"/>
  <c r="E23" i="7"/>
  <c r="G56" i="44"/>
  <c r="I117" i="1"/>
  <c r="E47" i="2"/>
  <c r="E46" i="2"/>
  <c r="I102" i="1"/>
  <c r="A105" i="1"/>
  <c r="A106" i="1" l="1"/>
  <c r="A107" i="1" s="1"/>
  <c r="A108" i="1" s="1"/>
  <c r="I108" i="1" l="1"/>
  <c r="H44" i="8"/>
  <c r="I118" i="1"/>
  <c r="A110" i="1"/>
  <c r="A112" i="1" s="1"/>
  <c r="H45" i="8" s="1"/>
  <c r="I132" i="1" l="1"/>
  <c r="A124" i="1"/>
  <c r="I110" i="1"/>
  <c r="A125" i="1" l="1"/>
  <c r="H49" i="8" s="1"/>
  <c r="E72" i="7"/>
  <c r="H48" i="8"/>
  <c r="A126" i="1"/>
  <c r="H50" i="8" s="1"/>
  <c r="I17" i="1" l="1"/>
  <c r="A127" i="1"/>
  <c r="H51" i="8" s="1"/>
  <c r="A128" i="1" l="1"/>
  <c r="H52" i="8" s="1"/>
  <c r="A129" i="1" l="1"/>
  <c r="H53" i="8" s="1"/>
  <c r="A130" i="1" l="1"/>
  <c r="H54" i="8" s="1"/>
  <c r="A131" i="1" l="1"/>
  <c r="A132" i="1" s="1"/>
  <c r="A133" i="1" s="1"/>
  <c r="H57" i="8" s="1"/>
  <c r="A134" i="1" l="1"/>
  <c r="A135" i="1" l="1"/>
  <c r="I136" i="1" s="1"/>
  <c r="H58" i="8"/>
  <c r="A136" i="1" l="1"/>
  <c r="A138" i="1" s="1"/>
  <c r="A139" i="1" s="1"/>
  <c r="G89" i="44" s="1"/>
  <c r="E53" i="2"/>
  <c r="E52" i="2"/>
  <c r="I141" i="1" l="1"/>
  <c r="A141" i="1"/>
  <c r="I146" i="1" s="1"/>
  <c r="I139" i="1"/>
  <c r="I138" i="1"/>
  <c r="E70" i="7"/>
  <c r="A146" i="1"/>
  <c r="A147" i="1" s="1"/>
  <c r="A148" i="1" s="1"/>
  <c r="A149" i="1" l="1"/>
  <c r="A151" i="1" s="1"/>
  <c r="A154" i="1" l="1"/>
  <c r="I154" i="1"/>
  <c r="I151" i="1"/>
  <c r="A155" i="1"/>
  <c r="A156" i="1" s="1"/>
  <c r="G4" i="31" s="1"/>
  <c r="I156" i="1" l="1"/>
  <c r="K53" i="1" l="1"/>
  <c r="F23" i="17"/>
  <c r="I92" i="46"/>
  <c r="I91" i="46"/>
  <c r="I74" i="46"/>
  <c r="K54" i="1" l="1"/>
  <c r="H74" i="46"/>
  <c r="G74" i="46" s="1"/>
  <c r="H91" i="46"/>
  <c r="G91" i="46" s="1"/>
  <c r="I106" i="46"/>
  <c r="H92" i="46"/>
  <c r="G92" i="46" s="1"/>
  <c r="C150" i="46" l="1"/>
  <c r="H105" i="46" l="1"/>
  <c r="G105" i="46" s="1"/>
  <c r="G106" i="46" s="1"/>
  <c r="H106" i="46" l="1"/>
  <c r="I118" i="46"/>
  <c r="I117" i="46"/>
  <c r="I116" i="46"/>
  <c r="I115" i="46"/>
  <c r="I121" i="46" l="1"/>
  <c r="I124" i="46" s="1"/>
  <c r="H118" i="46"/>
  <c r="G118" i="46" s="1"/>
  <c r="H115" i="46"/>
  <c r="H116" i="46"/>
  <c r="G116" i="46" s="1"/>
  <c r="H117" i="46"/>
  <c r="G117" i="46" s="1"/>
  <c r="G115" i="46" l="1"/>
  <c r="G121" i="46" s="1"/>
  <c r="H121" i="46"/>
  <c r="H124" i="46" s="1"/>
  <c r="G124" i="46" l="1"/>
  <c r="K124" i="1" s="1"/>
  <c r="G6" i="2"/>
  <c r="G14" i="2" s="1"/>
  <c r="F52" i="21" l="1"/>
  <c r="F53" i="21" s="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26" i="15"/>
  <c r="H127" i="15" s="1"/>
  <c r="H66" i="15"/>
  <c r="H67" i="15" s="1"/>
  <c r="H86" i="15"/>
  <c r="H87" i="15" s="1"/>
  <c r="G24" i="2"/>
  <c r="F50" i="22"/>
  <c r="F51" i="22" s="1"/>
  <c r="J13" i="8" s="1"/>
  <c r="D28" i="54"/>
  <c r="D29" i="54" s="1"/>
  <c r="D38" i="54" s="1"/>
  <c r="F26" i="26"/>
  <c r="F27" i="26" s="1"/>
  <c r="F54" i="22"/>
  <c r="F55" i="22" s="1"/>
  <c r="K16" i="1" s="1"/>
  <c r="K55" i="1"/>
  <c r="F24" i="22"/>
  <c r="E28" i="54"/>
  <c r="E29" i="54" s="1"/>
  <c r="E38" i="54" s="1"/>
  <c r="K11" i="1" s="1"/>
  <c r="G22" i="2"/>
  <c r="J48" i="8"/>
  <c r="K24" i="1" l="1"/>
  <c r="K56" i="1"/>
  <c r="I39" i="79"/>
  <c r="K39" i="79" s="1"/>
  <c r="I32" i="79"/>
  <c r="I18" i="79" s="1"/>
  <c r="I27" i="79"/>
  <c r="K27" i="79" s="1"/>
  <c r="G19" i="79"/>
  <c r="G17" i="79"/>
  <c r="G18" i="79"/>
  <c r="H74" i="44"/>
  <c r="H81" i="44" s="1"/>
  <c r="G27" i="2"/>
  <c r="F27" i="22"/>
  <c r="J12" i="8" s="1"/>
  <c r="F26" i="22"/>
  <c r="K15" i="1" s="1"/>
  <c r="D41" i="54"/>
  <c r="J8" i="8" s="1"/>
  <c r="K32" i="79" l="1"/>
  <c r="H83" i="44"/>
  <c r="H88" i="44" s="1"/>
  <c r="H92" i="44" s="1"/>
  <c r="I19" i="79"/>
  <c r="K19" i="79" s="1"/>
  <c r="K18" i="79"/>
  <c r="I17" i="79"/>
  <c r="G20" i="79"/>
  <c r="G86" i="15"/>
  <c r="G87" i="15" s="1"/>
  <c r="D87" i="15" s="1"/>
  <c r="D11" i="15" s="1"/>
  <c r="G126" i="15"/>
  <c r="G127" i="15" s="1"/>
  <c r="G66" i="15"/>
  <c r="K40" i="1"/>
  <c r="F28" i="26"/>
  <c r="F29" i="26" s="1"/>
  <c r="F30" i="26" s="1"/>
  <c r="K125" i="1" s="1"/>
  <c r="K41" i="1" l="1"/>
  <c r="K17" i="1"/>
  <c r="G38" i="15"/>
  <c r="G37" i="15"/>
  <c r="G32" i="15"/>
  <c r="I20" i="79"/>
  <c r="K9" i="79" s="1"/>
  <c r="K31" i="1" s="1"/>
  <c r="K17" i="79"/>
  <c r="K20" i="79" s="1"/>
  <c r="K10" i="79" s="1"/>
  <c r="J26" i="8" s="1"/>
  <c r="D127" i="15"/>
  <c r="D12" i="15" s="1"/>
  <c r="D72" i="7"/>
  <c r="J49" i="8"/>
  <c r="J14" i="8" l="1"/>
  <c r="J15" i="8" s="1"/>
  <c r="K58" i="1"/>
  <c r="G30" i="15"/>
  <c r="G55" i="15" s="1"/>
  <c r="G65" i="15" s="1"/>
  <c r="G67" i="15" s="1"/>
  <c r="D67" i="15" s="1"/>
  <c r="E55" i="15"/>
  <c r="E65" i="15" s="1"/>
  <c r="K18" i="1"/>
  <c r="K129" i="1" l="1"/>
  <c r="D10" i="15"/>
  <c r="D13" i="15" s="1"/>
  <c r="E152" i="15" s="1"/>
  <c r="J53" i="8" l="1"/>
  <c r="D148" i="15"/>
  <c r="I148" i="15" s="1"/>
  <c r="D144" i="15"/>
  <c r="I144" i="15" s="1"/>
  <c r="D140" i="15"/>
  <c r="D151" i="15"/>
  <c r="I151" i="15" s="1"/>
  <c r="D147" i="15"/>
  <c r="I147" i="15" s="1"/>
  <c r="D150" i="15"/>
  <c r="I150" i="15" s="1"/>
  <c r="D146" i="15"/>
  <c r="I146" i="15" s="1"/>
  <c r="D142" i="15"/>
  <c r="I142" i="15" s="1"/>
  <c r="D143" i="15"/>
  <c r="I143" i="15" s="1"/>
  <c r="D149" i="15"/>
  <c r="I149" i="15" s="1"/>
  <c r="D145" i="15"/>
  <c r="I145" i="15" s="1"/>
  <c r="D141" i="15"/>
  <c r="I141" i="15" s="1"/>
  <c r="K26" i="1"/>
  <c r="C13" i="64"/>
  <c r="C49" i="64" s="1"/>
  <c r="D71" i="21" s="1"/>
  <c r="C209" i="4"/>
  <c r="E140" i="15" l="1"/>
  <c r="E141" i="15" s="1"/>
  <c r="E142" i="15" s="1"/>
  <c r="E143" i="15" s="1"/>
  <c r="E144" i="15" s="1"/>
  <c r="E145" i="15" s="1"/>
  <c r="E146" i="15" s="1"/>
  <c r="E147" i="15" s="1"/>
  <c r="E148" i="15" s="1"/>
  <c r="E149" i="15" s="1"/>
  <c r="E150" i="15" s="1"/>
  <c r="E151" i="15" s="1"/>
  <c r="I140" i="15"/>
  <c r="J140" i="15" s="1"/>
  <c r="C14" i="64"/>
  <c r="C50" i="64" s="1"/>
  <c r="D72" i="21" s="1"/>
  <c r="J141" i="15" l="1"/>
  <c r="J142" i="15" s="1"/>
  <c r="J143" i="15" s="1"/>
  <c r="J144" i="15" s="1"/>
  <c r="J145" i="15" s="1"/>
  <c r="J146" i="15" s="1"/>
  <c r="J147" i="15" s="1"/>
  <c r="J148" i="15" s="1"/>
  <c r="J149" i="15" s="1"/>
  <c r="J150" i="15" s="1"/>
  <c r="J151" i="15" s="1"/>
  <c r="C15" i="64"/>
  <c r="C51" i="64" s="1"/>
  <c r="D73" i="21" s="1"/>
  <c r="J153" i="15" l="1"/>
  <c r="D23" i="15" s="1"/>
  <c r="J23" i="8" s="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8" i="64"/>
  <c r="D54" i="64" s="1"/>
  <c r="E76" i="21" s="1"/>
  <c r="D16" i="21" l="1"/>
  <c r="D19" i="64"/>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G197" i="4"/>
  <c r="G12" i="4" s="1"/>
  <c r="I24" i="64"/>
  <c r="C125" i="48" s="1"/>
  <c r="E125" i="48" s="1"/>
  <c r="F24" i="64"/>
  <c r="C122" i="48"/>
  <c r="E122" i="48" s="1"/>
  <c r="G24" i="64"/>
  <c r="C123" i="48" s="1"/>
  <c r="E123" i="48" s="1"/>
  <c r="L182" i="4"/>
  <c r="L190" i="4" s="1"/>
  <c r="L24" i="64"/>
  <c r="C128" i="48" s="1"/>
  <c r="E128" i="48" s="1"/>
  <c r="F182" i="4"/>
  <c r="F190" i="4" s="1"/>
  <c r="G182" i="4"/>
  <c r="G190" i="4" s="1"/>
  <c r="K182" i="4"/>
  <c r="K190" i="4" s="1"/>
  <c r="K202" i="4" s="1"/>
  <c r="K208" i="4"/>
  <c r="K24" i="64"/>
  <c r="C127" i="48" s="1"/>
  <c r="E127" i="48" s="1"/>
  <c r="J24" i="64"/>
  <c r="C126" i="48" s="1"/>
  <c r="E126" i="48" s="1"/>
  <c r="J182" i="4"/>
  <c r="J190" i="4" s="1"/>
  <c r="J208" i="4"/>
  <c r="M23" i="4"/>
  <c r="M24" i="64" s="1"/>
  <c r="H182" i="4"/>
  <c r="H190" i="4"/>
  <c r="H24" i="64"/>
  <c r="C124" i="48" s="1"/>
  <c r="E124" i="48" s="1"/>
  <c r="E182" i="4"/>
  <c r="E190" i="4" s="1"/>
  <c r="E24" i="64"/>
  <c r="C121" i="48" s="1"/>
  <c r="E121" i="48" s="1"/>
  <c r="I182" i="4"/>
  <c r="I190" i="4"/>
  <c r="E200" i="4" l="1"/>
  <c r="E206" i="4"/>
  <c r="E199" i="4"/>
  <c r="D36" i="7"/>
  <c r="D40" i="7" s="1"/>
  <c r="D23" i="21"/>
  <c r="E112" i="21"/>
  <c r="E131" i="48"/>
  <c r="E130" i="48"/>
  <c r="E133" i="48" s="1"/>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13" i="4" s="1"/>
  <c r="H14" i="4" s="1"/>
  <c r="H15" i="4" s="1"/>
  <c r="H16" i="4" s="1"/>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7" i="4" l="1"/>
  <c r="H18" i="4" s="1"/>
  <c r="H19" i="4" s="1"/>
  <c r="H20" i="4" s="1"/>
  <c r="H21" i="4" s="1"/>
  <c r="H22" i="4" s="1"/>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G15" i="64"/>
  <c r="G51" i="64" s="1"/>
  <c r="H73" i="21"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L98" i="48"/>
  <c r="L91" i="48"/>
  <c r="L79" i="48"/>
  <c r="L80" i="48"/>
  <c r="L95" i="48"/>
  <c r="L94" i="48"/>
  <c r="L84" i="48"/>
  <c r="L83" i="48"/>
  <c r="L87" i="48"/>
  <c r="L88" i="48"/>
  <c r="L86" i="48"/>
  <c r="L92" i="48"/>
  <c r="L65" i="48"/>
  <c r="L60" i="48"/>
  <c r="L28" i="48" s="1"/>
  <c r="L62" i="48"/>
  <c r="L54" i="48"/>
  <c r="L61" i="48"/>
  <c r="L68" i="48"/>
  <c r="L46" i="48"/>
  <c r="M46" i="48" s="1"/>
  <c r="L56" i="48"/>
  <c r="L53" i="48"/>
  <c r="L90" i="48"/>
  <c r="L97" i="48"/>
  <c r="L78" i="48"/>
  <c r="L81" i="48"/>
  <c r="L93" i="48"/>
  <c r="L59" i="48"/>
  <c r="L27" i="48" s="1"/>
  <c r="L66" i="48"/>
  <c r="L52" i="48"/>
  <c r="L51" i="48"/>
  <c r="L82" i="48"/>
  <c r="L89" i="48"/>
  <c r="L96" i="48"/>
  <c r="L50" i="48"/>
  <c r="L55" i="48"/>
  <c r="L23" i="48" s="1"/>
  <c r="L48" i="48"/>
  <c r="L64" i="48"/>
  <c r="L32" i="48" s="1"/>
  <c r="L58" i="48"/>
  <c r="L57" i="48"/>
  <c r="L25" i="48" s="1"/>
  <c r="L67" i="48"/>
  <c r="L99" i="48"/>
  <c r="L85" i="48"/>
  <c r="L49" i="48"/>
  <c r="L77" i="48"/>
  <c r="M77" i="48" s="1"/>
  <c r="L47" i="48"/>
  <c r="L63" i="48"/>
  <c r="L31" i="48" s="1"/>
  <c r="M202" i="4"/>
  <c r="M205" i="4"/>
  <c r="M208" i="4"/>
  <c r="G13" i="64"/>
  <c r="G49" i="64" s="1"/>
  <c r="H71" i="21" s="1"/>
  <c r="K209" i="4"/>
  <c r="H209" i="4"/>
  <c r="G16" i="64"/>
  <c r="G52" i="64" s="1"/>
  <c r="H74" i="21" s="1"/>
  <c r="G209" i="4"/>
  <c r="K110" i="1"/>
  <c r="K95" i="1"/>
  <c r="E209" i="4"/>
  <c r="M197" i="4"/>
  <c r="M204" i="4"/>
  <c r="M206" i="4"/>
  <c r="M207" i="4"/>
  <c r="M203" i="4"/>
  <c r="F209" i="4"/>
  <c r="H14" i="64"/>
  <c r="H50" i="64" s="1"/>
  <c r="I72" i="21" s="1"/>
  <c r="I209" i="4"/>
  <c r="M199" i="4"/>
  <c r="L209" i="4"/>
  <c r="G17" i="64"/>
  <c r="G53" i="64" s="1"/>
  <c r="H75" i="21" s="1"/>
  <c r="J209" i="4"/>
  <c r="L14" i="64" l="1"/>
  <c r="L50" i="64" s="1"/>
  <c r="M72" i="21" s="1"/>
  <c r="G14" i="64"/>
  <c r="G50" i="64" s="1"/>
  <c r="H72" i="21"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L30"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M99" i="48" s="1"/>
  <c r="M14" i="48"/>
  <c r="L17" i="48"/>
  <c r="L15" i="48"/>
  <c r="L20" i="48"/>
  <c r="L29" i="48"/>
  <c r="L26" i="48"/>
  <c r="K131" i="1"/>
  <c r="K132" i="1"/>
  <c r="L21" i="48"/>
  <c r="L16" i="48"/>
  <c r="E131" i="21"/>
  <c r="E13" i="21"/>
  <c r="J14" i="64"/>
  <c r="J50" i="64" s="1"/>
  <c r="K72" i="21" s="1"/>
  <c r="E14" i="64"/>
  <c r="E50" i="64" s="1"/>
  <c r="F72" i="21" s="1"/>
  <c r="I14" i="64"/>
  <c r="I50" i="64" s="1"/>
  <c r="J72" i="21" s="1"/>
  <c r="F13" i="64"/>
  <c r="F49" i="64" s="1"/>
  <c r="G71" i="21" s="1"/>
  <c r="K13" i="64"/>
  <c r="K49" i="64" s="1"/>
  <c r="L71" i="21" s="1"/>
  <c r="L33" i="48"/>
  <c r="L13" i="64"/>
  <c r="L49" i="64" s="1"/>
  <c r="M71" i="21" s="1"/>
  <c r="M13" i="4"/>
  <c r="M14" i="64" s="1"/>
  <c r="N77" i="48"/>
  <c r="L35" i="48"/>
  <c r="L34" i="48"/>
  <c r="L24" i="48"/>
  <c r="L22" i="48"/>
  <c r="L14" i="48"/>
  <c r="I13" i="64"/>
  <c r="I49" i="64" s="1"/>
  <c r="J71" i="21" s="1"/>
  <c r="M209" i="4"/>
  <c r="J13" i="64"/>
  <c r="J49" i="64" s="1"/>
  <c r="K71" i="21" s="1"/>
  <c r="M12" i="4"/>
  <c r="E13" i="64"/>
  <c r="E49" i="64" s="1"/>
  <c r="F71" i="21" s="1"/>
  <c r="H13" i="64"/>
  <c r="H49" i="64" s="1"/>
  <c r="I71" i="21" s="1"/>
  <c r="L18" i="48"/>
  <c r="L19" i="48"/>
  <c r="L36" i="48"/>
  <c r="N71" i="21" l="1"/>
  <c r="E14" i="21"/>
  <c r="L15" i="64"/>
  <c r="L51" i="64" s="1"/>
  <c r="M73" i="21" s="1"/>
  <c r="H15" i="64"/>
  <c r="H51" i="64" s="1"/>
  <c r="I73" i="21" s="1"/>
  <c r="G18" i="64"/>
  <c r="G54" i="64" s="1"/>
  <c r="H76" i="21" s="1"/>
  <c r="K14" i="64"/>
  <c r="K50" i="64" s="1"/>
  <c r="L72" i="21" s="1"/>
  <c r="M49" i="64"/>
  <c r="I15" i="64"/>
  <c r="I51" i="64" s="1"/>
  <c r="J73" i="21" s="1"/>
  <c r="N78" i="48"/>
  <c r="J15" i="64"/>
  <c r="J51" i="64" s="1"/>
  <c r="K73" i="21" s="1"/>
  <c r="F14" i="64"/>
  <c r="F50" i="64" s="1"/>
  <c r="G72" i="21" s="1"/>
  <c r="N46" i="48"/>
  <c r="N14" i="48" s="1"/>
  <c r="M13" i="64"/>
  <c r="E15" i="64"/>
  <c r="E51" i="64" s="1"/>
  <c r="F73" i="21" s="1"/>
  <c r="M14" i="4"/>
  <c r="M15" i="64" s="1"/>
  <c r="N72" i="21" l="1"/>
  <c r="E15" i="21"/>
  <c r="H16" i="64"/>
  <c r="H52" i="64" s="1"/>
  <c r="I74" i="21" s="1"/>
  <c r="N79" i="48"/>
  <c r="M50" i="64"/>
  <c r="K15" i="64"/>
  <c r="K51" i="64" s="1"/>
  <c r="L73" i="21" s="1"/>
  <c r="G19" i="64"/>
  <c r="G55" i="64" s="1"/>
  <c r="H77" i="21" s="1"/>
  <c r="L16" i="64"/>
  <c r="L52" i="64" s="1"/>
  <c r="M74" i="21" s="1"/>
  <c r="E16" i="64"/>
  <c r="E52" i="64" s="1"/>
  <c r="F74" i="21" s="1"/>
  <c r="M15" i="4"/>
  <c r="M16" i="64" s="1"/>
  <c r="M15" i="48"/>
  <c r="N47" i="48"/>
  <c r="N15" i="48" s="1"/>
  <c r="F15" i="64"/>
  <c r="F51" i="64" s="1"/>
  <c r="G73" i="21" s="1"/>
  <c r="J16" i="64"/>
  <c r="J52" i="64" s="1"/>
  <c r="K74" i="21" s="1"/>
  <c r="I16" i="64"/>
  <c r="I52" i="64" s="1"/>
  <c r="J74" i="21" s="1"/>
  <c r="N73" i="21" l="1"/>
  <c r="E16" i="21"/>
  <c r="F16" i="64"/>
  <c r="F52" i="64" s="1"/>
  <c r="G74" i="21" s="1"/>
  <c r="M51" i="64"/>
  <c r="G20" i="64"/>
  <c r="G56" i="64" s="1"/>
  <c r="H78" i="21" s="1"/>
  <c r="L17" i="64"/>
  <c r="L53" i="64" s="1"/>
  <c r="M75" i="21" s="1"/>
  <c r="K16" i="64"/>
  <c r="K52" i="64" s="1"/>
  <c r="L74" i="21" s="1"/>
  <c r="N74" i="21" s="1"/>
  <c r="I17" i="64"/>
  <c r="I53" i="64" s="1"/>
  <c r="J75" i="21" s="1"/>
  <c r="J17" i="64"/>
  <c r="J53" i="64" s="1"/>
  <c r="K75" i="21" s="1"/>
  <c r="M16" i="48"/>
  <c r="N48" i="48"/>
  <c r="N16" i="48" s="1"/>
  <c r="M16" i="4"/>
  <c r="M17" i="64" s="1"/>
  <c r="E17" i="64"/>
  <c r="E53" i="64" s="1"/>
  <c r="F75" i="21" s="1"/>
  <c r="N80" i="48"/>
  <c r="H17" i="64"/>
  <c r="H53" i="64" s="1"/>
  <c r="I75" i="21" s="1"/>
  <c r="E17" i="21" l="1"/>
  <c r="E18" i="64"/>
  <c r="E54" i="64" s="1"/>
  <c r="F76" i="21" s="1"/>
  <c r="N49" i="48"/>
  <c r="N17" i="48" s="1"/>
  <c r="M17" i="48"/>
  <c r="G21" i="64"/>
  <c r="G57" i="64" s="1"/>
  <c r="H79" i="21" s="1"/>
  <c r="N81" i="48"/>
  <c r="I18" i="64"/>
  <c r="I54" i="64" s="1"/>
  <c r="J76" i="21" s="1"/>
  <c r="L18" i="64"/>
  <c r="L54" i="64" s="1"/>
  <c r="M76" i="21" s="1"/>
  <c r="F17" i="64"/>
  <c r="F53" i="64" s="1"/>
  <c r="G75" i="21" s="1"/>
  <c r="M17" i="4"/>
  <c r="J18" i="64"/>
  <c r="J54" i="64" s="1"/>
  <c r="K76" i="21" s="1"/>
  <c r="K17" i="64"/>
  <c r="K53" i="64" s="1"/>
  <c r="L75" i="21" s="1"/>
  <c r="H18" i="64"/>
  <c r="H54" i="64" s="1"/>
  <c r="I76" i="21" s="1"/>
  <c r="M52" i="64"/>
  <c r="N75" i="21" l="1"/>
  <c r="E18" i="21"/>
  <c r="M53" i="64"/>
  <c r="M18" i="64"/>
  <c r="H19" i="64"/>
  <c r="H55" i="64" s="1"/>
  <c r="I77" i="21" s="1"/>
  <c r="N50" i="48"/>
  <c r="N18" i="48" s="1"/>
  <c r="M18" i="48"/>
  <c r="I19" i="64"/>
  <c r="I55" i="64" s="1"/>
  <c r="J77" i="21" s="1"/>
  <c r="K18" i="64"/>
  <c r="K54" i="64" s="1"/>
  <c r="L76" i="21" s="1"/>
  <c r="J19" i="64"/>
  <c r="J55" i="64" s="1"/>
  <c r="K77" i="21" s="1"/>
  <c r="L19" i="64"/>
  <c r="L55" i="64" s="1"/>
  <c r="M77" i="21" s="1"/>
  <c r="F18" i="64"/>
  <c r="F54" i="64" s="1"/>
  <c r="N82" i="48"/>
  <c r="G22" i="64"/>
  <c r="G58" i="64" s="1"/>
  <c r="H80" i="21" s="1"/>
  <c r="M18" i="4"/>
  <c r="M19" i="64" s="1"/>
  <c r="E19" i="64"/>
  <c r="E55" i="64" s="1"/>
  <c r="F77" i="21" s="1"/>
  <c r="M54" i="64" l="1"/>
  <c r="G76" i="21"/>
  <c r="N76" i="21" s="1"/>
  <c r="E19" i="21"/>
  <c r="L20" i="64"/>
  <c r="L56" i="64" s="1"/>
  <c r="M78" i="21" s="1"/>
  <c r="G23" i="64"/>
  <c r="G59" i="64" s="1"/>
  <c r="H81" i="21" s="1"/>
  <c r="H82" i="21" s="1"/>
  <c r="H109" i="21" s="1"/>
  <c r="H112" i="21" s="1"/>
  <c r="G24" i="4"/>
  <c r="F19" i="64"/>
  <c r="F55" i="64" s="1"/>
  <c r="G77" i="21" s="1"/>
  <c r="M19" i="4"/>
  <c r="M20" i="64" s="1"/>
  <c r="M19" i="48"/>
  <c r="N51" i="48"/>
  <c r="N19" i="48" s="1"/>
  <c r="E20" i="64"/>
  <c r="E56" i="64" s="1"/>
  <c r="F78" i="21" s="1"/>
  <c r="J20" i="64"/>
  <c r="J56" i="64" s="1"/>
  <c r="K78" i="21" s="1"/>
  <c r="H20" i="64"/>
  <c r="H56" i="64" s="1"/>
  <c r="I78" i="21" s="1"/>
  <c r="K19" i="64"/>
  <c r="K55" i="64" s="1"/>
  <c r="L77" i="21" s="1"/>
  <c r="I20" i="64"/>
  <c r="I56" i="64" s="1"/>
  <c r="J78" i="21" s="1"/>
  <c r="N83" i="48"/>
  <c r="G60" i="64" l="1"/>
  <c r="N77" i="21"/>
  <c r="H129" i="21"/>
  <c r="H125" i="21"/>
  <c r="H121" i="21"/>
  <c r="H119" i="21"/>
  <c r="H130" i="21"/>
  <c r="H128" i="21"/>
  <c r="H124" i="21"/>
  <c r="H120" i="21"/>
  <c r="H127" i="21"/>
  <c r="H123" i="21"/>
  <c r="H126" i="21"/>
  <c r="H122" i="21"/>
  <c r="M55" i="64"/>
  <c r="E20" i="21"/>
  <c r="N84" i="48"/>
  <c r="I21" i="64"/>
  <c r="I57" i="64" s="1"/>
  <c r="J79" i="21" s="1"/>
  <c r="K20" i="64"/>
  <c r="K56" i="64" s="1"/>
  <c r="L78" i="21" s="1"/>
  <c r="H21" i="64"/>
  <c r="H57" i="64" s="1"/>
  <c r="I79" i="21" s="1"/>
  <c r="M20" i="48"/>
  <c r="N52" i="48"/>
  <c r="N20" i="48" s="1"/>
  <c r="F20" i="64"/>
  <c r="F56" i="64" s="1"/>
  <c r="G78" i="21" s="1"/>
  <c r="J21" i="64"/>
  <c r="J57" i="64" s="1"/>
  <c r="K79" i="21" s="1"/>
  <c r="M20" i="4"/>
  <c r="M21" i="64" s="1"/>
  <c r="E21" i="64"/>
  <c r="E57" i="64" s="1"/>
  <c r="F79" i="21" s="1"/>
  <c r="L21" i="64"/>
  <c r="L57" i="64" s="1"/>
  <c r="M79" i="21" s="1"/>
  <c r="N78" i="21" l="1"/>
  <c r="H131" i="21"/>
  <c r="H13" i="21"/>
  <c r="E21" i="21"/>
  <c r="E22" i="64"/>
  <c r="E58" i="64" s="1"/>
  <c r="F80" i="21" s="1"/>
  <c r="E24" i="4"/>
  <c r="N53" i="48"/>
  <c r="N21" i="48" s="1"/>
  <c r="M21" i="48"/>
  <c r="K21" i="64"/>
  <c r="K57" i="64" s="1"/>
  <c r="L79" i="21" s="1"/>
  <c r="M56" i="64"/>
  <c r="N85" i="48"/>
  <c r="H22" i="64"/>
  <c r="H58" i="64" s="1"/>
  <c r="I80" i="21" s="1"/>
  <c r="L22" i="64"/>
  <c r="L58" i="64" s="1"/>
  <c r="M80" i="21" s="1"/>
  <c r="J22" i="64"/>
  <c r="J58" i="64" s="1"/>
  <c r="K80" i="21" s="1"/>
  <c r="F21" i="64"/>
  <c r="F57" i="64" s="1"/>
  <c r="G79" i="21" s="1"/>
  <c r="I22" i="64"/>
  <c r="I58" i="64" s="1"/>
  <c r="J80" i="21" s="1"/>
  <c r="N79" i="21" l="1"/>
  <c r="E22" i="21"/>
  <c r="H14" i="21"/>
  <c r="H15" i="21" s="1"/>
  <c r="H16" i="21" s="1"/>
  <c r="H17" i="21" s="1"/>
  <c r="H18" i="21" s="1"/>
  <c r="H19" i="21" s="1"/>
  <c r="H20" i="21" s="1"/>
  <c r="H21" i="21" s="1"/>
  <c r="H22" i="21" s="1"/>
  <c r="H23" i="21" s="1"/>
  <c r="N86" i="48"/>
  <c r="M22" i="48"/>
  <c r="N54" i="48"/>
  <c r="N22" i="48" s="1"/>
  <c r="F22" i="64"/>
  <c r="F58" i="64" s="1"/>
  <c r="G80" i="21" s="1"/>
  <c r="H23" i="64"/>
  <c r="H59" i="64" s="1"/>
  <c r="I81" i="21" s="1"/>
  <c r="I82" i="21" s="1"/>
  <c r="I109" i="21" s="1"/>
  <c r="I112" i="21" s="1"/>
  <c r="H24" i="4"/>
  <c r="E23" i="64"/>
  <c r="E59" i="64" s="1"/>
  <c r="F81" i="21" s="1"/>
  <c r="K22" i="64"/>
  <c r="K58" i="64" s="1"/>
  <c r="L80" i="21" s="1"/>
  <c r="N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K126" i="21" l="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N87" i="48"/>
  <c r="J60" i="64"/>
  <c r="E60" i="64"/>
  <c r="H60" i="64"/>
  <c r="K23" i="64"/>
  <c r="K59" i="64" s="1"/>
  <c r="L81" i="21" s="1"/>
  <c r="L82" i="21" s="1"/>
  <c r="L109" i="21" s="1"/>
  <c r="L112" i="21" s="1"/>
  <c r="K24" i="4"/>
  <c r="L60" i="64"/>
  <c r="I60" i="64"/>
  <c r="M58" i="64"/>
  <c r="M23" i="48"/>
  <c r="N55" i="48"/>
  <c r="N23" i="48" s="1"/>
  <c r="G125" i="21" l="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N88" i="48"/>
  <c r="F60" i="64"/>
  <c r="N56" i="48"/>
  <c r="N24" i="48" s="1"/>
  <c r="M24" i="48"/>
  <c r="J14" i="21" l="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K136" i="1"/>
  <c r="M25" i="48"/>
  <c r="N57" i="48"/>
  <c r="N25" i="48" s="1"/>
  <c r="N89" i="48"/>
  <c r="M25" i="21" l="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8" i="1"/>
  <c r="K139" i="1"/>
  <c r="N90" i="48"/>
  <c r="M26" i="48"/>
  <c r="N58" i="48"/>
  <c r="N26" i="48" s="1"/>
  <c r="H89" i="44" l="1"/>
  <c r="F131" i="21"/>
  <c r="F13" i="21"/>
  <c r="N119" i="21"/>
  <c r="N131" i="21" s="1"/>
  <c r="G25" i="21"/>
  <c r="L25" i="21"/>
  <c r="K141" i="1"/>
  <c r="M27" i="48"/>
  <c r="N59" i="48"/>
  <c r="N27" i="48" s="1"/>
  <c r="N91" i="48"/>
  <c r="C6" i="9" l="1"/>
  <c r="F14" i="21"/>
  <c r="N13" i="21"/>
  <c r="K146" i="1"/>
  <c r="N92" i="48"/>
  <c r="M28" i="48"/>
  <c r="N60" i="48"/>
  <c r="N28" i="48" s="1"/>
  <c r="F15" i="21" l="1"/>
  <c r="N14" i="21"/>
  <c r="N93" i="48"/>
  <c r="M29" i="48"/>
  <c r="N61" i="48"/>
  <c r="N29" i="48" s="1"/>
  <c r="F16" i="21" l="1"/>
  <c r="N15" i="21"/>
  <c r="M30" i="48"/>
  <c r="N62" i="48"/>
  <c r="N30" i="48" s="1"/>
  <c r="N94" i="48"/>
  <c r="F17" i="21" l="1"/>
  <c r="N16" i="21"/>
  <c r="N63" i="48"/>
  <c r="N31" i="48" s="1"/>
  <c r="M31" i="48"/>
  <c r="N95" i="48"/>
  <c r="F18" i="21" l="1"/>
  <c r="N17" i="21"/>
  <c r="N96" i="48"/>
  <c r="N64" i="48"/>
  <c r="N32" i="48" s="1"/>
  <c r="M32" i="48"/>
  <c r="F19" i="21" l="1"/>
  <c r="N18" i="21"/>
  <c r="N65" i="48"/>
  <c r="N33" i="48" s="1"/>
  <c r="M33" i="48"/>
  <c r="N97" i="48"/>
  <c r="F20" i="21" l="1"/>
  <c r="N19" i="21"/>
  <c r="M34" i="48"/>
  <c r="N66" i="48"/>
  <c r="N34" i="48" s="1"/>
  <c r="N98" i="48"/>
  <c r="N99" i="48"/>
  <c r="F21" i="21" l="1"/>
  <c r="N20" i="21"/>
  <c r="M35" i="48"/>
  <c r="N67" i="48"/>
  <c r="N35" i="48" s="1"/>
  <c r="F22" i="21" l="1"/>
  <c r="N21" i="21"/>
  <c r="M36" i="48"/>
  <c r="N68" i="48"/>
  <c r="N36" i="48" s="1"/>
  <c r="N37" i="48" s="1"/>
  <c r="D78" i="7" s="1"/>
  <c r="D80" i="7" s="1"/>
  <c r="D86" i="7" s="1"/>
  <c r="F23" i="21" l="1"/>
  <c r="N22" i="21"/>
  <c r="D88" i="7"/>
  <c r="D89" i="7"/>
  <c r="H90" i="44" s="1"/>
  <c r="H91" i="44" s="1"/>
  <c r="H93" i="44" s="1"/>
  <c r="K155" i="1" s="1"/>
  <c r="N23" i="21" l="1"/>
  <c r="F25" i="21"/>
  <c r="N25" i="21" s="1"/>
  <c r="D91" i="7"/>
  <c r="K147" i="1" s="1"/>
  <c r="C7" i="9" l="1"/>
  <c r="J18" i="8"/>
  <c r="J21" i="8" l="1"/>
  <c r="J29" i="8" l="1"/>
  <c r="J34" i="8" l="1"/>
  <c r="J41" i="8"/>
  <c r="J38" i="8"/>
  <c r="F90" i="12"/>
  <c r="F92" i="12" s="1"/>
  <c r="F94" i="12" s="1"/>
  <c r="F98" i="12" s="1"/>
  <c r="F101" i="12" s="1"/>
  <c r="J56" i="8" l="1"/>
  <c r="J55" i="8"/>
  <c r="J59" i="8" l="1"/>
  <c r="J63" i="8" l="1"/>
  <c r="E67" i="8" l="1"/>
  <c r="E69" i="8" l="1"/>
  <c r="E71" i="8"/>
  <c r="E72"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s="1"/>
  <c r="E43" i="65" s="1"/>
  <c r="E44" i="65" s="1"/>
  <c r="K148" i="1" s="1"/>
  <c r="C8" i="9" l="1"/>
  <c r="C10" i="9" s="1"/>
  <c r="K151" i="1"/>
  <c r="K154" i="1" l="1"/>
  <c r="D4" i="53"/>
  <c r="D17" i="53" l="1"/>
  <c r="L17" i="53" s="1"/>
  <c r="D13" i="53"/>
  <c r="D25" i="53"/>
  <c r="L25" i="53" s="1"/>
  <c r="D26" i="53"/>
  <c r="D12" i="53"/>
  <c r="D24" i="53"/>
  <c r="L24" i="53" s="1"/>
  <c r="D21" i="53"/>
  <c r="D18" i="53"/>
  <c r="D19" i="53"/>
  <c r="D22" i="53"/>
  <c r="D16" i="53"/>
  <c r="L16" i="53" s="1"/>
  <c r="D15" i="53"/>
  <c r="D20" i="53"/>
  <c r="D23" i="53"/>
  <c r="K156" i="1"/>
  <c r="L23" i="53" l="1"/>
  <c r="C38" i="53"/>
  <c r="E38" i="53" s="1"/>
  <c r="I56" i="53" s="1"/>
  <c r="E56" i="53" s="1"/>
  <c r="C37" i="53"/>
  <c r="E37" i="53" s="1"/>
  <c r="I55" i="53" s="1"/>
  <c r="E55" i="53" s="1"/>
  <c r="L22" i="53"/>
  <c r="K13" i="53"/>
  <c r="M14" i="53" s="1"/>
  <c r="L19" i="53"/>
  <c r="H37" i="53"/>
  <c r="J37" i="53" s="1"/>
  <c r="D28" i="53"/>
  <c r="K12" i="53"/>
  <c r="D46" i="53"/>
  <c r="B4" i="31"/>
  <c r="D18" i="31" s="1"/>
  <c r="K15" i="53"/>
  <c r="D48" i="53"/>
  <c r="H36" i="53"/>
  <c r="J36" i="53" s="1"/>
  <c r="L18" i="53"/>
  <c r="D59" i="53"/>
  <c r="K26" i="53"/>
  <c r="L21" i="53"/>
  <c r="C36" i="53"/>
  <c r="E36" i="53" s="1"/>
  <c r="I54" i="53" s="1"/>
  <c r="H38" i="53"/>
  <c r="J38" i="53" s="1"/>
  <c r="L20" i="53"/>
  <c r="H54" i="53" l="1"/>
  <c r="D51" i="53"/>
  <c r="D54" i="53"/>
  <c r="D55" i="53"/>
  <c r="C55" i="53" s="1"/>
  <c r="D52" i="53"/>
  <c r="H55" i="53"/>
  <c r="D53" i="53"/>
  <c r="H56" i="53"/>
  <c r="D56" i="53"/>
  <c r="C56" i="53" s="1"/>
  <c r="G48" i="53"/>
  <c r="C48" i="53"/>
  <c r="G46" i="53"/>
  <c r="C46" i="53"/>
  <c r="G59" i="53"/>
  <c r="C59" i="53"/>
  <c r="I50" i="53"/>
  <c r="E50" i="53" s="1"/>
  <c r="D50" i="53" s="1"/>
  <c r="I57" i="53"/>
  <c r="I49" i="53"/>
  <c r="E49" i="53" s="1"/>
  <c r="D49" i="53" s="1"/>
  <c r="I58" i="53"/>
  <c r="E58" i="53" s="1"/>
  <c r="D58" i="53" s="1"/>
  <c r="E54" i="53"/>
  <c r="E18" i="31"/>
  <c r="E20" i="31" s="1"/>
  <c r="F18" i="31"/>
  <c r="F20" i="31" s="1"/>
  <c r="D20" i="31"/>
  <c r="N14" i="53"/>
  <c r="L14" i="53" s="1"/>
  <c r="I47" i="53" s="1"/>
  <c r="E47" i="53" s="1"/>
  <c r="H47" i="53" s="1"/>
  <c r="H51" i="53" l="1"/>
  <c r="C51" i="53"/>
  <c r="H58" i="53"/>
  <c r="C58" i="53"/>
  <c r="C49" i="53"/>
  <c r="H49" i="53"/>
  <c r="H53" i="53"/>
  <c r="C53" i="53"/>
  <c r="C54" i="53"/>
  <c r="K57" i="53"/>
  <c r="E57" i="53"/>
  <c r="D57" i="53" s="1"/>
  <c r="D47" i="53"/>
  <c r="H50" i="53"/>
  <c r="C50" i="53"/>
  <c r="H52" i="53"/>
  <c r="C52" i="53"/>
  <c r="E61" i="53" l="1"/>
  <c r="B8" i="31" s="1"/>
  <c r="F24" i="31" s="1"/>
  <c r="F27" i="31" s="1"/>
  <c r="E12" i="32" s="1"/>
  <c r="E14" i="32" s="1"/>
  <c r="H57" i="53"/>
  <c r="J57" i="53" s="1"/>
  <c r="C57" i="53"/>
  <c r="G47" i="53"/>
  <c r="C47" i="53"/>
  <c r="D61" i="53"/>
  <c r="E24" i="31" l="1"/>
  <c r="E27" i="31" s="1"/>
  <c r="E26" i="32" s="1"/>
  <c r="E28" i="32" s="1"/>
  <c r="D24" i="31"/>
  <c r="D27" i="31" s="1"/>
  <c r="C61" i="53"/>
  <c r="E20" i="32" l="1"/>
  <c r="E22" i="32" s="1"/>
</calcChain>
</file>

<file path=xl/comments1.xml><?xml version="1.0" encoding="utf-8"?>
<comments xmlns="http://schemas.openxmlformats.org/spreadsheetml/2006/main">
  <authors>
    <author>Kim, Jee Young</author>
  </authors>
  <commentList>
    <comment ref="B22" authorId="0" shapeId="0">
      <text>
        <r>
          <rPr>
            <b/>
            <sz val="9"/>
            <color indexed="81"/>
            <rFont val="Tahoma"/>
            <family val="2"/>
          </rPr>
          <t>Kim, Jee Young:</t>
        </r>
        <r>
          <rPr>
            <sz val="9"/>
            <color indexed="81"/>
            <rFont val="Tahoma"/>
            <family val="2"/>
          </rPr>
          <t xml:space="preserve">
Changed font to Arial 10</t>
        </r>
      </text>
    </comment>
  </commentList>
</comments>
</file>

<file path=xl/sharedStrings.xml><?xml version="1.0" encoding="utf-8"?>
<sst xmlns="http://schemas.openxmlformats.org/spreadsheetml/2006/main" count="6301" uniqueCount="2872">
  <si>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</si>
  <si>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</si>
  <si>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</si>
  <si>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</si>
  <si>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</si>
  <si>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</si>
  <si>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</si>
  <si>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</si>
  <si>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</si>
  <si>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</si>
  <si>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</si>
  <si>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</si>
  <si>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</si>
  <si>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</si>
  <si>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</si>
  <si>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</si>
  <si>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</si>
  <si>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</si>
  <si>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</si>
  <si>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</si>
  <si>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</si>
  <si>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</si>
  <si>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</si>
  <si>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</si>
  <si>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</si>
  <si>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</si>
  <si>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</si>
  <si>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</si>
  <si>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</si>
  <si>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</si>
  <si>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</si>
  <si>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</si>
  <si>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</si>
  <si>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</si>
  <si>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</si>
  <si>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</si>
  <si>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</si>
  <si>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</si>
  <si>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</si>
  <si>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</si>
  <si>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</si>
  <si>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</si>
  <si>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</si>
  <si>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</si>
  <si>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</si>
  <si>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</si>
  <si>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</si>
  <si>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</si>
  <si>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</si>
  <si>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</si>
  <si>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</si>
  <si>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</si>
  <si>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</si>
  <si>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</si>
  <si>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</si>
  <si>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</si>
  <si>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</si>
  <si>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</si>
  <si>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</si>
  <si>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</si>
  <si>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</si>
  <si>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</si>
  <si>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</si>
  <si>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</si>
  <si>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</si>
  <si>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</si>
  <si>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</si>
  <si>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</si>
  <si>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</si>
  <si>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</si>
  <si>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</si>
  <si>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</si>
  <si>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</si>
  <si>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</si>
  <si>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</si>
  <si>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</si>
  <si>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</si>
  <si>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</si>
  <si>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</si>
  <si>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</si>
  <si>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</si>
  <si>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</si>
  <si>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</si>
  <si>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</si>
  <si>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</si>
  <si>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</si>
  <si>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</si>
  <si>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</si>
  <si>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</si>
  <si>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</si>
  <si>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</si>
  <si>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</si>
  <si>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</si>
  <si>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</si>
  <si>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</si>
  <si>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</si>
  <si>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</si>
  <si>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</si>
  <si>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</si>
  <si>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</si>
  <si>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</si>
  <si>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</si>
  <si>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</si>
  <si>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</si>
  <si>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</si>
  <si>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</si>
  <si>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</si>
  <si>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</si>
  <si>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</si>
  <si>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</si>
  <si>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</si>
  <si>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</si>
  <si>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</si>
  <si>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</si>
  <si>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</si>
  <si>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</si>
  <si>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</si>
  <si>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</si>
  <si>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</si>
  <si>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</si>
  <si>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</si>
  <si>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</si>
  <si>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</si>
  <si>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</si>
  <si>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</si>
  <si>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</si>
  <si>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</si>
  <si>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</si>
  <si>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</si>
  <si>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</si>
  <si>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</si>
  <si>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</si>
  <si>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</si>
  <si>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</si>
  <si>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</si>
  <si>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</si>
  <si>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</si>
  <si>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</si>
  <si>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</si>
  <si>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</si>
  <si>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</si>
  <si>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</si>
  <si>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</si>
  <si>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</si>
  <si>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</si>
  <si>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</si>
  <si>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</si>
  <si>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</si>
  <si>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</si>
  <si>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</si>
  <si>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</si>
  <si>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</si>
  <si>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</si>
  <si>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</si>
  <si>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</si>
  <si>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</si>
  <si>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</si>
  <si>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</si>
  <si>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</si>
  <si>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</si>
  <si>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</si>
  <si>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</si>
  <si>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</si>
  <si>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</si>
  <si>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</si>
  <si>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</si>
  <si>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</si>
  <si>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</si>
  <si>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</si>
  <si>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</si>
  <si>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</si>
  <si>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</si>
  <si>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</si>
  <si>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</si>
  <si>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</si>
  <si>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</si>
  <si>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</si>
  <si>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</si>
  <si>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</si>
  <si>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</si>
  <si>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</si>
  <si>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</si>
  <si>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</si>
  <si>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</si>
  <si>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</si>
  <si>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</si>
  <si>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</si>
  <si>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</si>
  <si>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</si>
  <si>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</si>
  <si>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</si>
  <si>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</si>
  <si>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</si>
  <si>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</si>
  <si>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</si>
  <si>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</si>
  <si>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</si>
  <si>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</si>
  <si>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</si>
  <si>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</si>
  <si>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</si>
  <si>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</si>
  <si>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</si>
  <si>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</si>
  <si>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</si>
  <si>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</si>
  <si>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</si>
  <si>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</si>
  <si>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</si>
  <si>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</si>
  <si>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</si>
  <si>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</si>
  <si>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</si>
  <si>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</si>
  <si>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</si>
  <si>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</si>
  <si>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</si>
  <si>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</si>
  <si>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</si>
  <si>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</si>
  <si>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</si>
  <si>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</si>
  <si>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</si>
  <si>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</si>
  <si>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</si>
  <si>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</si>
  <si>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</si>
  <si>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</si>
  <si>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</si>
  <si>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</si>
  <si>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</si>
  <si>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</si>
  <si>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</si>
  <si>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</si>
  <si>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</si>
  <si>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</si>
  <si>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</si>
  <si>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</si>
  <si>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</si>
  <si>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</si>
  <si>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</si>
  <si>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</si>
  <si>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</si>
  <si>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</si>
  <si>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</si>
  <si>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</si>
  <si>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</si>
  <si>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</si>
  <si>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</si>
  <si>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</si>
  <si>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</si>
  <si>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</si>
  <si>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</si>
  <si>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</si>
  <si>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</si>
  <si>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</si>
  <si>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</si>
  <si>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</si>
  <si>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</si>
  <si>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</si>
  <si>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</si>
  <si>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</si>
  <si>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</si>
  <si>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</si>
  <si>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</si>
  <si>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</si>
  <si>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</si>
  <si>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</si>
  <si>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</si>
  <si>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</si>
  <si>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</si>
  <si>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</si>
  <si>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</si>
  <si>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</si>
  <si>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</si>
  <si>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</si>
  <si>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</si>
  <si>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</si>
  <si>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</si>
  <si>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</si>
  <si>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</si>
  <si>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</si>
  <si>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</si>
  <si>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</si>
  <si>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</si>
  <si>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</si>
  <si>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</si>
  <si>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</si>
  <si>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</si>
  <si>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</si>
  <si>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</si>
  <si>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</si>
  <si>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</si>
  <si>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</si>
  <si>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</si>
  <si>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</si>
  <si>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</si>
  <si>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</si>
  <si>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</si>
  <si>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</si>
  <si>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</si>
  <si>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</si>
  <si>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</si>
  <si>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</si>
  <si>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</si>
  <si>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</si>
  <si>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</si>
  <si>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</si>
  <si>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</si>
  <si>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</si>
  <si>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</si>
  <si>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</si>
  <si>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</si>
  <si>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</si>
  <si>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</si>
  <si>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</si>
  <si>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</si>
  <si>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</si>
  <si>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</si>
  <si>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</si>
  <si>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</si>
  <si>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</si>
  <si>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</si>
  <si>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</si>
  <si>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</si>
  <si>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</si>
  <si>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</si>
  <si>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</si>
  <si>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</si>
  <si>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</si>
  <si>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</si>
  <si>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</si>
  <si>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</si>
  <si>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</si>
  <si>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</si>
  <si>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</si>
  <si>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</si>
  <si>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</si>
  <si>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</si>
  <si>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</si>
  <si>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</si>
  <si>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</si>
  <si>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</si>
  <si>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</si>
  <si>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</si>
  <si>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</si>
  <si>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</si>
  <si>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</si>
  <si>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</si>
  <si>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</si>
  <si>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</si>
  <si>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</si>
  <si>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</si>
  <si>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</si>
  <si>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</si>
  <si>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</si>
  <si>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</si>
  <si>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</si>
  <si>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</si>
  <si>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</si>
  <si>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</si>
  <si>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</si>
  <si>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</si>
  <si>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</si>
  <si>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</si>
  <si>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</si>
  <si>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</si>
  <si>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</si>
  <si>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</si>
  <si>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</si>
  <si>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</si>
  <si>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</si>
  <si>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</si>
  <si>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</si>
  <si>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</si>
  <si>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</si>
  <si>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</si>
  <si>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</si>
  <si>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</si>
  <si>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</si>
  <si>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</si>
  <si>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</si>
  <si>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</si>
  <si>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</si>
  <si>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</si>
  <si>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</si>
  <si>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</si>
  <si>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</si>
  <si>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</si>
  <si>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</si>
  <si>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</si>
  <si>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</si>
  <si>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</si>
  <si>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</si>
  <si>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</si>
  <si>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</si>
  <si>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</si>
  <si>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</si>
  <si>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</si>
  <si>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</si>
  <si>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</si>
  <si>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</si>
  <si>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</si>
  <si>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</si>
  <si>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</si>
  <si>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</si>
  <si>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</si>
  <si>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</si>
  <si>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</si>
  <si>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</si>
  <si>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</si>
  <si>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</si>
  <si>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</si>
  <si>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</si>
  <si>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</si>
  <si>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</si>
  <si>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</si>
  <si>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</si>
  <si>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</si>
  <si>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</si>
  <si>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</si>
  <si>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</si>
  <si>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</si>
  <si>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</si>
  <si>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</si>
  <si>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</si>
  <si>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</si>
  <si>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</si>
  <si>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</si>
  <si>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</si>
  <si>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</si>
  <si>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</si>
  <si>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</si>
  <si>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</si>
  <si>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</si>
  <si>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</si>
  <si>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</si>
  <si>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</si>
  <si>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</si>
  <si>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</si>
  <si>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</si>
  <si>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</si>
  <si>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</si>
  <si>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</si>
  <si>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</si>
  <si>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</si>
  <si>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</si>
  <si>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</si>
  <si>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</si>
  <si>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</si>
  <si>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</si>
  <si>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</si>
  <si>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</si>
  <si>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</si>
  <si>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</si>
  <si>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</si>
  <si>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</si>
  <si>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</si>
  <si>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</si>
  <si>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</si>
  <si>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</si>
  <si>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</si>
  <si>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</si>
  <si>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</si>
  <si>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</si>
  <si>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</si>
  <si>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</si>
  <si>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</si>
  <si>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</si>
  <si>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</si>
  <si>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</si>
  <si>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</si>
  <si>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</si>
  <si>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</si>
  <si>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</si>
  <si>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</si>
  <si>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</si>
  <si>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</si>
  <si>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</si>
  <si>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</si>
  <si>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</si>
  <si>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</si>
  <si>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</si>
  <si>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</si>
  <si>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</si>
  <si>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</si>
  <si>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</si>
  <si>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</si>
  <si>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</si>
  <si>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</si>
  <si>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</si>
  <si>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</si>
  <si>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</si>
  <si>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</si>
  <si>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</si>
  <si>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</si>
  <si>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</si>
  <si>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</si>
  <si>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</si>
  <si>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</si>
  <si>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</si>
  <si>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</si>
  <si>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</si>
  <si>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</si>
  <si>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</si>
  <si>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</si>
  <si>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</si>
  <si>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</si>
  <si>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</si>
  <si>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</si>
  <si>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</si>
  <si>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</si>
  <si>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</si>
  <si>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</si>
  <si>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</si>
  <si>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</si>
  <si>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</si>
  <si>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</si>
  <si>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</si>
  <si>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</si>
  <si>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</si>
  <si>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</si>
  <si>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</si>
  <si>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</si>
  <si>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</si>
  <si>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</si>
  <si>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</si>
  <si>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</si>
  <si>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</si>
  <si>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</si>
  <si>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</si>
  <si>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</si>
  <si>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</si>
  <si>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</si>
  <si>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</si>
  <si>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</si>
  <si>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</si>
  <si>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</si>
  <si>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</si>
  <si>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</si>
  <si>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</si>
  <si>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</si>
  <si>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</si>
  <si>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</si>
  <si>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</si>
  <si>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</si>
  <si>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</si>
  <si>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</si>
  <si>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</si>
  <si>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</si>
  <si>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</si>
  <si>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</si>
  <si>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</si>
  <si>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</si>
  <si>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</si>
  <si>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</si>
  <si>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</si>
  <si>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</si>
  <si>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</si>
  <si>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</si>
  <si>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</si>
  <si>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</si>
  <si>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</si>
  <si>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</si>
  <si>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</si>
  <si>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</si>
  <si>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</si>
  <si>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</si>
  <si>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</si>
  <si>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</si>
  <si>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</si>
  <si>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</si>
  <si>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</si>
  <si>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</si>
  <si>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</si>
  <si>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</si>
  <si>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</si>
  <si>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</si>
  <si>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</si>
  <si>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</si>
  <si>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</si>
  <si>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</si>
  <si>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</si>
  <si>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</si>
  <si>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</si>
  <si>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</si>
  <si>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</si>
  <si>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</si>
  <si>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</si>
  <si>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</si>
  <si>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</si>
  <si>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</si>
  <si>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</si>
  <si>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</si>
  <si>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</si>
  <si>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</si>
  <si>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</si>
  <si>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</si>
  <si>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</si>
  <si>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</si>
  <si>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</si>
  <si>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</si>
  <si>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</si>
  <si>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</si>
  <si>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</si>
  <si>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</si>
  <si>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</si>
  <si>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</si>
  <si>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</si>
  <si>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</si>
  <si>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</si>
  <si>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</si>
  <si>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</si>
  <si>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</si>
  <si>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</si>
  <si>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</si>
  <si>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</si>
  <si>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</si>
  <si>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</si>
  <si>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</si>
  <si>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</si>
  <si>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</si>
  <si>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</si>
  <si>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</si>
  <si>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</si>
  <si>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</si>
  <si>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</si>
  <si>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</si>
  <si>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</si>
  <si>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</si>
  <si>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</si>
  <si>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</si>
  <si>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</si>
  <si>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</si>
  <si>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</si>
  <si>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</si>
  <si>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</si>
  <si>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</si>
  <si>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</si>
  <si>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</si>
  <si>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</si>
  <si>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</si>
  <si>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</si>
  <si>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</si>
  <si>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</si>
  <si>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</si>
  <si>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</si>
  <si>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</si>
  <si>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</si>
  <si>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</si>
  <si>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</si>
  <si>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</si>
  <si>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</si>
  <si>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</si>
  <si>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</si>
  <si>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</si>
  <si>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</si>
  <si>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</si>
  <si>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</si>
  <si>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</si>
  <si>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</si>
  <si>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</si>
  <si>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</si>
  <si>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</si>
  <si>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</si>
  <si>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</si>
  <si>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</si>
  <si>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</si>
  <si>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</si>
  <si>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</si>
  <si>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</si>
  <si>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</si>
  <si>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</si>
  <si>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</si>
  <si>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</si>
  <si>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</si>
  <si>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</si>
  <si>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</si>
  <si>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</si>
  <si>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</si>
  <si>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</si>
  <si>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</si>
  <si>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</si>
  <si>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</si>
  <si>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</si>
  <si>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</si>
  <si>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</si>
  <si>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</si>
  <si>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</si>
  <si>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</si>
  <si>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</si>
  <si>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</si>
  <si>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</si>
  <si>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</si>
  <si>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</si>
  <si>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</si>
  <si>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</si>
  <si>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</si>
  <si>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</si>
  <si>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</si>
  <si>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</si>
  <si>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</si>
  <si>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</si>
  <si>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</si>
  <si>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</si>
  <si>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</si>
  <si>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</si>
  <si>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</si>
  <si>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</si>
  <si>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</si>
  <si>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</si>
  <si>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</si>
  <si>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</si>
  <si>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</si>
  <si>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</si>
  <si>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</si>
  <si>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</si>
  <si>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</si>
  <si>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</si>
  <si>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</si>
  <si>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</si>
  <si>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</si>
  <si>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</si>
  <si>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</si>
  <si>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</si>
  <si>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</si>
  <si>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</si>
  <si>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</si>
  <si>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</si>
  <si>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</si>
  <si>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</si>
  <si>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</si>
  <si>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</si>
  <si>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</si>
  <si>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</si>
  <si>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</si>
  <si>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</si>
  <si>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</si>
  <si>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</si>
  <si>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</si>
  <si>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</si>
  <si>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</si>
  <si>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</si>
  <si>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</si>
  <si>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</si>
  <si>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</si>
  <si>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</si>
  <si>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</si>
  <si>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</si>
  <si>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</si>
  <si>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</si>
  <si>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</si>
  <si>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</si>
  <si>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</si>
  <si>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</si>
  <si>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</si>
  <si>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</si>
  <si>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</si>
  <si>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</si>
  <si>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</si>
  <si>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</si>
  <si>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</si>
  <si>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</si>
  <si>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</si>
  <si>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</si>
  <si>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</si>
  <si>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</si>
  <si>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</si>
  <si>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</si>
  <si>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</si>
  <si>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</si>
  <si>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</si>
  <si>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</si>
  <si>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</si>
  <si>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</si>
  <si>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</si>
  <si>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</si>
  <si>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</si>
  <si>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</si>
  <si>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</si>
  <si>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</si>
  <si>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</si>
  <si>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</si>
  <si>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</si>
  <si>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</si>
  <si>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</si>
  <si>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</si>
  <si>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</si>
  <si>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</si>
  <si>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</si>
  <si>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</si>
  <si>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</si>
  <si>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</si>
  <si>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</si>
  <si>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</si>
  <si>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</si>
  <si>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</si>
  <si>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</si>
  <si>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</si>
  <si>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</si>
  <si>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</si>
  <si>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</si>
  <si>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</si>
  <si>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</si>
  <si>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</si>
  <si>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</si>
  <si>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</si>
  <si>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</si>
  <si>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</si>
  <si>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</si>
  <si>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</si>
  <si>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</si>
  <si>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</si>
  <si>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</si>
  <si>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</si>
  <si>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</si>
  <si>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</si>
  <si>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</si>
  <si>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</si>
  <si>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</si>
  <si>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</si>
  <si>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</si>
  <si>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</si>
  <si>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</si>
  <si>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</si>
  <si>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</si>
  <si>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</si>
  <si>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</si>
  <si>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</si>
  <si>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</si>
  <si>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</si>
  <si>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</si>
  <si>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</si>
  <si>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</si>
  <si>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</si>
  <si>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</si>
  <si>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</si>
  <si>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</si>
  <si>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</si>
  <si>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</si>
  <si>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</si>
  <si>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</si>
  <si>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</si>
  <si>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</si>
  <si>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</si>
  <si>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</si>
  <si>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</si>
  <si>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</si>
  <si>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</si>
  <si>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</si>
  <si>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</si>
  <si>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</si>
  <si>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</si>
  <si>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</si>
  <si>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</si>
  <si>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</si>
  <si>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</si>
  <si>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</si>
  <si>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</si>
  <si>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</si>
  <si>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</si>
  <si>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</si>
  <si>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</si>
  <si>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</si>
  <si>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</si>
  <si>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</si>
  <si>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</si>
  <si>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</si>
  <si>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</si>
  <si>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</si>
  <si>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</si>
  <si>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</si>
  <si>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</si>
  <si>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</si>
  <si>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</si>
  <si>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</si>
  <si>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</si>
  <si>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</si>
  <si>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</si>
  <si>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</si>
  <si>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</si>
  <si>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</si>
  <si>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</si>
  <si>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</si>
  <si>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</si>
  <si>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</si>
  <si>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</si>
  <si>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</si>
  <si>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</si>
  <si>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</si>
  <si>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</si>
  <si>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</si>
  <si>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</si>
  <si>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</si>
  <si>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</si>
  <si>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</si>
  <si>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</si>
  <si>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</si>
  <si>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</si>
  <si>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</si>
  <si>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</si>
  <si>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</si>
  <si>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</si>
  <si>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</si>
  <si>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</si>
  <si>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</si>
  <si>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</si>
  <si>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</si>
  <si>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</si>
  <si>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</si>
  <si>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</si>
  <si>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</si>
  <si>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</si>
  <si>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</si>
  <si>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</si>
  <si>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</si>
  <si>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</si>
  <si>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</si>
  <si>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</si>
  <si>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</si>
  <si>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</si>
  <si>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</si>
  <si>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</si>
  <si>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</si>
  <si>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</si>
  <si>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</si>
  <si>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</si>
  <si>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</si>
  <si>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</si>
  <si>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</si>
  <si>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</si>
  <si>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</si>
  <si>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</si>
  <si>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</si>
  <si>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</si>
  <si>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</si>
  <si>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</si>
  <si>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</si>
  <si>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</si>
  <si>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</si>
  <si>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</si>
  <si>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</si>
  <si>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</si>
  <si>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</si>
  <si>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</si>
  <si>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</si>
  <si>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</si>
  <si>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</si>
  <si>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</si>
  <si>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</si>
  <si>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</si>
  <si>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</si>
  <si>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</si>
  <si>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</si>
  <si>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</si>
  <si>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</si>
  <si>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</si>
  <si>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</si>
  <si>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</si>
  <si>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</si>
  <si>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</si>
  <si>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</si>
  <si>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</si>
  <si>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</si>
  <si>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</si>
  <si>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</si>
  <si>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</si>
  <si>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</si>
  <si>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</si>
  <si>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</si>
  <si>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</si>
  <si>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</si>
  <si>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</si>
  <si>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</si>
  <si>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</si>
  <si>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</si>
  <si>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</si>
  <si>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</si>
  <si>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</si>
  <si>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</si>
  <si>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</si>
  <si>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</si>
  <si>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</si>
  <si>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</si>
  <si>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</si>
  <si>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</si>
  <si>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</si>
  <si>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</si>
  <si>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</si>
  <si>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</si>
  <si>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</si>
  <si>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</si>
  <si>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</si>
  <si>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</si>
  <si>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</si>
  <si>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</si>
  <si>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</si>
  <si>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</si>
  <si>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</si>
  <si>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</si>
  <si>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</si>
  <si>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</si>
  <si>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</si>
  <si>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</si>
  <si>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</si>
  <si>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</si>
  <si>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</si>
  <si>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</si>
  <si>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</si>
  <si>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</si>
  <si>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</si>
  <si>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</si>
  <si>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</si>
  <si>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</si>
  <si>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</si>
  <si>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</si>
  <si>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</si>
  <si>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</si>
  <si>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</si>
  <si>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</si>
  <si>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</si>
  <si>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</si>
  <si>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</si>
  <si>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</si>
  <si>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</si>
  <si>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</si>
  <si>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</si>
  <si>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</si>
  <si>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</si>
  <si>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</si>
  <si>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</si>
  <si>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</si>
  <si>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</si>
  <si>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</si>
  <si>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</si>
  <si>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</si>
  <si>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</si>
  <si>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</si>
  <si>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</si>
  <si>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</si>
  <si>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</si>
  <si>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</si>
  <si>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</si>
  <si>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</si>
  <si>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</si>
  <si>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</si>
  <si>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</si>
  <si>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</si>
  <si>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</si>
  <si>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</si>
  <si>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</si>
  <si>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</si>
  <si>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</si>
  <si>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</si>
  <si>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</si>
  <si>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</si>
  <si>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</si>
  <si>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</si>
  <si>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</si>
  <si>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</si>
  <si>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</si>
  <si>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</si>
  <si>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</si>
  <si>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</si>
  <si>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</si>
  <si>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</si>
  <si>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</si>
  <si>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</si>
  <si>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</si>
  <si>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</si>
  <si>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</si>
  <si>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</si>
  <si>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</si>
  <si>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</si>
  <si>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</si>
  <si>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</si>
  <si>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</si>
  <si>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</si>
  <si>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</si>
  <si>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</si>
  <si>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</si>
  <si>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</si>
  <si>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</si>
  <si>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</si>
  <si>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</si>
  <si>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</si>
  <si>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</si>
  <si>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</si>
  <si>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</si>
  <si>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</si>
  <si>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</si>
  <si>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</si>
  <si>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</si>
  <si>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</si>
  <si>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</si>
  <si>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</si>
  <si>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</si>
  <si>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</si>
  <si>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</si>
  <si>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</si>
  <si>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</si>
  <si>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</si>
  <si>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</si>
  <si>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</si>
  <si>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</si>
  <si>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</si>
  <si>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</si>
  <si>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</si>
  <si>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</si>
  <si>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</si>
  <si>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</si>
  <si>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</si>
  <si>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</si>
  <si>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</si>
  <si>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</si>
  <si>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</si>
  <si>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</si>
  <si>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</si>
  <si>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</si>
  <si>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</si>
  <si>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</si>
  <si>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</si>
  <si>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</si>
  <si>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L) Future Incentive Projects</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</si>
  <si>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</si>
  <si>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</si>
  <si>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</si>
  <si>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</si>
  <si>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</si>
  <si>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</si>
  <si>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</si>
  <si>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</si>
  <si>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</si>
  <si>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</si>
  <si>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</si>
  <si>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</si>
  <si>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</si>
  <si>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</si>
  <si>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</si>
  <si>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</si>
  <si>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</si>
  <si>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</si>
  <si>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</si>
  <si>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</si>
  <si>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</si>
  <si>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</si>
  <si>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</si>
  <si>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</si>
  <si>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</si>
  <si>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</si>
  <si>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</si>
  <si>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</si>
  <si>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</si>
  <si>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</si>
  <si>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</si>
  <si>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</si>
  <si>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</si>
  <si>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</si>
  <si>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</si>
  <si>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</si>
  <si>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</si>
  <si>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</si>
  <si>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</si>
  <si>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</si>
  <si>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</si>
  <si>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</si>
  <si>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</si>
  <si>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</si>
  <si>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</si>
  <si>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</si>
  <si>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</si>
  <si>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</si>
  <si>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</si>
  <si>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</si>
  <si>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</si>
  <si>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</si>
  <si>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</si>
  <si>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</si>
  <si>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</si>
  <si>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</si>
  <si>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</si>
  <si>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</si>
  <si>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</si>
  <si>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</si>
  <si>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</si>
  <si>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</si>
  <si>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</si>
  <si>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</si>
  <si>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</si>
  <si>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</si>
  <si>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</si>
  <si>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</si>
  <si>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</si>
  <si>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</si>
  <si>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</si>
  <si>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</si>
  <si>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</si>
  <si>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</si>
  <si>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</si>
  <si>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</si>
  <si>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</si>
  <si>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</si>
  <si>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</si>
  <si>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</si>
  <si>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</si>
  <si>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</si>
  <si>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</si>
  <si>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</si>
  <si>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</si>
  <si>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</si>
  <si>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</si>
  <si>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</si>
  <si>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</si>
  <si>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</si>
  <si>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</si>
  <si>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</si>
  <si>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</si>
  <si>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</si>
  <si>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</si>
  <si>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</si>
  <si>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</si>
  <si>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</si>
  <si>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</si>
  <si>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</si>
  <si>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</si>
  <si>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</si>
  <si>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</si>
  <si>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</si>
  <si>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</si>
  <si>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</si>
  <si>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</si>
  <si>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</si>
  <si>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</si>
  <si>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</si>
  <si>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</si>
  <si>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</si>
  <si>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</si>
  <si>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</si>
  <si>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</si>
  <si>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</si>
  <si>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</si>
  <si>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</si>
  <si>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</si>
  <si>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</si>
  <si>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</si>
  <si>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</si>
  <si>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</si>
  <si>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</si>
  <si>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</si>
  <si>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</si>
  <si>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</si>
  <si>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</si>
  <si>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</si>
  <si>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</si>
  <si>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</si>
  <si>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</si>
  <si>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</si>
  <si>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</si>
  <si>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</si>
  <si>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</si>
  <si>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</si>
  <si>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</si>
  <si>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</si>
  <si>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</si>
  <si>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</si>
  <si>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</si>
  <si>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</si>
  <si>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</si>
  <si>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</si>
  <si>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</si>
  <si>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</si>
  <si>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</si>
  <si>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</si>
  <si>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</si>
  <si>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</si>
  <si>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</si>
  <si>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</si>
  <si>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</si>
  <si>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</si>
  <si>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</si>
  <si>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</si>
  <si>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</si>
  <si>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</si>
  <si>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</si>
  <si>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</si>
  <si>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</si>
  <si>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</si>
  <si>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</si>
  <si>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</si>
  <si>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</si>
  <si>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</si>
  <si>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</si>
  <si>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</si>
  <si>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</si>
  <si>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</si>
  <si>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</si>
  <si>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</si>
  <si>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</si>
  <si>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</si>
  <si>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</si>
  <si>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</si>
  <si>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</si>
  <si>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</si>
  <si>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</si>
  <si>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</si>
  <si>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</si>
  <si>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</si>
  <si>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</si>
  <si>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</si>
  <si>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</si>
  <si>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</si>
  <si>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</si>
  <si>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</si>
  <si>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</si>
  <si>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</si>
  <si>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</si>
  <si>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</si>
  <si>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</si>
  <si>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</si>
  <si>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FF1322.156b</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</si>
  <si>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</si>
  <si>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</si>
  <si>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</si>
  <si>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</si>
  <si>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</si>
  <si>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</si>
  <si>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</si>
  <si>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</si>
  <si>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</si>
  <si>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</si>
  <si>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</si>
  <si>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</si>
  <si>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</si>
  <si>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</si>
  <si>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</si>
  <si>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</si>
  <si>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</si>
  <si>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</si>
  <si>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</si>
  <si>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</si>
  <si>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</si>
  <si>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</si>
  <si>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</si>
  <si>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</si>
  <si>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</si>
  <si>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</si>
  <si>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</si>
  <si>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</si>
  <si>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</si>
  <si>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</si>
  <si>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</si>
  <si>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</si>
  <si>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</si>
  <si>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</si>
  <si>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</si>
  <si>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</si>
  <si>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</si>
  <si>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</si>
  <si>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</si>
  <si>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</si>
  <si>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</si>
  <si>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</si>
  <si>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</si>
  <si>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</si>
  <si>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</si>
  <si>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</si>
  <si>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</si>
  <si>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</si>
  <si>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</si>
  <si>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</si>
  <si>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</si>
  <si>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</si>
  <si>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</si>
  <si>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</si>
  <si>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</si>
  <si>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</si>
  <si>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</si>
  <si>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</si>
  <si>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</si>
  <si>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</si>
  <si>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</si>
  <si>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</si>
  <si>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</si>
  <si>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</si>
  <si>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</si>
  <si>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</si>
  <si>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</si>
  <si>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</si>
  <si>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</si>
  <si>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</si>
  <si>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</si>
  <si>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</si>
  <si>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</si>
  <si>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</si>
  <si>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</si>
  <si>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</si>
  <si>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</si>
  <si>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</si>
  <si>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</si>
  <si>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</si>
  <si>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</si>
  <si>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</si>
  <si>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</si>
  <si>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</si>
  <si>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</si>
  <si>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</si>
  <si>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</si>
  <si>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</si>
  <si>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</si>
  <si>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</si>
  <si>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</si>
  <si>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</si>
  <si>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</si>
  <si>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</si>
  <si>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</si>
  <si>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</si>
  <si>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</si>
  <si>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</si>
  <si>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</si>
  <si>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</si>
  <si>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</si>
  <si>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</si>
  <si>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</si>
  <si>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</si>
  <si>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</si>
  <si>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</si>
  <si>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</si>
  <si>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</si>
  <si>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</si>
  <si>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</si>
  <si>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</si>
  <si>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</si>
  <si>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</si>
  <si>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</si>
  <si>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</si>
  <si>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</si>
  <si>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</si>
  <si>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</si>
  <si>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</si>
  <si>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</si>
  <si>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</si>
  <si>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</si>
  <si>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</si>
  <si>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</si>
  <si>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</si>
  <si>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</si>
  <si>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</si>
  <si>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</si>
  <si>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</si>
  <si>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</si>
  <si>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</si>
  <si>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</si>
  <si>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</si>
  <si>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</si>
  <si>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</si>
  <si>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</si>
  <si>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</si>
  <si>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</si>
  <si>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</si>
  <si>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</si>
  <si>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</si>
  <si>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</si>
  <si>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</si>
  <si>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</si>
  <si>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</si>
  <si>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</si>
  <si>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</si>
  <si>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</si>
  <si>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</si>
  <si>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</si>
  <si>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</si>
  <si>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</si>
  <si>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</si>
  <si>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</si>
  <si>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</si>
  <si>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</si>
  <si>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</si>
  <si>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</si>
  <si>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</si>
  <si>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</si>
  <si>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</si>
  <si>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</si>
  <si>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</si>
  <si>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</si>
  <si>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</si>
  <si>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</si>
  <si>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</si>
  <si>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</si>
  <si>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</si>
  <si>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</si>
  <si>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</si>
  <si>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</si>
  <si>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</si>
  <si>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</si>
  <si>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</si>
  <si>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</si>
  <si>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</si>
  <si>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</si>
  <si>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</si>
  <si>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</si>
  <si>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</si>
  <si>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</si>
  <si>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</si>
  <si>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</si>
  <si>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</si>
  <si>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</si>
  <si>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</si>
  <si>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</si>
  <si>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</si>
  <si>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</si>
  <si>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</si>
  <si>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</si>
  <si>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</si>
  <si>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</si>
  <si>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</si>
  <si>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</si>
  <si>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</si>
  <si>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</si>
  <si>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</si>
  <si>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</si>
  <si>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</si>
  <si>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</si>
  <si>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</si>
  <si>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</si>
  <si>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</si>
  <si>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</si>
  <si>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</si>
  <si>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</si>
  <si>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</si>
  <si>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</si>
  <si>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</si>
  <si>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</si>
  <si>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</si>
  <si>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</si>
  <si>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</si>
  <si>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</si>
  <si>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</si>
  <si>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</si>
  <si>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</si>
  <si>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</si>
  <si>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</si>
  <si>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</si>
  <si>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</si>
  <si>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</si>
  <si>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</si>
  <si>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</si>
  <si>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</si>
  <si>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</si>
  <si>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</si>
  <si>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</si>
  <si>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</si>
  <si>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</si>
  <si>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</si>
  <si>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</si>
  <si>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</si>
  <si>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</si>
  <si>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</si>
  <si>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</si>
  <si>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</si>
  <si>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</si>
  <si>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</si>
  <si>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</si>
  <si>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</si>
  <si>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</si>
  <si>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</si>
  <si>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</si>
  <si>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</si>
  <si>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</si>
  <si>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</si>
  <si>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</si>
  <si>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</si>
  <si>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</si>
  <si>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</si>
  <si>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</si>
  <si>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</si>
  <si>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</si>
  <si>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</si>
  <si>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</si>
  <si>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</si>
  <si>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</si>
  <si>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</si>
  <si>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</si>
  <si>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</si>
  <si>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</si>
  <si>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</si>
  <si>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</si>
  <si>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</si>
  <si>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</si>
  <si>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</si>
  <si>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</si>
  <si>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</si>
  <si>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</si>
  <si>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</si>
  <si>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</si>
  <si>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</si>
  <si>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</si>
  <si>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</si>
  <si>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</si>
  <si>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</si>
  <si>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</si>
  <si>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</si>
  <si>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</si>
  <si>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</si>
  <si>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</si>
  <si>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</si>
  <si>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</si>
  <si>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</si>
  <si>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</si>
  <si>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</si>
  <si>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</si>
  <si>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</si>
  <si>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</si>
  <si>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</si>
  <si>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</si>
  <si>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</si>
  <si>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</si>
  <si>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</si>
  <si>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</si>
  <si>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</si>
  <si>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</si>
  <si>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</si>
  <si>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</si>
  <si>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</si>
  <si>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</si>
  <si>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</si>
  <si>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</si>
  <si>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</si>
  <si>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</si>
  <si>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</si>
  <si>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</si>
  <si>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</si>
  <si>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</si>
  <si>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</si>
  <si>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</si>
  <si>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</si>
  <si>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</si>
  <si>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</si>
  <si>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</si>
  <si>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</si>
  <si>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</si>
  <si>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</si>
  <si>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</si>
  <si>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</si>
  <si>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</si>
  <si>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</si>
  <si>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</si>
  <si>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</si>
  <si>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</si>
  <si>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</si>
  <si>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</si>
  <si>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</si>
  <si>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</si>
  <si>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</si>
  <si>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</si>
  <si>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</si>
  <si>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</si>
  <si>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</si>
  <si>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</si>
  <si>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</si>
  <si>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</si>
  <si>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</si>
  <si>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</si>
  <si>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</si>
  <si>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</si>
  <si>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</si>
  <si>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</si>
  <si>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</si>
  <si>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</si>
  <si>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</si>
  <si>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</si>
  <si>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</si>
  <si>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</si>
  <si>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</si>
  <si>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</si>
  <si>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</si>
  <si>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</si>
  <si>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</si>
  <si>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</si>
  <si>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</si>
  <si>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</si>
  <si>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</si>
  <si>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</si>
  <si>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</si>
  <si>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</si>
  <si>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</si>
  <si>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</si>
  <si>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</si>
  <si>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</si>
  <si>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</si>
  <si>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</si>
  <si>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</si>
  <si>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</si>
  <si>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</si>
  <si>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</si>
  <si>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</si>
  <si>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</si>
  <si>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</si>
  <si>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</si>
  <si>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</si>
  <si>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</si>
  <si>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</si>
  <si>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</si>
  <si>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</si>
  <si>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</si>
  <si>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</si>
  <si>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</si>
  <si>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</si>
  <si>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</si>
  <si>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</si>
  <si>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</si>
  <si>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</si>
  <si>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</si>
  <si>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</si>
  <si>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</si>
  <si>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</si>
  <si>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</si>
  <si>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</si>
  <si>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</si>
  <si>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</si>
  <si>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</si>
  <si>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</si>
  <si>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</si>
  <si>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</si>
  <si>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</si>
  <si>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</si>
  <si>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</si>
  <si>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</si>
  <si>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</si>
  <si>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</si>
  <si>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</si>
  <si>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</si>
  <si>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</si>
  <si>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</si>
  <si>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</si>
  <si>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</si>
  <si>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</si>
  <si>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</si>
  <si>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</si>
  <si>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</si>
  <si>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</si>
  <si>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</si>
  <si>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</si>
  <si>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</si>
  <si>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</si>
  <si>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</si>
  <si>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</si>
  <si>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</si>
  <si>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</si>
  <si>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</si>
  <si>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</si>
  <si>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</si>
  <si>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</si>
  <si>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</si>
  <si>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</si>
  <si>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</si>
  <si>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</si>
  <si>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</si>
  <si>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</si>
  <si>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</si>
  <si>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</si>
  <si>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</si>
  <si>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</si>
  <si>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</si>
  <si>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</si>
  <si>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</si>
  <si>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</si>
  <si>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</si>
  <si>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</si>
  <si>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</si>
  <si>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</si>
  <si>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</si>
  <si>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</si>
  <si>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</si>
  <si>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</si>
  <si>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</si>
  <si>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</si>
  <si>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</si>
  <si>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</si>
  <si>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</si>
  <si>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</si>
  <si>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</si>
  <si>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</si>
  <si>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</si>
  <si>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</si>
  <si>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</si>
  <si>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</si>
  <si>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</si>
  <si>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</si>
  <si>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</si>
  <si>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</si>
  <si>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</si>
  <si>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</si>
  <si>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</si>
  <si>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</si>
  <si>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</si>
  <si>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</si>
  <si>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</si>
  <si>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</si>
  <si>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</si>
  <si>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</si>
  <si>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</si>
  <si>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</si>
  <si>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</si>
  <si>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</si>
  <si>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</si>
  <si>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</si>
  <si>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</si>
  <si>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</si>
  <si>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</si>
  <si>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</si>
  <si>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</si>
  <si>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</si>
  <si>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</si>
  <si>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</si>
  <si>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</si>
  <si>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</si>
  <si>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</si>
  <si>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</si>
  <si>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</si>
  <si>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</si>
  <si>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</si>
  <si>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</si>
  <si>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</si>
  <si>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</si>
  <si>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</si>
  <si>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</si>
  <si>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</si>
  <si>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</si>
  <si>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</si>
  <si>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</si>
  <si>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</si>
  <si>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</si>
  <si>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</si>
  <si>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</si>
  <si>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</si>
  <si>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</si>
  <si>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</si>
  <si>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</si>
  <si>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</si>
  <si>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</si>
  <si>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</si>
  <si>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Amortization of Excess Deferred Tax Liability</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</si>
  <si>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</si>
  <si>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</si>
  <si>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</si>
  <si>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</si>
  <si>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</si>
  <si>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</si>
  <si>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</si>
  <si>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</si>
  <si>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</si>
  <si>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</si>
  <si>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</si>
  <si>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</si>
  <si>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</si>
  <si>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</si>
  <si>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</si>
  <si>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</si>
  <si>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</si>
  <si>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</si>
  <si>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</si>
  <si>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</si>
  <si>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</si>
  <si>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</si>
  <si>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</si>
  <si>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</si>
  <si>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</si>
  <si>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</si>
  <si>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</si>
  <si>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</si>
  <si>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</si>
  <si>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</si>
  <si>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</si>
  <si>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</si>
  <si>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</si>
  <si>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</si>
  <si>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</si>
  <si>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</si>
  <si>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</si>
  <si>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</si>
  <si>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</si>
  <si>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</si>
  <si>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</si>
  <si>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</si>
  <si>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</si>
  <si>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</si>
  <si>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</si>
  <si>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</si>
  <si>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</si>
  <si>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</si>
  <si>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</si>
  <si>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</si>
  <si>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</si>
  <si>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</si>
  <si>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</si>
  <si>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</si>
  <si>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</si>
  <si>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</si>
  <si>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</si>
  <si>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</si>
  <si>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</si>
  <si>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</si>
  <si>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</si>
  <si>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</si>
  <si>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</si>
  <si>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</si>
  <si>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</si>
  <si>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</si>
  <si>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</si>
  <si>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</si>
  <si>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</si>
  <si>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</si>
  <si>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</si>
  <si>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</si>
  <si>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</si>
  <si>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</si>
  <si>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</si>
  <si>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</si>
  <si>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</si>
  <si>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</si>
  <si>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</si>
  <si>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</si>
  <si>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</si>
  <si>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</si>
  <si>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</si>
  <si>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</si>
  <si>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</si>
  <si>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</si>
  <si>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</si>
  <si>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</si>
  <si>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</si>
  <si>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</si>
  <si>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</si>
  <si>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</si>
  <si>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</si>
  <si>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</si>
  <si>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</si>
  <si>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</si>
  <si>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</si>
  <si>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</si>
  <si>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</si>
  <si>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</si>
  <si>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</si>
  <si>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</si>
  <si>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</si>
  <si>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</si>
  <si>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</si>
  <si>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</si>
  <si>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</si>
  <si>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</si>
  <si>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</si>
  <si>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</si>
  <si>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</si>
  <si>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</si>
  <si>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</si>
  <si>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</si>
  <si>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</si>
  <si>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</si>
  <si>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</si>
  <si>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</si>
  <si>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</si>
  <si>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</si>
  <si>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</si>
  <si>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</si>
  <si>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</si>
  <si>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</si>
  <si>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</si>
  <si>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</si>
  <si>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</si>
  <si>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</si>
  <si>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</si>
  <si>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</si>
  <si>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</si>
  <si>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</si>
  <si>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</si>
  <si>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</si>
  <si>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</si>
  <si>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</si>
  <si>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</si>
  <si>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</si>
  <si>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</si>
  <si>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</si>
  <si>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add additional projects below this line (See Instruction 3)</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</si>
  <si>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</si>
  <si>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</si>
  <si>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</si>
  <si>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</si>
  <si>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</si>
  <si>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</si>
  <si>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</si>
  <si>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</si>
  <si>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</si>
  <si>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</si>
  <si>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</si>
  <si>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</si>
  <si>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</si>
  <si>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</si>
  <si>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</si>
  <si>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</si>
  <si>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</si>
  <si>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</si>
  <si>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</si>
  <si>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</si>
  <si>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</si>
  <si>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</si>
  <si>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</si>
  <si>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</si>
  <si>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</si>
  <si>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</si>
  <si>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</si>
  <si>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</si>
  <si>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</si>
  <si>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</si>
  <si>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</si>
  <si>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</si>
  <si>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</si>
  <si>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</si>
  <si>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</si>
  <si>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</si>
  <si>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</si>
  <si>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</si>
  <si>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</si>
  <si>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</si>
  <si>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</si>
  <si>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</si>
  <si>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</si>
  <si>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</si>
  <si>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</si>
  <si>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</si>
  <si>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</si>
  <si>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</si>
  <si>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</si>
  <si>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</si>
  <si>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</si>
  <si>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</si>
  <si>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</si>
  <si>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</si>
  <si>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</si>
  <si>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</si>
  <si>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</si>
  <si>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</si>
  <si>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</si>
  <si>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</si>
  <si>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</si>
  <si>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</si>
  <si>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</si>
  <si>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</si>
  <si>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</si>
  <si>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</si>
  <si>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</si>
  <si>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</si>
  <si>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</si>
  <si>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</si>
  <si>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</si>
  <si>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</si>
  <si>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</si>
  <si>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</si>
  <si>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</si>
  <si>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</si>
  <si>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</si>
  <si>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</si>
  <si>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</si>
  <si>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</si>
  <si>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</si>
  <si>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</si>
  <si>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</si>
  <si>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</si>
  <si>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</si>
  <si>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</si>
  <si>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</si>
  <si>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</si>
  <si>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</si>
  <si>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</si>
  <si>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</si>
  <si>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</si>
  <si>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</si>
  <si>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</si>
  <si>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</si>
  <si>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</si>
  <si>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</si>
  <si>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</si>
  <si>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</si>
  <si>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</si>
  <si>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</si>
  <si>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</si>
  <si>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</si>
  <si>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</si>
  <si>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</si>
  <si>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</si>
  <si>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</si>
  <si>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</si>
  <si>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</si>
  <si>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</si>
  <si>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</si>
  <si>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</si>
  <si>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</si>
  <si>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</si>
  <si>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</si>
  <si>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</si>
  <si>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</si>
  <si>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</si>
  <si>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</si>
  <si>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</si>
  <si>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</si>
  <si>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</si>
  <si>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</si>
  <si>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</si>
  <si>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</si>
  <si>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</si>
  <si>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</si>
  <si>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</si>
  <si>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</si>
  <si>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</si>
  <si>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</si>
  <si>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</si>
  <si>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</si>
  <si>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</si>
  <si>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</si>
  <si>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</si>
  <si>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</si>
  <si>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</si>
  <si>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</si>
  <si>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</si>
  <si>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</si>
  <si>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</si>
  <si>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</si>
  <si>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</si>
  <si>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</si>
  <si>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</si>
  <si>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</si>
  <si>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</si>
  <si>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</si>
  <si>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</si>
  <si>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</si>
  <si>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</si>
  <si>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</si>
  <si>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</si>
  <si>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</si>
  <si>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</si>
  <si>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</si>
  <si>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</si>
  <si>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</si>
  <si>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</si>
  <si>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</si>
  <si>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</si>
  <si>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</si>
  <si>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</si>
  <si>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</si>
  <si>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</si>
  <si>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</si>
  <si>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</si>
  <si>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</si>
  <si>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</si>
  <si>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</si>
  <si>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</si>
  <si>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</si>
  <si>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</si>
  <si>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</si>
  <si>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</si>
  <si>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</si>
  <si>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</si>
  <si>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</si>
  <si>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</si>
  <si>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</si>
  <si>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</si>
  <si>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</si>
  <si>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</si>
  <si>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</si>
  <si>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</si>
  <si>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</si>
  <si>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</si>
  <si>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</si>
  <si>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</si>
  <si>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</si>
  <si>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</si>
  <si>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</si>
  <si>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</si>
  <si>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</si>
  <si>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</si>
  <si>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</si>
  <si>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</si>
  <si>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</si>
  <si>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</si>
  <si>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</si>
  <si>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</si>
  <si>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</si>
  <si>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</si>
  <si>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</si>
  <si>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</si>
  <si>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</si>
  <si>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</si>
  <si>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</si>
  <si>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</si>
  <si>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</si>
  <si>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</si>
  <si>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</si>
  <si>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</si>
  <si>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</si>
  <si>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</si>
  <si>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</si>
  <si>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</si>
  <si>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</si>
  <si>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</si>
  <si>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</si>
  <si>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</si>
  <si>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</si>
  <si>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</si>
  <si>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</si>
  <si>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</si>
  <si>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</si>
  <si>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</si>
  <si>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</si>
  <si>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</si>
  <si>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</si>
  <si>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</si>
  <si>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</si>
  <si>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</si>
  <si>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</si>
  <si>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</si>
  <si>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</si>
  <si>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</si>
  <si>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</si>
  <si>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</si>
  <si>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</si>
  <si>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</si>
  <si>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</si>
  <si>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</si>
  <si>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</si>
  <si>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</si>
  <si>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</si>
  <si>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</si>
  <si>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</si>
  <si>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</si>
  <si>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</si>
  <si>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</si>
  <si>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</si>
  <si>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</si>
  <si>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</si>
  <si>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</si>
  <si>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</si>
  <si>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Includes Schedules D, D-CARE, D-FERA,TOU-D-T, TOU-EV-1, TOU-D-TEV, DE, D-SDP, D-SDP-O, DM, DMS-1, DMS-2, DMS-3, and DS.</t>
  </si>
  <si>
    <t>Includes Schedules TC-1, Wi-Fi-1, and WTR.</t>
  </si>
  <si>
    <t>Includes Schedules  PA-1, PA-2, TOU-PA-ICE, and TOU-PA-2 (Option A, B, RTP, SOP-1, SOP-2, CPP, Standby, and AP-I).</t>
  </si>
  <si>
    <t>Includes Schedules  TOU-PA-3-CPP, and TOU-PA-3 (Option A, B, RTP, SOP-1, SOP-2, Standby, and AP-I).</t>
  </si>
  <si>
    <t>4o</t>
  </si>
  <si>
    <t>Conn-Charge - Residential</t>
  </si>
  <si>
    <t>4p</t>
  </si>
  <si>
    <t>Conn-Charge - Non-Residential</t>
  </si>
  <si>
    <t>4q</t>
  </si>
  <si>
    <t>Conn-Charge - At Pole</t>
  </si>
  <si>
    <t>Includes Schedules GS-1, TOU-EV-3, and TOU-GS-1 (Option A, B, RTP, CPP, Standby, GS-APS, GS-APS-E, and ME).</t>
  </si>
  <si>
    <t xml:space="preserve">Includes Schedules GS-2, TOU-EV-4, and TOU-GS-2 (Option A, B, R, RTP, CPP, Standby, GS-APS, GS-APS-E, and ME). </t>
  </si>
  <si>
    <t>Includes Schedules TOU-GS-3-CPP, and TOU-GS-3 (Option A, B, R, RTP, SOP, Standby, TOU-BIP, GS-APS, GS-APS-E, and ME).</t>
  </si>
  <si>
    <t>Includes Schedules TOU-8-Standby (Option B, RTP, TOU-BIP, GS-APS, GS-APS-E, and ME).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</si>
  <si>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</si>
  <si>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</si>
  <si>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</si>
  <si>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</si>
  <si>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</si>
  <si>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</si>
  <si>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</si>
  <si>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</si>
  <si>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</si>
  <si>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</si>
  <si>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</si>
  <si>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</si>
  <si>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</si>
  <si>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</si>
  <si>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</si>
  <si>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</si>
  <si>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</si>
  <si>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</si>
  <si>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</si>
  <si>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</si>
  <si>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</si>
  <si>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 xml:space="preserve">  D (Option CPP), D-CARE (Option CPP), TOU-D-Option A, TOU-D-Option B, TOU-D-3</t>
  </si>
  <si>
    <t>Includes Schedules TOU-8-CPP, TOU-8-RBU, and TOU-8 (Option A, B, R, RTP, TOU-BIP, GS-APS, GS-APS-E, Backup-B, and ME).</t>
  </si>
  <si>
    <t>Includes Schedules TOU-8-Standby (Option A, A2, B, RTP, TOU-BIP, GS-APS, GS-APS-E, and ME).</t>
  </si>
  <si>
    <t>Includes Schedules AL-2, AL-2-B, DWL, LS-1, LS-2, LS-3, LS-3-B, and OL-1.</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</si>
  <si>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</si>
  <si>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</si>
  <si>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</si>
  <si>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</si>
  <si>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</si>
  <si>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</si>
  <si>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</si>
  <si>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</si>
  <si>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</si>
  <si>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</si>
  <si>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</si>
  <si>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</si>
  <si>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</si>
  <si>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</si>
  <si>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</si>
  <si>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</si>
  <si>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</si>
  <si>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</si>
  <si>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</si>
  <si>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</si>
  <si>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</si>
  <si>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</si>
  <si>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</si>
  <si>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</si>
  <si>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</si>
  <si>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</si>
  <si>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</si>
  <si>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</si>
  <si>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</si>
  <si>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</si>
  <si>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</si>
  <si>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</si>
  <si>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</si>
  <si>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</si>
  <si>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</si>
  <si>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</si>
  <si>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</si>
  <si>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</si>
  <si>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</si>
  <si>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</si>
  <si>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</si>
  <si>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</si>
  <si>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</si>
  <si>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</si>
  <si>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</si>
  <si>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</si>
  <si>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</si>
  <si>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</si>
  <si>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</si>
  <si>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</si>
  <si>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</si>
  <si>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</si>
  <si>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</si>
  <si>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</si>
  <si>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</si>
  <si>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</si>
  <si>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</si>
  <si>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</si>
  <si>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</si>
  <si>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</si>
  <si>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</si>
  <si>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</si>
  <si>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</si>
  <si>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</si>
  <si>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</si>
  <si>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</si>
  <si>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</si>
  <si>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</si>
  <si>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</si>
  <si>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</si>
  <si>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</si>
  <si>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</si>
  <si>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</si>
  <si>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</si>
  <si>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</si>
  <si>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</si>
  <si>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</si>
  <si>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</si>
  <si>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</si>
  <si>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</si>
  <si>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</si>
  <si>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</si>
  <si>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</si>
  <si>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</si>
  <si>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</si>
  <si>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</si>
  <si>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</si>
  <si>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</si>
  <si>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</si>
  <si>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</si>
  <si>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</si>
  <si>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</si>
  <si>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</si>
  <si>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</si>
  <si>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</si>
  <si>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</si>
  <si>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</si>
  <si>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</si>
  <si>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</si>
  <si>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</si>
  <si>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</si>
  <si>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</si>
  <si>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</si>
  <si>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</si>
  <si>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</si>
  <si>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</si>
  <si>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</si>
  <si>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</si>
  <si>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</si>
  <si>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</si>
  <si>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</si>
  <si>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</si>
  <si>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</si>
  <si>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</si>
  <si>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</si>
  <si>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</si>
  <si>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</si>
  <si>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</si>
  <si>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</si>
  <si>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</si>
  <si>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</si>
  <si>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</si>
  <si>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</si>
  <si>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</si>
  <si>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</si>
  <si>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</si>
  <si>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</si>
  <si>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</si>
  <si>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</si>
  <si>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</si>
  <si>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</si>
  <si>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</si>
  <si>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</si>
  <si>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</si>
  <si>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</si>
  <si>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</si>
  <si>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</si>
  <si>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</si>
  <si>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</si>
  <si>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</si>
  <si>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</si>
  <si>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</si>
  <si>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</si>
  <si>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</si>
  <si>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</si>
  <si>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</si>
  <si>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</si>
  <si>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</si>
  <si>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</si>
  <si>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8)</t>
  </si>
  <si>
    <t>9)</t>
  </si>
  <si>
    <t>d) South of Kramer</t>
  </si>
  <si>
    <t>e) West of Devers</t>
  </si>
  <si>
    <t xml:space="preserve">i) </t>
  </si>
  <si>
    <t>j)</t>
  </si>
  <si>
    <t>E) South of Kramer Incentives Received:</t>
  </si>
  <si>
    <t>F) West of Devers Incentives Received:</t>
  </si>
  <si>
    <t>J) Future Incentive Projects</t>
  </si>
  <si>
    <t>K) Future Incentive Projects</t>
  </si>
  <si>
    <t>- %</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</si>
  <si>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</si>
  <si>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</si>
  <si>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</si>
  <si>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</si>
  <si>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</si>
  <si>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</si>
  <si>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</si>
  <si>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</si>
  <si>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</si>
  <si>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</si>
  <si>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</si>
  <si>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</si>
  <si>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FF1 263.2, Row 39, Column i</t>
  </si>
  <si>
    <t>FF1 263, Row 6, Column i</t>
  </si>
  <si>
    <t>FF1 263, Row 8, Column i</t>
  </si>
  <si>
    <t>FF1 263, Row 9, Column i</t>
  </si>
  <si>
    <t>FF1 263, Row 24, Column i</t>
  </si>
  <si>
    <t>FF1 263, Row 10, Column i</t>
  </si>
  <si>
    <t>Jan 1, 2016</t>
  </si>
  <si>
    <t>Dec 31, 2016</t>
  </si>
  <si>
    <t>Settlement in ER11-3697</t>
  </si>
  <si>
    <t>8.540% Preferred, premium</t>
  </si>
  <si>
    <t>Net gain from open-market purchase of 67,400 shares in November 1985</t>
  </si>
  <si>
    <t>12.000% Preferred, redemption</t>
  </si>
  <si>
    <t>Redemption premium paid to holders (so loss to company)</t>
  </si>
  <si>
    <t>Initial issue discount</t>
  </si>
  <si>
    <t>Series A</t>
  </si>
  <si>
    <t>Fully amortized</t>
  </si>
  <si>
    <t>Series B</t>
  </si>
  <si>
    <t>Redeemed by Series G</t>
  </si>
  <si>
    <t>Series C</t>
  </si>
  <si>
    <t>Series D</t>
  </si>
  <si>
    <t>Dec 2015</t>
  </si>
  <si>
    <t>Jan 2016</t>
  </si>
  <si>
    <t>Feb 2016</t>
  </si>
  <si>
    <t>Mar 2016</t>
  </si>
  <si>
    <t>Apr 2016</t>
  </si>
  <si>
    <t>May 2016</t>
  </si>
  <si>
    <t>Jun 2016</t>
  </si>
  <si>
    <t>Jul 2016</t>
  </si>
  <si>
    <t>Aug 2016</t>
  </si>
  <si>
    <t>Sep 2016</t>
  </si>
  <si>
    <t>Oct 2016</t>
  </si>
  <si>
    <t>Nov 2016</t>
  </si>
  <si>
    <t>Dec 2016</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</si>
  <si>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</si>
  <si>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</si>
  <si>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</si>
  <si>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</si>
  <si>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</si>
  <si>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</si>
  <si>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</si>
  <si>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</si>
  <si>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</si>
  <si>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</si>
  <si>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</si>
  <si>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</si>
  <si>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</si>
  <si>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</si>
  <si>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</si>
  <si>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</si>
  <si>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</si>
  <si>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</si>
  <si>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</si>
  <si>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</si>
  <si>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</si>
  <si>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</si>
  <si>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</si>
  <si>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</si>
  <si>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</si>
  <si>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</si>
  <si>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Gas and Other Non-ISO Related Costs</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</si>
  <si>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</si>
  <si>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</si>
  <si>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</si>
  <si>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</si>
  <si>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</si>
  <si>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</si>
  <si>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</si>
  <si>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Ad Valorem Lien Date Adj-Electric</t>
  </si>
  <si>
    <t>Relates to all Regulated Electric Property</t>
  </si>
  <si>
    <t>Refunding &amp; Retirement of Debt</t>
  </si>
  <si>
    <t>Health Care - IBNR</t>
  </si>
  <si>
    <t>Capitalized Software</t>
  </si>
  <si>
    <t>Non-Rate Base FAS 109 Tax Flow-Thru</t>
  </si>
  <si>
    <t xml:space="preserve">Alberhill </t>
  </si>
  <si>
    <t>Sub</t>
  </si>
  <si>
    <t xml:space="preserve"> SCE records</t>
  </si>
  <si>
    <t>CWLTP</t>
  </si>
  <si>
    <r>
      <t xml:space="preserve">159 FERC </t>
    </r>
    <r>
      <rPr>
        <sz val="10"/>
        <rFont val="Calibri"/>
        <family val="2"/>
      </rPr>
      <t xml:space="preserve">¶ </t>
    </r>
    <r>
      <rPr>
        <sz val="10"/>
        <rFont val="Arial"/>
        <family val="2"/>
      </rPr>
      <t xml:space="preserve">62,038 dated April 10, 2017 </t>
    </r>
  </si>
  <si>
    <t>(Coolwater-Lugo Transmission Project)</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</si>
  <si>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</si>
  <si>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</si>
  <si>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</si>
  <si>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</si>
  <si>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</si>
  <si>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</si>
  <si>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</si>
  <si>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</si>
  <si>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</si>
  <si>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</si>
  <si>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</si>
  <si>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</si>
  <si>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</si>
  <si>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</si>
  <si>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</si>
  <si>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</si>
  <si>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</si>
  <si>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</si>
  <si>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</si>
  <si>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</si>
  <si>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</si>
  <si>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</si>
  <si>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</si>
  <si>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</si>
  <si>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</si>
  <si>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</si>
  <si>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</si>
  <si>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</si>
  <si>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</si>
  <si>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</si>
  <si>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</si>
  <si>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</si>
  <si>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</si>
  <si>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</si>
  <si>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</si>
  <si>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</si>
  <si>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</si>
  <si>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</si>
  <si>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</si>
  <si>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</si>
  <si>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</si>
  <si>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</si>
  <si>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</si>
  <si>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</si>
  <si>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</si>
  <si>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</si>
  <si>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</si>
  <si>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</si>
  <si>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</si>
  <si>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</si>
  <si>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</si>
  <si>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</si>
  <si>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CPUC D. 15-11-021</t>
  </si>
  <si>
    <t>Internal Revenue Code Section 11(b)(1)(D)</t>
  </si>
  <si>
    <t>California Rev. &amp; Tax. Cd. § 23151</t>
  </si>
  <si>
    <t>2015-2017</t>
  </si>
  <si>
    <t>Present</t>
  </si>
  <si>
    <t>Schedule 28 - Workpaper, Line 3</t>
  </si>
  <si>
    <t>Schedule 28 - Workpaper, Line 4</t>
  </si>
  <si>
    <t>a) Line Miles</t>
  </si>
  <si>
    <t>b) Underground Line Miles</t>
  </si>
  <si>
    <t>c) Circuit Breakers</t>
  </si>
  <si>
    <t>d) Distribution Circuit Breakers</t>
  </si>
  <si>
    <t>Line 17, column 3</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</si>
  <si>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</si>
  <si>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</si>
  <si>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</si>
  <si>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</si>
  <si>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</si>
  <si>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</si>
  <si>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</si>
  <si>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1) Depreciation rates on Lines 17a-17m input from Schedule 18.  However, in the event of a change in depreciation rates approved by the Commission,</t>
  </si>
  <si>
    <t>use Commission-approved depreciation rates that were in effect during the Prior Year.</t>
  </si>
  <si>
    <t xml:space="preserve">to a Section 205 or 206 filing.  </t>
  </si>
  <si>
    <t>100%</t>
  </si>
  <si>
    <t>0%</t>
  </si>
  <si>
    <t>6)  See Column 9 for references to source of each  Percent ISO.</t>
  </si>
  <si>
    <t xml:space="preserve">3) No change in Amortization of Excess Deferred Tax Liability or South Georgia Income Tax Adjustment "Credits and Other" terms will be made absent </t>
  </si>
  <si>
    <t xml:space="preserve">a filing at the Commission.  Investment Tax Credit Flowed Through amount shall be negative $520,000 through the Prior Year of 2018, </t>
  </si>
  <si>
    <t>negative $183,000 for the Prior Year of 2019, and $0 thereafter.</t>
  </si>
  <si>
    <t>1) The monthly deferred tax amounts are equal to the ending ADIT balance minus the beginning ADIT balance, divided by 12 months.</t>
  </si>
  <si>
    <t>2) For January through December = previous month balance plus amount in Column 2.</t>
  </si>
  <si>
    <t>3) The weighted average ADIT Balance is equal to the summation of Col. 8, Lines 805 through 817, divided by 13 months.</t>
  </si>
  <si>
    <t>5) Tax Normalization Calculation Pursuant to Treas. Reg §1.167(l)-1(h)(6); PLR 9313008; 9202029; 922404; 201717008</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</si>
  <si>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</si>
  <si>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</si>
  <si>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</si>
  <si>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</si>
  <si>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</si>
  <si>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</si>
  <si>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</si>
  <si>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</si>
  <si>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</si>
  <si>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</si>
  <si>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</si>
  <si>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</si>
  <si>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</si>
  <si>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</si>
  <si>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</si>
  <si>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</si>
  <si>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Beginning Deferred Tax Balance (Line 9, Col. 2)</t>
  </si>
  <si>
    <t>Ending Balance (Line 4, Col. 2)</t>
  </si>
  <si>
    <t>Weighted Average ADIT Balance:</t>
  </si>
  <si>
    <t>Weighted Average ADIT:</t>
  </si>
  <si>
    <t>At End of Year ("EOY") for Prior Year:</t>
  </si>
  <si>
    <t xml:space="preserve">1) Calculation of "Long Term Debt Cost Percentage" </t>
  </si>
  <si>
    <t>Total Annual Cost of Outstanding Series Debt:</t>
  </si>
  <si>
    <t>Total Annual Amortized Loss on Reacquired Debt:</t>
  </si>
  <si>
    <t>Total Annual Cost of Debt:</t>
  </si>
  <si>
    <t>= L1 + L2</t>
  </si>
  <si>
    <t>Total "Principal Amount Outstanding" Debt:</t>
  </si>
  <si>
    <t xml:space="preserve">Total Reacquired Debt: </t>
  </si>
  <si>
    <t>Total Unamortized Loss on Reacquired Debt:</t>
  </si>
  <si>
    <t>Total Debt Balance:</t>
  </si>
  <si>
    <t>Long Term Debt Cost Percentage:</t>
  </si>
  <si>
    <t>= L3 / L7</t>
  </si>
  <si>
    <t>2) Long Term Debt Information for each Outstanding Series</t>
  </si>
  <si>
    <t>FF1 256, Col a</t>
  </si>
  <si>
    <t>FF1 256, Col d</t>
  </si>
  <si>
    <t>FF1 256, Col e</t>
  </si>
  <si>
    <t>FF1 256, Col b</t>
  </si>
  <si>
    <t>Section 4</t>
  </si>
  <si>
    <t>= Col 5 - Col 7</t>
  </si>
  <si>
    <t>= Col 5 * Col 9</t>
  </si>
  <si>
    <t>Series</t>
  </si>
  <si>
    <t>Date of Offering</t>
  </si>
  <si>
    <t>Maturity Date</t>
  </si>
  <si>
    <t>Coupon Rate</t>
  </si>
  <si>
    <t>Principal Amount Oustanding ($000s)</t>
  </si>
  <si>
    <t>Amort-ization Period (Years)</t>
  </si>
  <si>
    <t>Net Discount &amp; Issuance Cost ($000s)</t>
  </si>
  <si>
    <t>Net Proceeds ($000s)</t>
  </si>
  <si>
    <t>Cost of 
Money</t>
  </si>
  <si>
    <t>Annual Cost  ($000s)</t>
  </si>
  <si>
    <t>Comments:  See below</t>
  </si>
  <si>
    <t>6.65% NOTES</t>
  </si>
  <si>
    <t>Series 2010A</t>
  </si>
  <si>
    <t>Series 2010B</t>
  </si>
  <si>
    <t>SONGS 2006 Series C-D</t>
  </si>
  <si>
    <t xml:space="preserve">SONGS 2011 Series </t>
  </si>
  <si>
    <t>Comments for Section 2 "Long Term Debt Information for each Outstanding Series":</t>
  </si>
  <si>
    <t>Comment #:</t>
  </si>
  <si>
    <t>Comment</t>
  </si>
  <si>
    <t>Total Principal Amount Outstanding (sum of above * 1,000):</t>
  </si>
  <si>
    <t>Total Annual Cost (sum of above * 1,000):</t>
  </si>
  <si>
    <t>3) Long Term Debt Information for each Reacquired Series</t>
  </si>
  <si>
    <t>Principal Amount ($000s)</t>
  </si>
  <si>
    <t>Total Principal Amount (sum of above * 1,000):</t>
  </si>
  <si>
    <t>Comments for Section 3 "Long Term Debt Information for each Reacquired Series":</t>
  </si>
  <si>
    <t>4)  Debt Issuance Cost and Discount Details for each Outstanding Series</t>
  </si>
  <si>
    <t>5) Loss on Reacquired Debt Cost Details</t>
  </si>
  <si>
    <t>Amortized Loss ('000s)</t>
  </si>
  <si>
    <t>86-B</t>
  </si>
  <si>
    <t>86-A</t>
  </si>
  <si>
    <t>88-C</t>
  </si>
  <si>
    <t>VVP,WWP,XXP,YYP</t>
  </si>
  <si>
    <t>89-A</t>
  </si>
  <si>
    <t>MM</t>
  </si>
  <si>
    <t>ZZ</t>
  </si>
  <si>
    <t>VVP-WWP-YYP</t>
  </si>
  <si>
    <t>85-A</t>
  </si>
  <si>
    <t>85-C</t>
  </si>
  <si>
    <t>86-K</t>
  </si>
  <si>
    <t>91-B</t>
  </si>
  <si>
    <t>91-C</t>
  </si>
  <si>
    <t>91-A</t>
  </si>
  <si>
    <t>86J, 88D &amp; 87E-H</t>
  </si>
  <si>
    <t>190-PV-85B-G</t>
  </si>
  <si>
    <t>100-MOH-87-A</t>
  </si>
  <si>
    <t>MOHAVE-90A-15M</t>
  </si>
  <si>
    <t>93C, 93G, 93I &amp; QUIP</t>
  </si>
  <si>
    <t>93C, 93G &amp; 93I Premium</t>
  </si>
  <si>
    <t>2004B (Hedge)</t>
  </si>
  <si>
    <t>2004G (Hedge)</t>
  </si>
  <si>
    <t>2003A</t>
  </si>
  <si>
    <t>2003B</t>
  </si>
  <si>
    <t>2005E (Hedge)</t>
  </si>
  <si>
    <t>91-D(PC)-28.585M</t>
  </si>
  <si>
    <t>92-C(PC)-30M</t>
  </si>
  <si>
    <t>92-E(PC)-190M</t>
  </si>
  <si>
    <t>CA'86-D-G-196M</t>
  </si>
  <si>
    <t>CA-84-A/(86-D-G)</t>
  </si>
  <si>
    <t>CA'87-A-D-135M</t>
  </si>
  <si>
    <t>CA-84-A/(86-D-G) SWAP</t>
  </si>
  <si>
    <t>5) Loss on Reacquired Debt Cost Details (Continued)</t>
  </si>
  <si>
    <t>2006E (Hedge)</t>
  </si>
  <si>
    <t>#2008A (Hedge)$21,372,964.</t>
  </si>
  <si>
    <t>#2008B (Hedge)$11,410,320.</t>
  </si>
  <si>
    <t>Reamarketed - 5/27/10</t>
  </si>
  <si>
    <t>Refunded - 9/24/10</t>
  </si>
  <si>
    <t>Refunded-5/19/11 (4Crnrs 1999A)</t>
  </si>
  <si>
    <t>Retired 12/01/2011</t>
  </si>
  <si>
    <t>Reamarketed - 4/5/2013</t>
  </si>
  <si>
    <t>2004A Retired Bond Premium</t>
  </si>
  <si>
    <t>2008C Retired Bond Premium</t>
  </si>
  <si>
    <t>2015C</t>
  </si>
  <si>
    <t>Totals (sum of above * 1000):</t>
  </si>
  <si>
    <t>1) Calculation of "Preferred Stock Cost Percentage"</t>
  </si>
  <si>
    <t>Total Annual Cost of Preferred Stock:</t>
  </si>
  <si>
    <t>Total Reacquired Preferred Stock Cost:</t>
  </si>
  <si>
    <t>Total Annual Cost of Preferred:</t>
  </si>
  <si>
    <t>Total Preferred Stock Amount Outstanding:</t>
  </si>
  <si>
    <t>Total Unamortized Issuance Costs:</t>
  </si>
  <si>
    <t>Total Preferred Balance:</t>
  </si>
  <si>
    <t>= L5 - L6</t>
  </si>
  <si>
    <t>Preferred Stock Cost Percentage:</t>
  </si>
  <si>
    <t>2) Preferred Stock Information for each Outstanding Series</t>
  </si>
  <si>
    <t>FF1 250, Col a</t>
  </si>
  <si>
    <t>FF1 251, Col f</t>
  </si>
  <si>
    <t>Sec 3, Col 2</t>
  </si>
  <si>
    <t>= Col 4 - Col 5</t>
  </si>
  <si>
    <t>= Col 6 / Col 4</t>
  </si>
  <si>
    <t>= Col 3 / Col 7</t>
  </si>
  <si>
    <t>= Col 4 * Col 8</t>
  </si>
  <si>
    <t>Issue Date</t>
  </si>
  <si>
    <t>Dividend Rate</t>
  </si>
  <si>
    <t>Face Value / Amount Oustanding ('000s)</t>
  </si>
  <si>
    <t>Total Issuance Cost ('000s)</t>
  </si>
  <si>
    <t>Net Proceeds at Issuance ('000s)</t>
  </si>
  <si>
    <t>% of Face Value</t>
  </si>
  <si>
    <t>Cost of Money / Effective Rate</t>
  </si>
  <si>
    <t>Annualized Cost ('000s)</t>
  </si>
  <si>
    <t>$25 Par Value 4.32% Series</t>
  </si>
  <si>
    <t>$25 Par Value 4.08% Series</t>
  </si>
  <si>
    <t>$25 Par Value 4.24% Series</t>
  </si>
  <si>
    <t>$25 Par Value 4.78% Series</t>
  </si>
  <si>
    <t>Series E</t>
  </si>
  <si>
    <t>Series F</t>
  </si>
  <si>
    <t>Series G</t>
  </si>
  <si>
    <t>Series H</t>
  </si>
  <si>
    <t>Series J</t>
  </si>
  <si>
    <t>Series K</t>
  </si>
  <si>
    <t>Total Amount Outstanding (sum of above * 1,000):</t>
  </si>
  <si>
    <t>3)  Preferred Stock Issuance Cost Details for each Outstanding Series</t>
  </si>
  <si>
    <t>Same list as in Section 2</t>
  </si>
  <si>
    <t>Unamortized Issuance Cost ('000s)</t>
  </si>
  <si>
    <t>Full Amortization Period</t>
  </si>
  <si>
    <t>Redeemed Series B and C</t>
  </si>
  <si>
    <t>Redeemed Series D</t>
  </si>
  <si>
    <t>4)  Reacquired Preferred Stock Information</t>
  </si>
  <si>
    <t>Call Date</t>
  </si>
  <si>
    <t>Total Issuance Cost</t>
  </si>
  <si>
    <t>Amortization Period</t>
  </si>
  <si>
    <t>Issuance Amortization Cost ('000s)</t>
  </si>
  <si>
    <t>Series D was redeemed by Series K</t>
  </si>
  <si>
    <t>= Prior Month C9
 - C4 + C8</t>
  </si>
  <si>
    <t>Less Unamortized Discount on Long Term Debt -- Account 226</t>
  </si>
  <si>
    <t>Unamortized Debt Expenses -- Account 181</t>
  </si>
  <si>
    <t>Unamortized Loss on Reacquired Debt -- Account 189</t>
  </si>
  <si>
    <t>Removal of Long Term Debt Related to Fuel Inventories</t>
  </si>
  <si>
    <t>Adjustments related to "LT Debt Related to Fuel Inventories"</t>
  </si>
  <si>
    <t>13-month avg.; enter negative</t>
  </si>
  <si>
    <t xml:space="preserve">After tax amount of Unamortized Loss on Reacquired Debt </t>
  </si>
  <si>
    <t>Line 40 * Line 42</t>
  </si>
  <si>
    <t xml:space="preserve"> Long Term Debt Advances from Associated Companies (Note 3):</t>
  </si>
  <si>
    <t>Other Long Term Debt -- Account 224 (Note 4):</t>
  </si>
  <si>
    <t>Unamortized Premium on Long Term Debt -- Account 225 (Note 5)</t>
  </si>
  <si>
    <t>Removal of Long Term Debt Related to Fuel Inventories (Note 9)</t>
  </si>
  <si>
    <t>Adjustments related to "LT Debt Related to Fuel Inventories" (Note 10)</t>
  </si>
  <si>
    <t>Preferred Stock Amount -- Account 204 (Note 11):</t>
  </si>
  <si>
    <t>Net Gain (Loss) From Purchase and Tender Offers Note 13):</t>
  </si>
  <si>
    <t>Total Proprietary Capital (Note 14):</t>
  </si>
  <si>
    <t>Unappropriated Undist. Sub. Earnings -- Acct. 216.1 (Note 15): enter - of FF1</t>
  </si>
  <si>
    <t>Accumulated Other Comprehensive Loss -- Account 219 (Note 16): enter - of FF1</t>
  </si>
  <si>
    <t xml:space="preserve">3) Amount in Column 2 from FF1 112.20d, amount in Column 14 from FF1 112.20c, amounts in columns 3-13 from SCE internal records. </t>
  </si>
  <si>
    <t xml:space="preserve">4) Amount in Column 2 from FF1 112.21d, amount in Column 14 from FF1 112.21c, amounts in columns 3-13 from SCE internal records. </t>
  </si>
  <si>
    <t xml:space="preserve">5) Amount in Column 2 from FF1 112.22c, amount in Column 14 from FF1 112.22d, amounts in columns 3-13 from SCE internal records. </t>
  </si>
  <si>
    <t xml:space="preserve">6) Amount in Column 2 from FF1 112.23c, amount in Column 14 from FF1 112.23d, amounts in columns 3-13 from SCE internal records. </t>
  </si>
  <si>
    <t xml:space="preserve">7) Amount in Column 2 from FF1 111.69c, amount in Column 14 from FF1 111.69d, amounts in columns 3-13 from SCE internal records. </t>
  </si>
  <si>
    <t xml:space="preserve">8) Amount in Column 2 from FF1 111.81c, amount in Column 14 from FF1 111.81d, amounts in columns 3-13 from SCE internal records. </t>
  </si>
  <si>
    <t xml:space="preserve">11) Amount in Column 2 from FF1 112.3d, amount in Column 14 from FF1 112.3c, amounts in columns 3-13 from SCE internal records. </t>
  </si>
  <si>
    <t xml:space="preserve">14) Amount in Column 2 from FF1 112.16c, amount in Column 14 from FF1 112.16d, amounts in columns 3-13 from SCE internal records. </t>
  </si>
  <si>
    <t xml:space="preserve">15) Amount in Column 2 from FF1 112.12c, amount in Column 14 from FF1 112.12d, amounts in columns 3-13 from SCE internal records. </t>
  </si>
  <si>
    <t>16) Amount in Column 2 from FF1 112.15c, amount in Column 14 from FF1 112.15d, amounts in columns 3-13 from SCE internal records.</t>
  </si>
  <si>
    <t>2) 18 CFR 35.13 (22) Statement AV - Rate of Return (ii)(B)(6) Cost of money</t>
  </si>
  <si>
    <t>1) Equal to maturity date less end of the year for prior year</t>
  </si>
  <si>
    <t>= L5 + L6 + L7</t>
  </si>
  <si>
    <t>= L3 / L8</t>
  </si>
  <si>
    <t>Unamortized Debt Issuance Cost (Dec of Prior Year)</t>
  </si>
  <si>
    <t>Total Unamortized Debt Discounts (Dec of PY)</t>
  </si>
  <si>
    <t>Unamortized Loss (Dec of PY) ('000s)</t>
  </si>
  <si>
    <t>Comment #</t>
  </si>
  <si>
    <t>10) Amounts in Columns 2-14 are from SCE internal records.</t>
  </si>
  <si>
    <t>12) Amounts in Columns 2-14 are from SCE internal records.</t>
  </si>
  <si>
    <t>13) Amounts in Columns 2-14 are from SCE internal records.</t>
  </si>
  <si>
    <t>9) Amounts in Columns 2-14 are from SCE internal records.</t>
  </si>
  <si>
    <t>ER16-2433</t>
  </si>
  <si>
    <t>FF1 263.1, Row 40, Column i</t>
  </si>
  <si>
    <t>FF1 263.1, Row 38, Column i</t>
  </si>
  <si>
    <t>Series 2004B</t>
  </si>
  <si>
    <t>Series PV 2000AB</t>
  </si>
  <si>
    <t>Series 2004G</t>
  </si>
  <si>
    <t>Series 2005B</t>
  </si>
  <si>
    <t>Series 2005E</t>
  </si>
  <si>
    <t>Series 4CRNRS 05AB</t>
  </si>
  <si>
    <t>Clark County 2010</t>
  </si>
  <si>
    <t>Series 2006A</t>
  </si>
  <si>
    <t>SONGS_2006A</t>
  </si>
  <si>
    <t>SONGS_2006B</t>
  </si>
  <si>
    <t>Series 2006C&amp;D</t>
  </si>
  <si>
    <t>Series 2006E</t>
  </si>
  <si>
    <t>Series 2008A</t>
  </si>
  <si>
    <t>Series 2008B</t>
  </si>
  <si>
    <t>Series 2009A</t>
  </si>
  <si>
    <t>SONGS 2010A</t>
  </si>
  <si>
    <t>2011A</t>
  </si>
  <si>
    <t>2011E</t>
  </si>
  <si>
    <t>2012A</t>
  </si>
  <si>
    <t>2013A</t>
  </si>
  <si>
    <t>2013C</t>
  </si>
  <si>
    <t>2013D</t>
  </si>
  <si>
    <t>2014B</t>
  </si>
  <si>
    <t>2014C</t>
  </si>
  <si>
    <t>2015A</t>
  </si>
  <si>
    <t>2015B</t>
  </si>
  <si>
    <t>4CRNRS 2011</t>
  </si>
  <si>
    <t>CPCFA SONGS 2011</t>
  </si>
  <si>
    <t>6.65% Notes</t>
  </si>
  <si>
    <t>Ft. Irwin Loan</t>
  </si>
  <si>
    <t>Issued in April 2006 @ 0.694%, Repurchased on 11/01/16, Remarketed on 1/18/17 @ 2.625%</t>
  </si>
  <si>
    <t>Not include because it is a fuel bond and does not finance rate base</t>
  </si>
  <si>
    <t xml:space="preserve">Does not tie to FF1 amount because only includes Excess Regulatory Asset Amount </t>
  </si>
  <si>
    <t>FF1 has the variable rate. 0.407% is based on average of January through December in 2016</t>
  </si>
  <si>
    <t>Reacquired series are shown below in Section 3 see line 202</t>
  </si>
  <si>
    <t>Reacquired series are shown below in Section 3 see line 201</t>
  </si>
  <si>
    <t>Principal amount reduces over time. FF1 amount reflects principal balance on the date of offering.</t>
  </si>
  <si>
    <t>Less Unamortized Discount on Long Term Debt -- Account 226 (Note 6): enter - of FF1</t>
  </si>
  <si>
    <t>Unamortized Debt Expenses -- Account 181 (Note 7): enter - of FF1</t>
  </si>
  <si>
    <t>Unamortized Loss on Reacquired Debt -- Account 189 (Note 8): enter - of FF1</t>
  </si>
  <si>
    <t>Unamortized Issuance Costs (Note 12): enter - of FF1</t>
  </si>
  <si>
    <t>Previous Annual Update:</t>
  </si>
  <si>
    <t>TO11, filed in ER11-3697</t>
  </si>
  <si>
    <t>on November 30, 2016</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</si>
  <si>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</si>
  <si>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</si>
  <si>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</si>
  <si>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2018 TRBAA</t>
  </si>
  <si>
    <t xml:space="preserve">             Proposed Formula Rate Spreadsheet </t>
  </si>
  <si>
    <t xml:space="preserve">        for 2018 Rate Year</t>
  </si>
  <si>
    <t xml:space="preserve">          Exhibit SCE-4</t>
  </si>
  <si>
    <t>ER18-154</t>
  </si>
  <si>
    <t>1/8 (O&amp;M + A&amp;G)</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</si>
</sst>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yy"/>
    <numFmt numFmtId="208" formatCode="0.00000000000000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9"/>
      <color indexed="81"/>
      <name val="Tahoma"/>
      <family val="2"/>
    </font>
    <font>
      <sz val="9"/>
      <color indexed="81"/>
      <name val="Tahoma"/>
      <family val="2"/>
    </font>
    <font>
      <sz val="10"/>
      <color theme="0" tint="-0.34998626667073579"/>
      <name val="Arial"/>
      <family val="2"/>
    </font>
    <font>
      <sz val="10"/>
      <name val="Helv"/>
    </font>
    <font>
      <sz val="10"/>
      <color rgb="FF0070C0"/>
      <name val="Arial"/>
      <family val="2"/>
    </font>
    <font>
      <b/>
      <sz val="9"/>
      <name val="Arial"/>
      <family val="2"/>
    </font>
    <font>
      <sz val="11"/>
      <name val="Calibri"/>
      <family val="2"/>
    </font>
    <font>
      <b/>
      <sz val="18"/>
      <name val="Arial"/>
      <family val="2"/>
    </font>
    <font>
      <b/>
      <sz val="22"/>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theme="0"/>
        <bgColor indexed="64"/>
      </patternFill>
    </fill>
  </fills>
  <borders count="62">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s>
  <cellStyleXfs count="53894">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5"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4" fillId="0" borderId="0"/>
    <xf numFmtId="0" fontId="75"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91" fillId="0" borderId="0"/>
    <xf numFmtId="183" fontId="91" fillId="0" borderId="0"/>
    <xf numFmtId="184" fontId="91" fillId="0" borderId="0"/>
    <xf numFmtId="185" fontId="91" fillId="0" borderId="0"/>
    <xf numFmtId="183" fontId="91" fillId="0" borderId="0"/>
    <xf numFmtId="184" fontId="91" fillId="0" borderId="0"/>
    <xf numFmtId="184" fontId="91" fillId="0" borderId="0"/>
    <xf numFmtId="184" fontId="91" fillId="0" borderId="0"/>
    <xf numFmtId="0" fontId="91" fillId="0" borderId="0"/>
    <xf numFmtId="183" fontId="91" fillId="0" borderId="0"/>
    <xf numFmtId="184" fontId="91" fillId="0" borderId="0"/>
    <xf numFmtId="185" fontId="91" fillId="0" borderId="0"/>
    <xf numFmtId="183" fontId="91" fillId="0" borderId="0"/>
    <xf numFmtId="184" fontId="91" fillId="0" borderId="0"/>
    <xf numFmtId="184" fontId="91" fillId="0" borderId="0"/>
    <xf numFmtId="184" fontId="91" fillId="0" borderId="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4" fillId="0" borderId="0" applyNumberFormat="0" applyFill="0" applyBorder="0" applyAlignment="0" applyProtection="0">
      <alignment vertical="top"/>
    </xf>
    <xf numFmtId="184" fontId="94" fillId="0" borderId="0" applyNumberFormat="0" applyFill="0" applyBorder="0" applyAlignment="0" applyProtection="0">
      <alignment vertical="top"/>
    </xf>
    <xf numFmtId="183" fontId="95" fillId="0" borderId="29" applyBorder="0">
      <alignment horizontal="left"/>
    </xf>
    <xf numFmtId="184" fontId="95"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90" fillId="48" borderId="0" applyNumberFormat="0" applyBorder="0" applyAlignment="0" applyProtection="0"/>
    <xf numFmtId="183" fontId="90" fillId="48" borderId="0" applyNumberFormat="0" applyBorder="0" applyAlignment="0" applyProtection="0"/>
    <xf numFmtId="184" fontId="90" fillId="48" borderId="0" applyNumberFormat="0" applyBorder="0" applyAlignment="0" applyProtection="0"/>
    <xf numFmtId="185" fontId="90" fillId="48" borderId="0" applyNumberFormat="0" applyBorder="0" applyAlignment="0" applyProtection="0"/>
    <xf numFmtId="183" fontId="90" fillId="48" borderId="0" applyNumberFormat="0" applyBorder="0" applyAlignment="0" applyProtection="0"/>
    <xf numFmtId="184" fontId="90" fillId="48" borderId="0" applyNumberFormat="0" applyBorder="0" applyAlignment="0" applyProtection="0"/>
    <xf numFmtId="184" fontId="90" fillId="48" borderId="0" applyNumberFormat="0" applyBorder="0" applyAlignment="0" applyProtection="0"/>
    <xf numFmtId="184" fontId="90" fillId="48" borderId="0" applyNumberFormat="0" applyBorder="0" applyAlignment="0" applyProtection="0"/>
    <xf numFmtId="0"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0"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6"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6" fillId="31" borderId="0" applyNumberFormat="0" applyBorder="0" applyAlignment="0" applyProtection="0"/>
    <xf numFmtId="0" fontId="39" fillId="76"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3" fontId="90" fillId="48" borderId="0" applyNumberFormat="0" applyBorder="0" applyAlignment="0" applyProtection="0"/>
    <xf numFmtId="184" fontId="90" fillId="48" borderId="0" applyNumberFormat="0" applyBorder="0" applyAlignment="0" applyProtection="0"/>
    <xf numFmtId="185" fontId="90" fillId="48" borderId="0" applyNumberFormat="0" applyBorder="0" applyAlignment="0" applyProtection="0"/>
    <xf numFmtId="183" fontId="90" fillId="48" borderId="0" applyNumberFormat="0" applyBorder="0" applyAlignment="0" applyProtection="0"/>
    <xf numFmtId="184" fontId="90" fillId="48" borderId="0" applyNumberFormat="0" applyBorder="0" applyAlignment="0" applyProtection="0"/>
    <xf numFmtId="184" fontId="90" fillId="48" borderId="0" applyNumberFormat="0" applyBorder="0" applyAlignment="0" applyProtection="0"/>
    <xf numFmtId="184" fontId="90" fillId="48" borderId="0" applyNumberFormat="0" applyBorder="0" applyAlignment="0" applyProtection="0"/>
    <xf numFmtId="0" fontId="39" fillId="76" borderId="0" applyNumberFormat="0" applyBorder="0" applyAlignment="0" applyProtection="0"/>
    <xf numFmtId="183" fontId="90" fillId="48" borderId="0" applyNumberFormat="0" applyBorder="0" applyAlignment="0" applyProtection="0"/>
    <xf numFmtId="184" fontId="90" fillId="48" borderId="0" applyNumberFormat="0" applyBorder="0" applyAlignment="0" applyProtection="0"/>
    <xf numFmtId="185" fontId="90" fillId="48" borderId="0" applyNumberFormat="0" applyBorder="0" applyAlignment="0" applyProtection="0"/>
    <xf numFmtId="183" fontId="90" fillId="48" borderId="0" applyNumberFormat="0" applyBorder="0" applyAlignment="0" applyProtection="0"/>
    <xf numFmtId="184" fontId="90" fillId="48" borderId="0" applyNumberFormat="0" applyBorder="0" applyAlignment="0" applyProtection="0"/>
    <xf numFmtId="184" fontId="90" fillId="48" borderId="0" applyNumberFormat="0" applyBorder="0" applyAlignment="0" applyProtection="0"/>
    <xf numFmtId="184" fontId="90"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4" fontId="90" fillId="48" borderId="0" applyNumberFormat="0" applyBorder="0" applyAlignment="0" applyProtection="0"/>
    <xf numFmtId="182" fontId="90"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90" fillId="52" borderId="0" applyNumberFormat="0" applyBorder="0" applyAlignment="0" applyProtection="0"/>
    <xf numFmtId="183" fontId="90" fillId="52" borderId="0" applyNumberFormat="0" applyBorder="0" applyAlignment="0" applyProtection="0"/>
    <xf numFmtId="184" fontId="90" fillId="52" borderId="0" applyNumberFormat="0" applyBorder="0" applyAlignment="0" applyProtection="0"/>
    <xf numFmtId="185" fontId="90" fillId="52" borderId="0" applyNumberFormat="0" applyBorder="0" applyAlignment="0" applyProtection="0"/>
    <xf numFmtId="183" fontId="90" fillId="52" borderId="0" applyNumberFormat="0" applyBorder="0" applyAlignment="0" applyProtection="0"/>
    <xf numFmtId="184" fontId="90" fillId="52" borderId="0" applyNumberFormat="0" applyBorder="0" applyAlignment="0" applyProtection="0"/>
    <xf numFmtId="184" fontId="90" fillId="52" borderId="0" applyNumberFormat="0" applyBorder="0" applyAlignment="0" applyProtection="0"/>
    <xf numFmtId="184" fontId="90" fillId="52" borderId="0" applyNumberFormat="0" applyBorder="0" applyAlignment="0" applyProtection="0"/>
    <xf numFmtId="0"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5"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4" fontId="96" fillId="4" borderId="0" applyNumberFormat="0" applyBorder="0" applyAlignment="0" applyProtection="0"/>
    <xf numFmtId="184" fontId="96" fillId="4" borderId="0" applyNumberFormat="0" applyBorder="0" applyAlignment="0" applyProtection="0"/>
    <xf numFmtId="185"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4" fontId="96" fillId="4" borderId="0" applyNumberFormat="0" applyBorder="0" applyAlignment="0" applyProtection="0"/>
    <xf numFmtId="0"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5"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4" fontId="96" fillId="4" borderId="0" applyNumberFormat="0" applyBorder="0" applyAlignment="0" applyProtection="0"/>
    <xf numFmtId="184"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6"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6" fillId="4" borderId="0" applyNumberFormat="0" applyBorder="0" applyAlignment="0" applyProtection="0"/>
    <xf numFmtId="0" fontId="39"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3" fontId="90" fillId="52" borderId="0" applyNumberFormat="0" applyBorder="0" applyAlignment="0" applyProtection="0"/>
    <xf numFmtId="184" fontId="90" fillId="52" borderId="0" applyNumberFormat="0" applyBorder="0" applyAlignment="0" applyProtection="0"/>
    <xf numFmtId="185" fontId="90" fillId="52" borderId="0" applyNumberFormat="0" applyBorder="0" applyAlignment="0" applyProtection="0"/>
    <xf numFmtId="183" fontId="90" fillId="52" borderId="0" applyNumberFormat="0" applyBorder="0" applyAlignment="0" applyProtection="0"/>
    <xf numFmtId="184" fontId="90" fillId="52" borderId="0" applyNumberFormat="0" applyBorder="0" applyAlignment="0" applyProtection="0"/>
    <xf numFmtId="184" fontId="90" fillId="52" borderId="0" applyNumberFormat="0" applyBorder="0" applyAlignment="0" applyProtection="0"/>
    <xf numFmtId="184" fontId="90" fillId="52" borderId="0" applyNumberFormat="0" applyBorder="0" applyAlignment="0" applyProtection="0"/>
    <xf numFmtId="0" fontId="39" fillId="4" borderId="0" applyNumberFormat="0" applyBorder="0" applyAlignment="0" applyProtection="0"/>
    <xf numFmtId="183" fontId="90" fillId="52" borderId="0" applyNumberFormat="0" applyBorder="0" applyAlignment="0" applyProtection="0"/>
    <xf numFmtId="184" fontId="90" fillId="52" borderId="0" applyNumberFormat="0" applyBorder="0" applyAlignment="0" applyProtection="0"/>
    <xf numFmtId="185" fontId="90" fillId="52" borderId="0" applyNumberFormat="0" applyBorder="0" applyAlignment="0" applyProtection="0"/>
    <xf numFmtId="183" fontId="90" fillId="52" borderId="0" applyNumberFormat="0" applyBorder="0" applyAlignment="0" applyProtection="0"/>
    <xf numFmtId="184" fontId="90" fillId="52" borderId="0" applyNumberFormat="0" applyBorder="0" applyAlignment="0" applyProtection="0"/>
    <xf numFmtId="184" fontId="90" fillId="52" borderId="0" applyNumberFormat="0" applyBorder="0" applyAlignment="0" applyProtection="0"/>
    <xf numFmtId="184" fontId="90"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6" fillId="4" borderId="0" applyNumberFormat="0" applyBorder="0" applyAlignment="0" applyProtection="0"/>
    <xf numFmtId="183" fontId="96" fillId="4" borderId="0" applyNumberFormat="0" applyBorder="0" applyAlignment="0" applyProtection="0"/>
    <xf numFmtId="184" fontId="96" fillId="4" borderId="0" applyNumberFormat="0" applyBorder="0" applyAlignment="0" applyProtection="0"/>
    <xf numFmtId="184" fontId="96" fillId="4" borderId="0" applyNumberFormat="0" applyBorder="0" applyAlignment="0" applyProtection="0"/>
    <xf numFmtId="184" fontId="90" fillId="52" borderId="0" applyNumberFormat="0" applyBorder="0" applyAlignment="0" applyProtection="0"/>
    <xf numFmtId="182" fontId="90"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90" fillId="56" borderId="0" applyNumberFormat="0" applyBorder="0" applyAlignment="0" applyProtection="0"/>
    <xf numFmtId="183" fontId="90" fillId="56" borderId="0" applyNumberFormat="0" applyBorder="0" applyAlignment="0" applyProtection="0"/>
    <xf numFmtId="184" fontId="90" fillId="56" borderId="0" applyNumberFormat="0" applyBorder="0" applyAlignment="0" applyProtection="0"/>
    <xf numFmtId="185" fontId="90" fillId="56" borderId="0" applyNumberFormat="0" applyBorder="0" applyAlignment="0" applyProtection="0"/>
    <xf numFmtId="183" fontId="90" fillId="56" borderId="0" applyNumberFormat="0" applyBorder="0" applyAlignment="0" applyProtection="0"/>
    <xf numFmtId="184" fontId="90" fillId="56" borderId="0" applyNumberFormat="0" applyBorder="0" applyAlignment="0" applyProtection="0"/>
    <xf numFmtId="184" fontId="90" fillId="56" borderId="0" applyNumberFormat="0" applyBorder="0" applyAlignment="0" applyProtection="0"/>
    <xf numFmtId="184" fontId="90" fillId="56" borderId="0" applyNumberFormat="0" applyBorder="0" applyAlignment="0" applyProtection="0"/>
    <xf numFmtId="0"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5"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4" fontId="96" fillId="15" borderId="0" applyNumberFormat="0" applyBorder="0" applyAlignment="0" applyProtection="0"/>
    <xf numFmtId="184" fontId="96" fillId="15" borderId="0" applyNumberFormat="0" applyBorder="0" applyAlignment="0" applyProtection="0"/>
    <xf numFmtId="185"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4" fontId="96" fillId="15" borderId="0" applyNumberFormat="0" applyBorder="0" applyAlignment="0" applyProtection="0"/>
    <xf numFmtId="0"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5"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4" fontId="96" fillId="15" borderId="0" applyNumberFormat="0" applyBorder="0" applyAlignment="0" applyProtection="0"/>
    <xf numFmtId="184"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6"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6" fillId="15" borderId="0" applyNumberFormat="0" applyBorder="0" applyAlignment="0" applyProtection="0"/>
    <xf numFmtId="0" fontId="39" fillId="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3" fontId="90" fillId="56" borderId="0" applyNumberFormat="0" applyBorder="0" applyAlignment="0" applyProtection="0"/>
    <xf numFmtId="184" fontId="90" fillId="56" borderId="0" applyNumberFormat="0" applyBorder="0" applyAlignment="0" applyProtection="0"/>
    <xf numFmtId="185" fontId="90" fillId="56" borderId="0" applyNumberFormat="0" applyBorder="0" applyAlignment="0" applyProtection="0"/>
    <xf numFmtId="183" fontId="90" fillId="56" borderId="0" applyNumberFormat="0" applyBorder="0" applyAlignment="0" applyProtection="0"/>
    <xf numFmtId="184" fontId="90" fillId="56" borderId="0" applyNumberFormat="0" applyBorder="0" applyAlignment="0" applyProtection="0"/>
    <xf numFmtId="184" fontId="90" fillId="56" borderId="0" applyNumberFormat="0" applyBorder="0" applyAlignment="0" applyProtection="0"/>
    <xf numFmtId="184" fontId="90" fillId="56" borderId="0" applyNumberFormat="0" applyBorder="0" applyAlignment="0" applyProtection="0"/>
    <xf numFmtId="0" fontId="39" fillId="5" borderId="0" applyNumberFormat="0" applyBorder="0" applyAlignment="0" applyProtection="0"/>
    <xf numFmtId="183" fontId="90" fillId="56" borderId="0" applyNumberFormat="0" applyBorder="0" applyAlignment="0" applyProtection="0"/>
    <xf numFmtId="184" fontId="90" fillId="56" borderId="0" applyNumberFormat="0" applyBorder="0" applyAlignment="0" applyProtection="0"/>
    <xf numFmtId="185" fontId="90" fillId="56" borderId="0" applyNumberFormat="0" applyBorder="0" applyAlignment="0" applyProtection="0"/>
    <xf numFmtId="183" fontId="90" fillId="56" borderId="0" applyNumberFormat="0" applyBorder="0" applyAlignment="0" applyProtection="0"/>
    <xf numFmtId="184" fontId="90" fillId="56" borderId="0" applyNumberFormat="0" applyBorder="0" applyAlignment="0" applyProtection="0"/>
    <xf numFmtId="184" fontId="90" fillId="56" borderId="0" applyNumberFormat="0" applyBorder="0" applyAlignment="0" applyProtection="0"/>
    <xf numFmtId="184" fontId="90"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6" fillId="15" borderId="0" applyNumberFormat="0" applyBorder="0" applyAlignment="0" applyProtection="0"/>
    <xf numFmtId="183" fontId="96" fillId="15" borderId="0" applyNumberFormat="0" applyBorder="0" applyAlignment="0" applyProtection="0"/>
    <xf numFmtId="184" fontId="96" fillId="15" borderId="0" applyNumberFormat="0" applyBorder="0" applyAlignment="0" applyProtection="0"/>
    <xf numFmtId="184" fontId="96" fillId="15" borderId="0" applyNumberFormat="0" applyBorder="0" applyAlignment="0" applyProtection="0"/>
    <xf numFmtId="184" fontId="90" fillId="56" borderId="0" applyNumberFormat="0" applyBorder="0" applyAlignment="0" applyProtection="0"/>
    <xf numFmtId="182" fontId="90"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90" fillId="60" borderId="0" applyNumberFormat="0" applyBorder="0" applyAlignment="0" applyProtection="0"/>
    <xf numFmtId="183" fontId="90" fillId="60" borderId="0" applyNumberFormat="0" applyBorder="0" applyAlignment="0" applyProtection="0"/>
    <xf numFmtId="184" fontId="90" fillId="60" borderId="0" applyNumberFormat="0" applyBorder="0" applyAlignment="0" applyProtection="0"/>
    <xf numFmtId="185" fontId="90" fillId="60" borderId="0" applyNumberFormat="0" applyBorder="0" applyAlignment="0" applyProtection="0"/>
    <xf numFmtId="183" fontId="90" fillId="60" borderId="0" applyNumberFormat="0" applyBorder="0" applyAlignment="0" applyProtection="0"/>
    <xf numFmtId="184" fontId="90" fillId="60" borderId="0" applyNumberFormat="0" applyBorder="0" applyAlignment="0" applyProtection="0"/>
    <xf numFmtId="184" fontId="90" fillId="60" borderId="0" applyNumberFormat="0" applyBorder="0" applyAlignment="0" applyProtection="0"/>
    <xf numFmtId="184" fontId="90" fillId="60" borderId="0" applyNumberFormat="0" applyBorder="0" applyAlignment="0" applyProtection="0"/>
    <xf numFmtId="0"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5"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4" fontId="96" fillId="75" borderId="0" applyNumberFormat="0" applyBorder="0" applyAlignment="0" applyProtection="0"/>
    <xf numFmtId="184" fontId="96" fillId="75" borderId="0" applyNumberFormat="0" applyBorder="0" applyAlignment="0" applyProtection="0"/>
    <xf numFmtId="185"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4" fontId="96" fillId="75" borderId="0" applyNumberFormat="0" applyBorder="0" applyAlignment="0" applyProtection="0"/>
    <xf numFmtId="0"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5"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4" fontId="96" fillId="75" borderId="0" applyNumberFormat="0" applyBorder="0" applyAlignment="0" applyProtection="0"/>
    <xf numFmtId="184"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6"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6" fillId="75" borderId="0" applyNumberFormat="0" applyBorder="0" applyAlignment="0" applyProtection="0"/>
    <xf numFmtId="0" fontId="39" fillId="77"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3" fontId="90" fillId="60" borderId="0" applyNumberFormat="0" applyBorder="0" applyAlignment="0" applyProtection="0"/>
    <xf numFmtId="184" fontId="90" fillId="60" borderId="0" applyNumberFormat="0" applyBorder="0" applyAlignment="0" applyProtection="0"/>
    <xf numFmtId="185" fontId="90" fillId="60" borderId="0" applyNumberFormat="0" applyBorder="0" applyAlignment="0" applyProtection="0"/>
    <xf numFmtId="183" fontId="90" fillId="60" borderId="0" applyNumberFormat="0" applyBorder="0" applyAlignment="0" applyProtection="0"/>
    <xf numFmtId="184" fontId="90" fillId="60" borderId="0" applyNumberFormat="0" applyBorder="0" applyAlignment="0" applyProtection="0"/>
    <xf numFmtId="184" fontId="90" fillId="60" borderId="0" applyNumberFormat="0" applyBorder="0" applyAlignment="0" applyProtection="0"/>
    <xf numFmtId="184" fontId="90" fillId="60" borderId="0" applyNumberFormat="0" applyBorder="0" applyAlignment="0" applyProtection="0"/>
    <xf numFmtId="0" fontId="39" fillId="77" borderId="0" applyNumberFormat="0" applyBorder="0" applyAlignment="0" applyProtection="0"/>
    <xf numFmtId="183" fontId="90" fillId="60" borderId="0" applyNumberFormat="0" applyBorder="0" applyAlignment="0" applyProtection="0"/>
    <xf numFmtId="184" fontId="90" fillId="60" borderId="0" applyNumberFormat="0" applyBorder="0" applyAlignment="0" applyProtection="0"/>
    <xf numFmtId="185" fontId="90" fillId="60" borderId="0" applyNumberFormat="0" applyBorder="0" applyAlignment="0" applyProtection="0"/>
    <xf numFmtId="183" fontId="90" fillId="60" borderId="0" applyNumberFormat="0" applyBorder="0" applyAlignment="0" applyProtection="0"/>
    <xf numFmtId="184" fontId="90" fillId="60" borderId="0" applyNumberFormat="0" applyBorder="0" applyAlignment="0" applyProtection="0"/>
    <xf numFmtId="184" fontId="90" fillId="60" borderId="0" applyNumberFormat="0" applyBorder="0" applyAlignment="0" applyProtection="0"/>
    <xf numFmtId="184" fontId="90"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6" fillId="75" borderId="0" applyNumberFormat="0" applyBorder="0" applyAlignment="0" applyProtection="0"/>
    <xf numFmtId="183" fontId="96" fillId="75" borderId="0" applyNumberFormat="0" applyBorder="0" applyAlignment="0" applyProtection="0"/>
    <xf numFmtId="184" fontId="96" fillId="75" borderId="0" applyNumberFormat="0" applyBorder="0" applyAlignment="0" applyProtection="0"/>
    <xf numFmtId="184" fontId="96" fillId="75" borderId="0" applyNumberFormat="0" applyBorder="0" applyAlignment="0" applyProtection="0"/>
    <xf numFmtId="184" fontId="90" fillId="60" borderId="0" applyNumberFormat="0" applyBorder="0" applyAlignment="0" applyProtection="0"/>
    <xf numFmtId="182" fontId="90"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90" fillId="64" borderId="0" applyNumberFormat="0" applyBorder="0" applyAlignment="0" applyProtection="0"/>
    <xf numFmtId="183" fontId="90" fillId="64" borderId="0" applyNumberFormat="0" applyBorder="0" applyAlignment="0" applyProtection="0"/>
    <xf numFmtId="184" fontId="90" fillId="64" borderId="0" applyNumberFormat="0" applyBorder="0" applyAlignment="0" applyProtection="0"/>
    <xf numFmtId="185" fontId="90" fillId="64" borderId="0" applyNumberFormat="0" applyBorder="0" applyAlignment="0" applyProtection="0"/>
    <xf numFmtId="183" fontId="90" fillId="64" borderId="0" applyNumberFormat="0" applyBorder="0" applyAlignment="0" applyProtection="0"/>
    <xf numFmtId="184" fontId="90" fillId="64" borderId="0" applyNumberFormat="0" applyBorder="0" applyAlignment="0" applyProtection="0"/>
    <xf numFmtId="184" fontId="90" fillId="64" borderId="0" applyNumberFormat="0" applyBorder="0" applyAlignment="0" applyProtection="0"/>
    <xf numFmtId="184" fontId="90" fillId="64" borderId="0" applyNumberFormat="0" applyBorder="0" applyAlignment="0" applyProtection="0"/>
    <xf numFmtId="0"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0"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6"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6" fillId="31" borderId="0" applyNumberFormat="0" applyBorder="0" applyAlignment="0" applyProtection="0"/>
    <xf numFmtId="0" fontId="39" fillId="78"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3" fontId="90" fillId="64" borderId="0" applyNumberFormat="0" applyBorder="0" applyAlignment="0" applyProtection="0"/>
    <xf numFmtId="184" fontId="90" fillId="64" borderId="0" applyNumberFormat="0" applyBorder="0" applyAlignment="0" applyProtection="0"/>
    <xf numFmtId="185" fontId="90" fillId="64" borderId="0" applyNumberFormat="0" applyBorder="0" applyAlignment="0" applyProtection="0"/>
    <xf numFmtId="183" fontId="90" fillId="64" borderId="0" applyNumberFormat="0" applyBorder="0" applyAlignment="0" applyProtection="0"/>
    <xf numFmtId="184" fontId="90" fillId="64" borderId="0" applyNumberFormat="0" applyBorder="0" applyAlignment="0" applyProtection="0"/>
    <xf numFmtId="184" fontId="90" fillId="64" borderId="0" applyNumberFormat="0" applyBorder="0" applyAlignment="0" applyProtection="0"/>
    <xf numFmtId="184" fontId="90" fillId="64" borderId="0" applyNumberFormat="0" applyBorder="0" applyAlignment="0" applyProtection="0"/>
    <xf numFmtId="0" fontId="39" fillId="78" borderId="0" applyNumberFormat="0" applyBorder="0" applyAlignment="0" applyProtection="0"/>
    <xf numFmtId="183" fontId="90" fillId="64" borderId="0" applyNumberFormat="0" applyBorder="0" applyAlignment="0" applyProtection="0"/>
    <xf numFmtId="184" fontId="90" fillId="64" borderId="0" applyNumberFormat="0" applyBorder="0" applyAlignment="0" applyProtection="0"/>
    <xf numFmtId="185" fontId="90" fillId="64" borderId="0" applyNumberFormat="0" applyBorder="0" applyAlignment="0" applyProtection="0"/>
    <xf numFmtId="183" fontId="90" fillId="64" borderId="0" applyNumberFormat="0" applyBorder="0" applyAlignment="0" applyProtection="0"/>
    <xf numFmtId="184" fontId="90" fillId="64" borderId="0" applyNumberFormat="0" applyBorder="0" applyAlignment="0" applyProtection="0"/>
    <xf numFmtId="184" fontId="90" fillId="64" borderId="0" applyNumberFormat="0" applyBorder="0" applyAlignment="0" applyProtection="0"/>
    <xf numFmtId="184" fontId="90"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6" fillId="31" borderId="0" applyNumberFormat="0" applyBorder="0" applyAlignment="0" applyProtection="0"/>
    <xf numFmtId="183" fontId="96" fillId="31" borderId="0" applyNumberFormat="0" applyBorder="0" applyAlignment="0" applyProtection="0"/>
    <xf numFmtId="184" fontId="96" fillId="31" borderId="0" applyNumberFormat="0" applyBorder="0" applyAlignment="0" applyProtection="0"/>
    <xf numFmtId="184" fontId="96" fillId="31" borderId="0" applyNumberFormat="0" applyBorder="0" applyAlignment="0" applyProtection="0"/>
    <xf numFmtId="184" fontId="90" fillId="64" borderId="0" applyNumberFormat="0" applyBorder="0" applyAlignment="0" applyProtection="0"/>
    <xf numFmtId="182" fontId="90"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90" fillId="68" borderId="0" applyNumberFormat="0" applyBorder="0" applyAlignment="0" applyProtection="0"/>
    <xf numFmtId="183" fontId="90" fillId="68" borderId="0" applyNumberFormat="0" applyBorder="0" applyAlignment="0" applyProtection="0"/>
    <xf numFmtId="184" fontId="90" fillId="68" borderId="0" applyNumberFormat="0" applyBorder="0" applyAlignment="0" applyProtection="0"/>
    <xf numFmtId="185" fontId="90" fillId="68" borderId="0" applyNumberFormat="0" applyBorder="0" applyAlignment="0" applyProtection="0"/>
    <xf numFmtId="183" fontId="90" fillId="68" borderId="0" applyNumberFormat="0" applyBorder="0" applyAlignment="0" applyProtection="0"/>
    <xf numFmtId="184" fontId="90" fillId="68" borderId="0" applyNumberFormat="0" applyBorder="0" applyAlignment="0" applyProtection="0"/>
    <xf numFmtId="184" fontId="90" fillId="68" borderId="0" applyNumberFormat="0" applyBorder="0" applyAlignment="0" applyProtection="0"/>
    <xf numFmtId="184" fontId="90" fillId="68" borderId="0" applyNumberFormat="0" applyBorder="0" applyAlignment="0" applyProtection="0"/>
    <xf numFmtId="0"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5"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4" fontId="96" fillId="74" borderId="0" applyNumberFormat="0" applyBorder="0" applyAlignment="0" applyProtection="0"/>
    <xf numFmtId="184" fontId="96" fillId="74" borderId="0" applyNumberFormat="0" applyBorder="0" applyAlignment="0" applyProtection="0"/>
    <xf numFmtId="185"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4" fontId="96" fillId="74" borderId="0" applyNumberFormat="0" applyBorder="0" applyAlignment="0" applyProtection="0"/>
    <xf numFmtId="0"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5"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4" fontId="96" fillId="74" borderId="0" applyNumberFormat="0" applyBorder="0" applyAlignment="0" applyProtection="0"/>
    <xf numFmtId="184"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6"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6" fillId="74" borderId="0" applyNumberFormat="0" applyBorder="0" applyAlignment="0" applyProtection="0"/>
    <xf numFmtId="0" fontId="39" fillId="7"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3" fontId="90" fillId="68" borderId="0" applyNumberFormat="0" applyBorder="0" applyAlignment="0" applyProtection="0"/>
    <xf numFmtId="184" fontId="90" fillId="68" borderId="0" applyNumberFormat="0" applyBorder="0" applyAlignment="0" applyProtection="0"/>
    <xf numFmtId="185" fontId="90" fillId="68" borderId="0" applyNumberFormat="0" applyBorder="0" applyAlignment="0" applyProtection="0"/>
    <xf numFmtId="183" fontId="90" fillId="68" borderId="0" applyNumberFormat="0" applyBorder="0" applyAlignment="0" applyProtection="0"/>
    <xf numFmtId="184" fontId="90" fillId="68" borderId="0" applyNumberFormat="0" applyBorder="0" applyAlignment="0" applyProtection="0"/>
    <xf numFmtId="184" fontId="90" fillId="68" borderId="0" applyNumberFormat="0" applyBorder="0" applyAlignment="0" applyProtection="0"/>
    <xf numFmtId="184" fontId="90" fillId="68" borderId="0" applyNumberFormat="0" applyBorder="0" applyAlignment="0" applyProtection="0"/>
    <xf numFmtId="0" fontId="39" fillId="7" borderId="0" applyNumberFormat="0" applyBorder="0" applyAlignment="0" applyProtection="0"/>
    <xf numFmtId="183" fontId="90" fillId="68" borderId="0" applyNumberFormat="0" applyBorder="0" applyAlignment="0" applyProtection="0"/>
    <xf numFmtId="184" fontId="90" fillId="68" borderId="0" applyNumberFormat="0" applyBorder="0" applyAlignment="0" applyProtection="0"/>
    <xf numFmtId="185" fontId="90" fillId="68" borderId="0" applyNumberFormat="0" applyBorder="0" applyAlignment="0" applyProtection="0"/>
    <xf numFmtId="183" fontId="90" fillId="68" borderId="0" applyNumberFormat="0" applyBorder="0" applyAlignment="0" applyProtection="0"/>
    <xf numFmtId="184" fontId="90" fillId="68" borderId="0" applyNumberFormat="0" applyBorder="0" applyAlignment="0" applyProtection="0"/>
    <xf numFmtId="184" fontId="90" fillId="68" borderId="0" applyNumberFormat="0" applyBorder="0" applyAlignment="0" applyProtection="0"/>
    <xf numFmtId="184" fontId="90"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6" fillId="74" borderId="0" applyNumberFormat="0" applyBorder="0" applyAlignment="0" applyProtection="0"/>
    <xf numFmtId="183" fontId="96" fillId="74" borderId="0" applyNumberFormat="0" applyBorder="0" applyAlignment="0" applyProtection="0"/>
    <xf numFmtId="184" fontId="96" fillId="74" borderId="0" applyNumberFormat="0" applyBorder="0" applyAlignment="0" applyProtection="0"/>
    <xf numFmtId="184" fontId="96" fillId="74" borderId="0" applyNumberFormat="0" applyBorder="0" applyAlignment="0" applyProtection="0"/>
    <xf numFmtId="184" fontId="90" fillId="68" borderId="0" applyNumberFormat="0" applyBorder="0" applyAlignment="0" applyProtection="0"/>
    <xf numFmtId="182" fontId="90"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90" fillId="45" borderId="0" applyNumberFormat="0" applyBorder="0" applyAlignment="0" applyProtection="0"/>
    <xf numFmtId="184" fontId="90"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182" fontId="90"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90" fillId="45" borderId="0" applyNumberFormat="0" applyBorder="0" applyAlignment="0" applyProtection="0"/>
    <xf numFmtId="183" fontId="90" fillId="45" borderId="0" applyNumberFormat="0" applyBorder="0" applyAlignment="0" applyProtection="0"/>
    <xf numFmtId="184" fontId="90" fillId="45" borderId="0" applyNumberFormat="0" applyBorder="0" applyAlignment="0" applyProtection="0"/>
    <xf numFmtId="185" fontId="90" fillId="45" borderId="0" applyNumberFormat="0" applyBorder="0" applyAlignment="0" applyProtection="0"/>
    <xf numFmtId="183"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90" fillId="45" borderId="0" applyNumberFormat="0" applyBorder="0" applyAlignment="0" applyProtection="0"/>
    <xf numFmtId="183" fontId="90" fillId="45" borderId="0" applyNumberFormat="0" applyBorder="0" applyAlignment="0" applyProtection="0"/>
    <xf numFmtId="184" fontId="90" fillId="45" borderId="0" applyNumberFormat="0" applyBorder="0" applyAlignment="0" applyProtection="0"/>
    <xf numFmtId="185" fontId="90" fillId="45" borderId="0" applyNumberFormat="0" applyBorder="0" applyAlignment="0" applyProtection="0"/>
    <xf numFmtId="183"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90" fillId="45" borderId="0" applyNumberFormat="0" applyBorder="0" applyAlignment="0" applyProtection="0"/>
    <xf numFmtId="183" fontId="90" fillId="45" borderId="0" applyNumberFormat="0" applyBorder="0" applyAlignment="0" applyProtection="0"/>
    <xf numFmtId="184" fontId="90" fillId="45" borderId="0" applyNumberFormat="0" applyBorder="0" applyAlignment="0" applyProtection="0"/>
    <xf numFmtId="185" fontId="90" fillId="45" borderId="0" applyNumberFormat="0" applyBorder="0" applyAlignment="0" applyProtection="0"/>
    <xf numFmtId="183"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90" fillId="49" borderId="0" applyNumberFormat="0" applyBorder="0" applyAlignment="0" applyProtection="0"/>
    <xf numFmtId="184" fontId="90"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182" fontId="90"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90" fillId="49" borderId="0" applyNumberFormat="0" applyBorder="0" applyAlignment="0" applyProtection="0"/>
    <xf numFmtId="183" fontId="90" fillId="49" borderId="0" applyNumberFormat="0" applyBorder="0" applyAlignment="0" applyProtection="0"/>
    <xf numFmtId="184" fontId="90" fillId="49" borderId="0" applyNumberFormat="0" applyBorder="0" applyAlignment="0" applyProtection="0"/>
    <xf numFmtId="185" fontId="90" fillId="49" borderId="0" applyNumberFormat="0" applyBorder="0" applyAlignment="0" applyProtection="0"/>
    <xf numFmtId="183"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90" fillId="49" borderId="0" applyNumberFormat="0" applyBorder="0" applyAlignment="0" applyProtection="0"/>
    <xf numFmtId="183" fontId="90" fillId="49" borderId="0" applyNumberFormat="0" applyBorder="0" applyAlignment="0" applyProtection="0"/>
    <xf numFmtId="184" fontId="90" fillId="49" borderId="0" applyNumberFormat="0" applyBorder="0" applyAlignment="0" applyProtection="0"/>
    <xf numFmtId="185" fontId="90" fillId="49" borderId="0" applyNumberFormat="0" applyBorder="0" applyAlignment="0" applyProtection="0"/>
    <xf numFmtId="183"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90" fillId="49" borderId="0" applyNumberFormat="0" applyBorder="0" applyAlignment="0" applyProtection="0"/>
    <xf numFmtId="183" fontId="90" fillId="49" borderId="0" applyNumberFormat="0" applyBorder="0" applyAlignment="0" applyProtection="0"/>
    <xf numFmtId="184" fontId="90" fillId="49" borderId="0" applyNumberFormat="0" applyBorder="0" applyAlignment="0" applyProtection="0"/>
    <xf numFmtId="185" fontId="90" fillId="49" borderId="0" applyNumberFormat="0" applyBorder="0" applyAlignment="0" applyProtection="0"/>
    <xf numFmtId="183"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90" fillId="53" borderId="0" applyNumberFormat="0" applyBorder="0" applyAlignment="0" applyProtection="0"/>
    <xf numFmtId="184" fontId="90"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182" fontId="90"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90" fillId="53" borderId="0" applyNumberFormat="0" applyBorder="0" applyAlignment="0" applyProtection="0"/>
    <xf numFmtId="183" fontId="90" fillId="53" borderId="0" applyNumberFormat="0" applyBorder="0" applyAlignment="0" applyProtection="0"/>
    <xf numFmtId="184" fontId="90" fillId="53" borderId="0" applyNumberFormat="0" applyBorder="0" applyAlignment="0" applyProtection="0"/>
    <xf numFmtId="185" fontId="90" fillId="53" borderId="0" applyNumberFormat="0" applyBorder="0" applyAlignment="0" applyProtection="0"/>
    <xf numFmtId="183"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90" fillId="53" borderId="0" applyNumberFormat="0" applyBorder="0" applyAlignment="0" applyProtection="0"/>
    <xf numFmtId="183" fontId="90" fillId="53" borderId="0" applyNumberFormat="0" applyBorder="0" applyAlignment="0" applyProtection="0"/>
    <xf numFmtId="184" fontId="90" fillId="53" borderId="0" applyNumberFormat="0" applyBorder="0" applyAlignment="0" applyProtection="0"/>
    <xf numFmtId="185" fontId="90" fillId="53" borderId="0" applyNumberFormat="0" applyBorder="0" applyAlignment="0" applyProtection="0"/>
    <xf numFmtId="183"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90" fillId="53" borderId="0" applyNumberFormat="0" applyBorder="0" applyAlignment="0" applyProtection="0"/>
    <xf numFmtId="183" fontId="90" fillId="53" borderId="0" applyNumberFormat="0" applyBorder="0" applyAlignment="0" applyProtection="0"/>
    <xf numFmtId="184" fontId="90" fillId="53" borderId="0" applyNumberFormat="0" applyBorder="0" applyAlignment="0" applyProtection="0"/>
    <xf numFmtId="185" fontId="90" fillId="53" borderId="0" applyNumberFormat="0" applyBorder="0" applyAlignment="0" applyProtection="0"/>
    <xf numFmtId="183"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90" fillId="57" borderId="0" applyNumberFormat="0" applyBorder="0" applyAlignment="0" applyProtection="0"/>
    <xf numFmtId="184" fontId="90"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182" fontId="90"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90" fillId="57" borderId="0" applyNumberFormat="0" applyBorder="0" applyAlignment="0" applyProtection="0"/>
    <xf numFmtId="183" fontId="90" fillId="57" borderId="0" applyNumberFormat="0" applyBorder="0" applyAlignment="0" applyProtection="0"/>
    <xf numFmtId="184" fontId="90" fillId="57" borderId="0" applyNumberFormat="0" applyBorder="0" applyAlignment="0" applyProtection="0"/>
    <xf numFmtId="185" fontId="90" fillId="57" borderId="0" applyNumberFormat="0" applyBorder="0" applyAlignment="0" applyProtection="0"/>
    <xf numFmtId="183"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90" fillId="57" borderId="0" applyNumberFormat="0" applyBorder="0" applyAlignment="0" applyProtection="0"/>
    <xf numFmtId="183" fontId="90" fillId="57" borderId="0" applyNumberFormat="0" applyBorder="0" applyAlignment="0" applyProtection="0"/>
    <xf numFmtId="184" fontId="90" fillId="57" borderId="0" applyNumberFormat="0" applyBorder="0" applyAlignment="0" applyProtection="0"/>
    <xf numFmtId="185" fontId="90" fillId="57" borderId="0" applyNumberFormat="0" applyBorder="0" applyAlignment="0" applyProtection="0"/>
    <xf numFmtId="183"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90" fillId="57" borderId="0" applyNumberFormat="0" applyBorder="0" applyAlignment="0" applyProtection="0"/>
    <xf numFmtId="183" fontId="90" fillId="57" borderId="0" applyNumberFormat="0" applyBorder="0" applyAlignment="0" applyProtection="0"/>
    <xf numFmtId="184" fontId="90" fillId="57" borderId="0" applyNumberFormat="0" applyBorder="0" applyAlignment="0" applyProtection="0"/>
    <xf numFmtId="185" fontId="90" fillId="57" borderId="0" applyNumberFormat="0" applyBorder="0" applyAlignment="0" applyProtection="0"/>
    <xf numFmtId="183"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90" fillId="61" borderId="0" applyNumberFormat="0" applyBorder="0" applyAlignment="0" applyProtection="0"/>
    <xf numFmtId="184" fontId="90"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182" fontId="90"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90" fillId="61" borderId="0" applyNumberFormat="0" applyBorder="0" applyAlignment="0" applyProtection="0"/>
    <xf numFmtId="183" fontId="90" fillId="61" borderId="0" applyNumberFormat="0" applyBorder="0" applyAlignment="0" applyProtection="0"/>
    <xf numFmtId="184" fontId="90" fillId="61" borderId="0" applyNumberFormat="0" applyBorder="0" applyAlignment="0" applyProtection="0"/>
    <xf numFmtId="185" fontId="90" fillId="61" borderId="0" applyNumberFormat="0" applyBorder="0" applyAlignment="0" applyProtection="0"/>
    <xf numFmtId="183"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90"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90" fillId="61" borderId="0" applyNumberFormat="0" applyBorder="0" applyAlignment="0" applyProtection="0"/>
    <xf numFmtId="183" fontId="90" fillId="61" borderId="0" applyNumberFormat="0" applyBorder="0" applyAlignment="0" applyProtection="0"/>
    <xf numFmtId="184" fontId="90" fillId="61" borderId="0" applyNumberFormat="0" applyBorder="0" applyAlignment="0" applyProtection="0"/>
    <xf numFmtId="185" fontId="90" fillId="61" borderId="0" applyNumberFormat="0" applyBorder="0" applyAlignment="0" applyProtection="0"/>
    <xf numFmtId="183"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90" fillId="61" borderId="0" applyNumberFormat="0" applyBorder="0" applyAlignment="0" applyProtection="0"/>
    <xf numFmtId="183" fontId="90" fillId="61" borderId="0" applyNumberFormat="0" applyBorder="0" applyAlignment="0" applyProtection="0"/>
    <xf numFmtId="184" fontId="90" fillId="61" borderId="0" applyNumberFormat="0" applyBorder="0" applyAlignment="0" applyProtection="0"/>
    <xf numFmtId="185" fontId="90" fillId="61" borderId="0" applyNumberFormat="0" applyBorder="0" applyAlignment="0" applyProtection="0"/>
    <xf numFmtId="183"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90" fillId="65" borderId="0" applyNumberFormat="0" applyBorder="0" applyAlignment="0" applyProtection="0"/>
    <xf numFmtId="184" fontId="90"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182" fontId="90"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90" fillId="65" borderId="0" applyNumberFormat="0" applyBorder="0" applyAlignment="0" applyProtection="0"/>
    <xf numFmtId="183" fontId="90" fillId="65" borderId="0" applyNumberFormat="0" applyBorder="0" applyAlignment="0" applyProtection="0"/>
    <xf numFmtId="184" fontId="90" fillId="65" borderId="0" applyNumberFormat="0" applyBorder="0" applyAlignment="0" applyProtection="0"/>
    <xf numFmtId="185" fontId="90" fillId="65" borderId="0" applyNumberFormat="0" applyBorder="0" applyAlignment="0" applyProtection="0"/>
    <xf numFmtId="183"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90" fillId="65" borderId="0" applyNumberFormat="0" applyBorder="0" applyAlignment="0" applyProtection="0"/>
    <xf numFmtId="183" fontId="90" fillId="65" borderId="0" applyNumberFormat="0" applyBorder="0" applyAlignment="0" applyProtection="0"/>
    <xf numFmtId="184" fontId="90" fillId="65" borderId="0" applyNumberFormat="0" applyBorder="0" applyAlignment="0" applyProtection="0"/>
    <xf numFmtId="185" fontId="90" fillId="65" borderId="0" applyNumberFormat="0" applyBorder="0" applyAlignment="0" applyProtection="0"/>
    <xf numFmtId="183"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90" fillId="65" borderId="0" applyNumberFormat="0" applyBorder="0" applyAlignment="0" applyProtection="0"/>
    <xf numFmtId="183" fontId="90" fillId="65" borderId="0" applyNumberFormat="0" applyBorder="0" applyAlignment="0" applyProtection="0"/>
    <xf numFmtId="184" fontId="90" fillId="65" borderId="0" applyNumberFormat="0" applyBorder="0" applyAlignment="0" applyProtection="0"/>
    <xf numFmtId="185" fontId="90" fillId="65" borderId="0" applyNumberFormat="0" applyBorder="0" applyAlignment="0" applyProtection="0"/>
    <xf numFmtId="183"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91"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7" fillId="2" borderId="0" applyNumberFormat="0" applyBorder="0" applyAlignment="0" applyProtection="0"/>
    <xf numFmtId="0" fontId="97" fillId="2" borderId="0" applyNumberFormat="0" applyBorder="0" applyAlignment="0" applyProtection="0"/>
    <xf numFmtId="184" fontId="97" fillId="2" borderId="0" applyNumberFormat="0" applyBorder="0" applyAlignment="0" applyProtection="0"/>
    <xf numFmtId="184" fontId="97" fillId="2" borderId="0" applyNumberFormat="0" applyBorder="0" applyAlignment="0" applyProtection="0"/>
    <xf numFmtId="182" fontId="98" fillId="20" borderId="0" applyNumberFormat="0" applyBorder="0" applyAlignment="0" applyProtection="0"/>
    <xf numFmtId="0" fontId="81" fillId="39" borderId="0" applyNumberFormat="0" applyBorder="0" applyAlignment="0" applyProtection="0"/>
    <xf numFmtId="183" fontId="81" fillId="39" borderId="0" applyNumberFormat="0" applyBorder="0" applyAlignment="0" applyProtection="0"/>
    <xf numFmtId="184" fontId="81" fillId="39" borderId="0" applyNumberFormat="0" applyBorder="0" applyAlignment="0" applyProtection="0"/>
    <xf numFmtId="185" fontId="81" fillId="39" borderId="0" applyNumberFormat="0" applyBorder="0" applyAlignment="0" applyProtection="0"/>
    <xf numFmtId="183" fontId="81" fillId="39" borderId="0" applyNumberFormat="0" applyBorder="0" applyAlignment="0" applyProtection="0"/>
    <xf numFmtId="184" fontId="81" fillId="39" borderId="0" applyNumberFormat="0" applyBorder="0" applyAlignment="0" applyProtection="0"/>
    <xf numFmtId="184" fontId="81" fillId="39" borderId="0" applyNumberFormat="0" applyBorder="0" applyAlignment="0" applyProtection="0"/>
    <xf numFmtId="187" fontId="99" fillId="13" borderId="0" applyNumberFormat="0" applyBorder="0" applyAlignment="0" applyProtection="0"/>
    <xf numFmtId="184" fontId="99" fillId="13" borderId="0" applyNumberFormat="0" applyBorder="0" applyAlignment="0" applyProtection="0"/>
    <xf numFmtId="184" fontId="81" fillId="39" borderId="0" applyNumberFormat="0" applyBorder="0" applyAlignment="0" applyProtection="0"/>
    <xf numFmtId="0"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5"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185"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0"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5"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0" fontId="98" fillId="20"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3" fontId="98" fillId="20" borderId="0" applyNumberFormat="0" applyBorder="0" applyAlignment="0" applyProtection="0"/>
    <xf numFmtId="184" fontId="98" fillId="20" borderId="0" applyNumberFormat="0" applyBorder="0" applyAlignment="0" applyProtection="0"/>
    <xf numFmtId="184" fontId="98" fillId="20" borderId="0" applyNumberFormat="0" applyBorder="0" applyAlignment="0" applyProtection="0"/>
    <xf numFmtId="183" fontId="97" fillId="2" borderId="0" applyNumberFormat="0" applyBorder="0" applyAlignment="0" applyProtection="0"/>
    <xf numFmtId="184" fontId="97" fillId="2" borderId="0" applyNumberFormat="0" applyBorder="0" applyAlignment="0" applyProtection="0"/>
    <xf numFmtId="185" fontId="97" fillId="2" borderId="0" applyNumberFormat="0" applyBorder="0" applyAlignment="0" applyProtection="0"/>
    <xf numFmtId="183" fontId="97" fillId="2" borderId="0" applyNumberFormat="0" applyBorder="0" applyAlignment="0" applyProtection="0"/>
    <xf numFmtId="184" fontId="97" fillId="2" borderId="0" applyNumberFormat="0" applyBorder="0" applyAlignment="0" applyProtection="0"/>
    <xf numFmtId="184" fontId="97" fillId="2" borderId="0" applyNumberFormat="0" applyBorder="0" applyAlignment="0" applyProtection="0"/>
    <xf numFmtId="187" fontId="99" fillId="13" borderId="0" applyNumberFormat="0" applyBorder="0" applyAlignment="0" applyProtection="0"/>
    <xf numFmtId="0" fontId="97" fillId="2" borderId="0" applyNumberFormat="0" applyBorder="0" applyAlignment="0" applyProtection="0"/>
    <xf numFmtId="184" fontId="97" fillId="2" borderId="0" applyNumberFormat="0" applyBorder="0" applyAlignment="0" applyProtection="0"/>
    <xf numFmtId="184" fontId="99" fillId="13" borderId="0" applyNumberFormat="0" applyBorder="0" applyAlignment="0" applyProtection="0"/>
    <xf numFmtId="0" fontId="97" fillId="2"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3" fontId="81" fillId="39" borderId="0" applyNumberFormat="0" applyBorder="0" applyAlignment="0" applyProtection="0"/>
    <xf numFmtId="184" fontId="81" fillId="39" borderId="0" applyNumberFormat="0" applyBorder="0" applyAlignment="0" applyProtection="0"/>
    <xf numFmtId="185" fontId="81" fillId="39" borderId="0" applyNumberFormat="0" applyBorder="0" applyAlignment="0" applyProtection="0"/>
    <xf numFmtId="183" fontId="81" fillId="39" borderId="0" applyNumberFormat="0" applyBorder="0" applyAlignment="0" applyProtection="0"/>
    <xf numFmtId="184" fontId="81" fillId="39" borderId="0" applyNumberFormat="0" applyBorder="0" applyAlignment="0" applyProtection="0"/>
    <xf numFmtId="184" fontId="81" fillId="39" borderId="0" applyNumberFormat="0" applyBorder="0" applyAlignment="0" applyProtection="0"/>
    <xf numFmtId="184" fontId="81" fillId="39" borderId="0" applyNumberFormat="0" applyBorder="0" applyAlignment="0" applyProtection="0"/>
    <xf numFmtId="0" fontId="97" fillId="2" borderId="0" applyNumberFormat="0" applyBorder="0" applyAlignment="0" applyProtection="0"/>
    <xf numFmtId="183" fontId="81" fillId="39" borderId="0" applyNumberFormat="0" applyBorder="0" applyAlignment="0" applyProtection="0"/>
    <xf numFmtId="184" fontId="81" fillId="39" borderId="0" applyNumberFormat="0" applyBorder="0" applyAlignment="0" applyProtection="0"/>
    <xf numFmtId="185" fontId="81" fillId="39" borderId="0" applyNumberFormat="0" applyBorder="0" applyAlignment="0" applyProtection="0"/>
    <xf numFmtId="183" fontId="81" fillId="39" borderId="0" applyNumberFormat="0" applyBorder="0" applyAlignment="0" applyProtection="0"/>
    <xf numFmtId="184" fontId="81" fillId="39" borderId="0" applyNumberFormat="0" applyBorder="0" applyAlignment="0" applyProtection="0"/>
    <xf numFmtId="184" fontId="81" fillId="39" borderId="0" applyNumberFormat="0" applyBorder="0" applyAlignment="0" applyProtection="0"/>
    <xf numFmtId="184" fontId="81" fillId="39" borderId="0" applyNumberFormat="0" applyBorder="0" applyAlignment="0" applyProtection="0"/>
    <xf numFmtId="0" fontId="97" fillId="2" borderId="0" applyNumberFormat="0" applyBorder="0" applyAlignment="0" applyProtection="0"/>
    <xf numFmtId="0" fontId="99" fillId="13" borderId="0" applyNumberFormat="0" applyBorder="0" applyAlignment="0" applyProtection="0"/>
    <xf numFmtId="0" fontId="97" fillId="2" borderId="0" applyNumberFormat="0" applyBorder="0" applyAlignment="0" applyProtection="0"/>
    <xf numFmtId="183" fontId="97" fillId="2" borderId="0" applyNumberFormat="0" applyBorder="0" applyAlignment="0" applyProtection="0"/>
    <xf numFmtId="184" fontId="97" fillId="2" borderId="0" applyNumberFormat="0" applyBorder="0" applyAlignment="0" applyProtection="0"/>
    <xf numFmtId="185" fontId="97" fillId="2" borderId="0" applyNumberFormat="0" applyBorder="0" applyAlignment="0" applyProtection="0"/>
    <xf numFmtId="183" fontId="97" fillId="2" borderId="0" applyNumberFormat="0" applyBorder="0" applyAlignment="0" applyProtection="0"/>
    <xf numFmtId="184" fontId="97" fillId="2" borderId="0" applyNumberFormat="0" applyBorder="0" applyAlignment="0" applyProtection="0"/>
    <xf numFmtId="184" fontId="97" fillId="2" borderId="0" applyNumberFormat="0" applyBorder="0" applyAlignment="0" applyProtection="0"/>
    <xf numFmtId="184" fontId="97" fillId="2"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5"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185"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183" fontId="97" fillId="2" borderId="0" applyNumberFormat="0" applyBorder="0" applyAlignment="0" applyProtection="0"/>
    <xf numFmtId="184" fontId="97" fillId="2" borderId="0" applyNumberFormat="0" applyBorder="0" applyAlignment="0" applyProtection="0"/>
    <xf numFmtId="185" fontId="97" fillId="2" borderId="0" applyNumberFormat="0" applyBorder="0" applyAlignment="0" applyProtection="0"/>
    <xf numFmtId="183" fontId="97" fillId="2" borderId="0" applyNumberFormat="0" applyBorder="0" applyAlignment="0" applyProtection="0"/>
    <xf numFmtId="184" fontId="97" fillId="2" borderId="0" applyNumberFormat="0" applyBorder="0" applyAlignment="0" applyProtection="0"/>
    <xf numFmtId="184" fontId="97" fillId="2" borderId="0" applyNumberFormat="0" applyBorder="0" applyAlignment="0" applyProtection="0"/>
    <xf numFmtId="184" fontId="97" fillId="2" borderId="0" applyNumberFormat="0" applyBorder="0" applyAlignment="0" applyProtection="0"/>
    <xf numFmtId="185" fontId="99" fillId="13" borderId="0" applyNumberFormat="0" applyBorder="0" applyAlignment="0" applyProtection="0"/>
    <xf numFmtId="183" fontId="99" fillId="13" borderId="0" applyNumberFormat="0" applyBorder="0" applyAlignment="0" applyProtection="0"/>
    <xf numFmtId="184" fontId="99" fillId="13" borderId="0" applyNumberFormat="0" applyBorder="0" applyAlignment="0" applyProtection="0"/>
    <xf numFmtId="184" fontId="99" fillId="13" borderId="0" applyNumberFormat="0" applyBorder="0" applyAlignment="0" applyProtection="0"/>
    <xf numFmtId="0" fontId="81" fillId="39" borderId="0" applyNumberFormat="0" applyBorder="0" applyAlignment="0" applyProtection="0"/>
    <xf numFmtId="184" fontId="81" fillId="39" borderId="0" applyNumberFormat="0" applyBorder="0" applyAlignment="0" applyProtection="0"/>
    <xf numFmtId="184" fontId="81" fillId="39" borderId="0" applyNumberFormat="0" applyBorder="0" applyAlignment="0" applyProtection="0"/>
    <xf numFmtId="182" fontId="81" fillId="39" borderId="0" applyNumberFormat="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83" fontId="100" fillId="0" borderId="0" applyNumberFormat="0" applyFill="0" applyBorder="0" applyAlignment="0" applyProtection="0"/>
    <xf numFmtId="184" fontId="100" fillId="0" borderId="0" applyNumberFormat="0" applyFill="0" applyBorder="0" applyAlignment="0" applyProtection="0"/>
    <xf numFmtId="185" fontId="100" fillId="0" borderId="0" applyNumberFormat="0" applyFill="0" applyBorder="0" applyAlignment="0" applyProtection="0"/>
    <xf numFmtId="183" fontId="100" fillId="0" borderId="0" applyNumberFormat="0" applyFill="0" applyBorder="0" applyAlignment="0" applyProtection="0"/>
    <xf numFmtId="184" fontId="100" fillId="0" borderId="0" applyNumberFormat="0" applyFill="0" applyBorder="0" applyAlignment="0" applyProtection="0"/>
    <xf numFmtId="184" fontId="100" fillId="0" borderId="0" applyNumberFormat="0" applyFill="0" applyBorder="0" applyAlignment="0" applyProtection="0"/>
    <xf numFmtId="184" fontId="100" fillId="0" borderId="0" applyNumberFormat="0" applyFill="0" applyBorder="0" applyAlignment="0" applyProtection="0"/>
    <xf numFmtId="185" fontId="100" fillId="0" borderId="0" applyNumberFormat="0" applyFill="0" applyBorder="0" applyAlignment="0" applyProtection="0"/>
    <xf numFmtId="183" fontId="100" fillId="0" borderId="0" applyNumberFormat="0" applyFill="0" applyBorder="0" applyAlignment="0" applyProtection="0"/>
    <xf numFmtId="184" fontId="100" fillId="0" borderId="0" applyNumberFormat="0" applyFill="0" applyBorder="0" applyAlignment="0" applyProtection="0"/>
    <xf numFmtId="184" fontId="100" fillId="0" borderId="0" applyNumberFormat="0" applyFill="0" applyBorder="0" applyAlignment="0" applyProtection="0"/>
    <xf numFmtId="183" fontId="100" fillId="0" borderId="0" applyNumberFormat="0" applyFill="0" applyBorder="0" applyAlignment="0" applyProtection="0"/>
    <xf numFmtId="184" fontId="100" fillId="0" borderId="0" applyNumberFormat="0" applyFill="0" applyBorder="0" applyAlignment="0" applyProtection="0"/>
    <xf numFmtId="187" fontId="100" fillId="0" borderId="0" applyNumberFormat="0" applyFill="0" applyBorder="0" applyAlignment="0" applyProtection="0"/>
    <xf numFmtId="184" fontId="100" fillId="0" borderId="0" applyNumberFormat="0" applyFill="0" applyBorder="0" applyAlignment="0" applyProtection="0"/>
    <xf numFmtId="184" fontId="100" fillId="0" borderId="0" applyNumberFormat="0" applyFill="0" applyBorder="0" applyAlignment="0" applyProtection="0"/>
    <xf numFmtId="171" fontId="101" fillId="0" borderId="3" applyFont="0"/>
    <xf numFmtId="1" fontId="101" fillId="0" borderId="3"/>
    <xf numFmtId="9" fontId="102"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5" fillId="42" borderId="23" applyNumberFormat="0" applyAlignment="0" applyProtection="0"/>
    <xf numFmtId="0" fontId="103" fillId="75" borderId="31" applyNumberFormat="0" applyAlignment="0" applyProtection="0"/>
    <xf numFmtId="0" fontId="103" fillId="75" borderId="31" applyNumberFormat="0" applyAlignment="0" applyProtection="0"/>
    <xf numFmtId="0" fontId="103" fillId="75" borderId="31" applyNumberFormat="0" applyAlignment="0" applyProtection="0"/>
    <xf numFmtId="184" fontId="103" fillId="75" borderId="31" applyNumberFormat="0" applyAlignment="0" applyProtection="0"/>
    <xf numFmtId="0" fontId="104" fillId="96" borderId="32" applyNumberFormat="0" applyAlignment="0" applyProtection="0"/>
    <xf numFmtId="184" fontId="104" fillId="96" borderId="32" applyNumberFormat="0" applyAlignment="0" applyProtection="0"/>
    <xf numFmtId="184" fontId="103" fillId="75" borderId="31" applyNumberFormat="0" applyAlignment="0" applyProtection="0"/>
    <xf numFmtId="182" fontId="104" fillId="96" borderId="32" applyNumberFormat="0" applyAlignment="0" applyProtection="0"/>
    <xf numFmtId="0" fontId="85" fillId="42" borderId="23" applyNumberFormat="0" applyAlignment="0" applyProtection="0"/>
    <xf numFmtId="183" fontId="85" fillId="42" borderId="23" applyNumberFormat="0" applyAlignment="0" applyProtection="0"/>
    <xf numFmtId="184" fontId="85" fillId="42" borderId="23" applyNumberFormat="0" applyAlignment="0" applyProtection="0"/>
    <xf numFmtId="185" fontId="85" fillId="42" borderId="23" applyNumberFormat="0" applyAlignment="0" applyProtection="0"/>
    <xf numFmtId="183" fontId="85" fillId="42" borderId="23" applyNumberFormat="0" applyAlignment="0" applyProtection="0"/>
    <xf numFmtId="184" fontId="85" fillId="42" borderId="23" applyNumberFormat="0" applyAlignment="0" applyProtection="0"/>
    <xf numFmtId="184" fontId="85" fillId="42" borderId="23" applyNumberFormat="0" applyAlignment="0" applyProtection="0"/>
    <xf numFmtId="184" fontId="85" fillId="42" borderId="23" applyNumberFormat="0" applyAlignment="0" applyProtection="0"/>
    <xf numFmtId="0" fontId="105" fillId="97"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0"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0" fontId="105" fillId="97"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0"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0" fontId="104" fillId="96" borderId="32"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3" fontId="104" fillId="96" borderId="32" applyNumberFormat="0" applyAlignment="0" applyProtection="0"/>
    <xf numFmtId="183" fontId="104" fillId="96" borderId="32" applyNumberFormat="0" applyAlignment="0" applyProtection="0"/>
    <xf numFmtId="183" fontId="104" fillId="96" borderId="32" applyNumberFormat="0" applyAlignment="0" applyProtection="0"/>
    <xf numFmtId="183"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183"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183" fontId="104" fillId="96" borderId="32" applyNumberFormat="0" applyAlignment="0" applyProtection="0"/>
    <xf numFmtId="183"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183"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0"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0" fontId="104" fillId="96" borderId="32" applyNumberFormat="0" applyAlignment="0" applyProtection="0"/>
    <xf numFmtId="184" fontId="104" fillId="96" borderId="32" applyNumberFormat="0" applyAlignment="0" applyProtection="0"/>
    <xf numFmtId="184" fontId="104" fillId="96" borderId="32" applyNumberFormat="0" applyAlignment="0" applyProtection="0"/>
    <xf numFmtId="183" fontId="103" fillId="75" borderId="31" applyNumberFormat="0" applyAlignment="0" applyProtection="0"/>
    <xf numFmtId="183"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185" fontId="103" fillId="75" borderId="31" applyNumberFormat="0" applyAlignment="0" applyProtection="0"/>
    <xf numFmtId="183" fontId="103" fillId="75" borderId="31" applyNumberFormat="0" applyAlignment="0" applyProtection="0"/>
    <xf numFmtId="183"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185"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187" fontId="105" fillId="97" borderId="31" applyNumberFormat="0" applyAlignment="0" applyProtection="0"/>
    <xf numFmtId="0" fontId="103" fillId="75" borderId="31" applyNumberFormat="0" applyAlignment="0" applyProtection="0"/>
    <xf numFmtId="0"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0" fontId="103" fillId="75" borderId="31" applyNumberFormat="0" applyAlignment="0" applyProtection="0"/>
    <xf numFmtId="184" fontId="103" fillId="75" borderId="31" applyNumberFormat="0" applyAlignment="0" applyProtection="0"/>
    <xf numFmtId="187"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0" fontId="103" fillId="75"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3" fontId="85" fillId="42" borderId="23" applyNumberFormat="0" applyAlignment="0" applyProtection="0"/>
    <xf numFmtId="184" fontId="85" fillId="42" borderId="23" applyNumberFormat="0" applyAlignment="0" applyProtection="0"/>
    <xf numFmtId="185" fontId="85" fillId="42" borderId="23" applyNumberFormat="0" applyAlignment="0" applyProtection="0"/>
    <xf numFmtId="183" fontId="85" fillId="42" borderId="23" applyNumberFormat="0" applyAlignment="0" applyProtection="0"/>
    <xf numFmtId="184" fontId="85" fillId="42" borderId="23" applyNumberFormat="0" applyAlignment="0" applyProtection="0"/>
    <xf numFmtId="184" fontId="85" fillId="42" borderId="23" applyNumberFormat="0" applyAlignment="0" applyProtection="0"/>
    <xf numFmtId="184" fontId="85" fillId="42" borderId="23" applyNumberFormat="0" applyAlignment="0" applyProtection="0"/>
    <xf numFmtId="0" fontId="103" fillId="75" borderId="31" applyNumberFormat="0" applyAlignment="0" applyProtection="0"/>
    <xf numFmtId="183" fontId="85" fillId="42" borderId="23" applyNumberFormat="0" applyAlignment="0" applyProtection="0"/>
    <xf numFmtId="184" fontId="85" fillId="42" borderId="23" applyNumberFormat="0" applyAlignment="0" applyProtection="0"/>
    <xf numFmtId="185" fontId="85" fillId="42" borderId="23" applyNumberFormat="0" applyAlignment="0" applyProtection="0"/>
    <xf numFmtId="183" fontId="85" fillId="42" borderId="23" applyNumberFormat="0" applyAlignment="0" applyProtection="0"/>
    <xf numFmtId="184" fontId="85" fillId="42" borderId="23" applyNumberFormat="0" applyAlignment="0" applyProtection="0"/>
    <xf numFmtId="184" fontId="85" fillId="42" borderId="23" applyNumberFormat="0" applyAlignment="0" applyProtection="0"/>
    <xf numFmtId="184" fontId="85" fillId="42" borderId="23" applyNumberFormat="0" applyAlignment="0" applyProtection="0"/>
    <xf numFmtId="0" fontId="103" fillId="75" borderId="31" applyNumberFormat="0" applyAlignment="0" applyProtection="0"/>
    <xf numFmtId="183" fontId="103" fillId="75" borderId="31" applyNumberFormat="0" applyAlignment="0" applyProtection="0"/>
    <xf numFmtId="183"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185" fontId="103" fillId="75" borderId="31" applyNumberFormat="0" applyAlignment="0" applyProtection="0"/>
    <xf numFmtId="183" fontId="103" fillId="75" borderId="31" applyNumberFormat="0" applyAlignment="0" applyProtection="0"/>
    <xf numFmtId="183"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185"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0" fontId="103" fillId="75" borderId="31" applyNumberFormat="0" applyAlignment="0" applyProtection="0"/>
    <xf numFmtId="184" fontId="103" fillId="75" borderId="31" applyNumberFormat="0" applyAlignment="0" applyProtection="0"/>
    <xf numFmtId="184" fontId="103" fillId="75" borderId="31" applyNumberFormat="0" applyAlignment="0" applyProtection="0"/>
    <xf numFmtId="185" fontId="105" fillId="97" borderId="31" applyNumberFormat="0" applyAlignment="0" applyProtection="0"/>
    <xf numFmtId="183" fontId="105" fillId="97" borderId="31" applyNumberFormat="0" applyAlignment="0" applyProtection="0"/>
    <xf numFmtId="183"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185" fontId="105" fillId="97" borderId="31" applyNumberFormat="0" applyAlignment="0" applyProtection="0"/>
    <xf numFmtId="184" fontId="105" fillId="97" borderId="31" applyNumberFormat="0" applyAlignment="0" applyProtection="0"/>
    <xf numFmtId="184" fontId="105" fillId="97" borderId="31" applyNumberFormat="0" applyAlignment="0" applyProtection="0"/>
    <xf numFmtId="0" fontId="85" fillId="42" borderId="23" applyNumberFormat="0" applyAlignment="0" applyProtection="0"/>
    <xf numFmtId="184" fontId="85" fillId="42" borderId="23" applyNumberFormat="0" applyAlignment="0" applyProtection="0"/>
    <xf numFmtId="0" fontId="104" fillId="96" borderId="32" applyNumberFormat="0" applyAlignment="0" applyProtection="0"/>
    <xf numFmtId="184" fontId="104" fillId="96" borderId="32" applyNumberFormat="0" applyAlignment="0" applyProtection="0"/>
    <xf numFmtId="184" fontId="85" fillId="42" borderId="23" applyNumberFormat="0" applyAlignment="0" applyProtection="0"/>
    <xf numFmtId="0" fontId="106" fillId="0" borderId="0" applyNumberFormat="0" applyFont="0" applyFill="0" applyBorder="0" applyProtection="0">
      <alignment horizontal="centerContinuous"/>
    </xf>
    <xf numFmtId="183" fontId="106" fillId="0" borderId="0" applyNumberFormat="0" applyFont="0" applyFill="0" applyBorder="0" applyProtection="0">
      <alignment horizontal="centerContinuous"/>
    </xf>
    <xf numFmtId="184" fontId="106" fillId="0" borderId="0" applyNumberFormat="0" applyFont="0" applyFill="0" applyBorder="0" applyProtection="0">
      <alignment horizontal="centerContinuous"/>
    </xf>
    <xf numFmtId="185" fontId="106" fillId="0" borderId="0" applyNumberFormat="0" applyFont="0" applyFill="0" applyBorder="0" applyProtection="0">
      <alignment horizontal="centerContinuous"/>
    </xf>
    <xf numFmtId="183" fontId="106" fillId="0" borderId="0" applyNumberFormat="0" applyFont="0" applyFill="0" applyBorder="0" applyProtection="0">
      <alignment horizontal="centerContinuous"/>
    </xf>
    <xf numFmtId="184" fontId="106" fillId="0" borderId="0" applyNumberFormat="0" applyFont="0" applyFill="0" applyBorder="0" applyProtection="0">
      <alignment horizontal="centerContinuous"/>
    </xf>
    <xf numFmtId="184" fontId="106" fillId="0" borderId="0" applyNumberFormat="0" applyFont="0" applyFill="0" applyBorder="0" applyProtection="0">
      <alignment horizontal="centerContinuous"/>
    </xf>
    <xf numFmtId="184" fontId="106" fillId="0" borderId="0" applyNumberFormat="0" applyFont="0" applyFill="0" applyBorder="0" applyProtection="0">
      <alignment horizontal="centerContinuous"/>
    </xf>
    <xf numFmtId="190" fontId="106" fillId="0" borderId="0" applyNumberFormat="0" applyFont="0" applyFill="0" applyBorder="0" applyProtection="0">
      <alignment horizontal="centerContinuous" wrapText="1"/>
    </xf>
    <xf numFmtId="191" fontId="21" fillId="0" borderId="0"/>
    <xf numFmtId="0" fontId="107" fillId="98" borderId="33" applyNumberFormat="0" applyAlignment="0" applyProtection="0"/>
    <xf numFmtId="0" fontId="107" fillId="98" borderId="33" applyNumberFormat="0" applyAlignment="0" applyProtection="0"/>
    <xf numFmtId="184" fontId="107" fillId="98" borderId="33" applyNumberFormat="0" applyAlignment="0" applyProtection="0"/>
    <xf numFmtId="184" fontId="107" fillId="98" borderId="33" applyNumberFormat="0" applyAlignment="0" applyProtection="0"/>
    <xf numFmtId="182" fontId="107" fillId="90" borderId="33" applyNumberFormat="0" applyAlignment="0" applyProtection="0"/>
    <xf numFmtId="0" fontId="87" fillId="43" borderId="26" applyNumberFormat="0" applyAlignment="0" applyProtection="0"/>
    <xf numFmtId="183" fontId="87" fillId="43" borderId="26" applyNumberFormat="0" applyAlignment="0" applyProtection="0"/>
    <xf numFmtId="184" fontId="87" fillId="43" borderId="26" applyNumberFormat="0" applyAlignment="0" applyProtection="0"/>
    <xf numFmtId="185" fontId="87" fillId="43" borderId="26" applyNumberFormat="0" applyAlignment="0" applyProtection="0"/>
    <xf numFmtId="183"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0" fontId="107" fillId="14" borderId="33" applyNumberFormat="0" applyAlignment="0" applyProtection="0"/>
    <xf numFmtId="183" fontId="107" fillId="14" borderId="33" applyNumberFormat="0" applyAlignment="0" applyProtection="0"/>
    <xf numFmtId="184" fontId="107" fillId="14" borderId="33" applyNumberFormat="0" applyAlignment="0" applyProtection="0"/>
    <xf numFmtId="185" fontId="107" fillId="14" borderId="33" applyNumberFormat="0" applyAlignment="0" applyProtection="0"/>
    <xf numFmtId="183" fontId="107" fillId="14" borderId="33" applyNumberFormat="0" applyAlignment="0" applyProtection="0"/>
    <xf numFmtId="184" fontId="107" fillId="14" borderId="33" applyNumberFormat="0" applyAlignment="0" applyProtection="0"/>
    <xf numFmtId="184" fontId="107" fillId="14" borderId="33" applyNumberFormat="0" applyAlignment="0" applyProtection="0"/>
    <xf numFmtId="184" fontId="107" fillId="14" borderId="33" applyNumberFormat="0" applyAlignment="0" applyProtection="0"/>
    <xf numFmtId="185" fontId="107" fillId="14" borderId="33" applyNumberFormat="0" applyAlignment="0" applyProtection="0"/>
    <xf numFmtId="183" fontId="107" fillId="14" borderId="33" applyNumberFormat="0" applyAlignment="0" applyProtection="0"/>
    <xf numFmtId="184" fontId="107" fillId="14" borderId="33" applyNumberFormat="0" applyAlignment="0" applyProtection="0"/>
    <xf numFmtId="184" fontId="107" fillId="14" borderId="33" applyNumberFormat="0" applyAlignment="0" applyProtection="0"/>
    <xf numFmtId="0" fontId="107" fillId="14" borderId="33" applyNumberFormat="0" applyAlignment="0" applyProtection="0"/>
    <xf numFmtId="183" fontId="107" fillId="14" borderId="33" applyNumberFormat="0" applyAlignment="0" applyProtection="0"/>
    <xf numFmtId="184" fontId="107" fillId="14" borderId="33" applyNumberFormat="0" applyAlignment="0" applyProtection="0"/>
    <xf numFmtId="185" fontId="107" fillId="14" borderId="33" applyNumberFormat="0" applyAlignment="0" applyProtection="0"/>
    <xf numFmtId="183" fontId="107" fillId="14" borderId="33" applyNumberFormat="0" applyAlignment="0" applyProtection="0"/>
    <xf numFmtId="184" fontId="107" fillId="14" borderId="33" applyNumberFormat="0" applyAlignment="0" applyProtection="0"/>
    <xf numFmtId="184" fontId="107" fillId="14" borderId="33" applyNumberFormat="0" applyAlignment="0" applyProtection="0"/>
    <xf numFmtId="184" fontId="107" fillId="14" borderId="33" applyNumberFormat="0" applyAlignment="0" applyProtection="0"/>
    <xf numFmtId="0" fontId="107" fillId="90" borderId="33" applyNumberFormat="0" applyAlignment="0" applyProtection="0"/>
    <xf numFmtId="183" fontId="107" fillId="14" borderId="33" applyNumberFormat="0" applyAlignment="0" applyProtection="0"/>
    <xf numFmtId="184" fontId="107" fillId="14" borderId="33" applyNumberFormat="0" applyAlignment="0" applyProtection="0"/>
    <xf numFmtId="183" fontId="107" fillId="90" borderId="33" applyNumberFormat="0" applyAlignment="0" applyProtection="0"/>
    <xf numFmtId="184" fontId="107" fillId="90" borderId="33" applyNumberFormat="0" applyAlignment="0" applyProtection="0"/>
    <xf numFmtId="184" fontId="107" fillId="90" borderId="33" applyNumberFormat="0" applyAlignment="0" applyProtection="0"/>
    <xf numFmtId="183" fontId="107" fillId="98" borderId="33" applyNumberFormat="0" applyAlignment="0" applyProtection="0"/>
    <xf numFmtId="184" fontId="107" fillId="98" borderId="33" applyNumberFormat="0" applyAlignment="0" applyProtection="0"/>
    <xf numFmtId="185" fontId="107" fillId="98" borderId="33" applyNumberFormat="0" applyAlignment="0" applyProtection="0"/>
    <xf numFmtId="183" fontId="107" fillId="98" borderId="33" applyNumberFormat="0" applyAlignment="0" applyProtection="0"/>
    <xf numFmtId="184" fontId="107" fillId="98" borderId="33" applyNumberFormat="0" applyAlignment="0" applyProtection="0"/>
    <xf numFmtId="184" fontId="107" fillId="98" borderId="33" applyNumberFormat="0" applyAlignment="0" applyProtection="0"/>
    <xf numFmtId="187" fontId="107" fillId="14" borderId="33" applyNumberFormat="0" applyAlignment="0" applyProtection="0"/>
    <xf numFmtId="0" fontId="107" fillId="98" borderId="33" applyNumberFormat="0" applyAlignment="0" applyProtection="0"/>
    <xf numFmtId="184" fontId="107" fillId="98" borderId="33" applyNumberFormat="0" applyAlignment="0" applyProtection="0"/>
    <xf numFmtId="184" fontId="107" fillId="14" borderId="33" applyNumberFormat="0" applyAlignment="0" applyProtection="0"/>
    <xf numFmtId="0" fontId="107" fillId="98" borderId="33" applyNumberFormat="0" applyAlignment="0" applyProtection="0"/>
    <xf numFmtId="183" fontId="107" fillId="14" borderId="33" applyNumberFormat="0" applyAlignment="0" applyProtection="0"/>
    <xf numFmtId="184" fontId="107" fillId="14" borderId="33" applyNumberFormat="0" applyAlignment="0" applyProtection="0"/>
    <xf numFmtId="183" fontId="87" fillId="43" borderId="26" applyNumberFormat="0" applyAlignment="0" applyProtection="0"/>
    <xf numFmtId="184" fontId="87" fillId="43" borderId="26" applyNumberFormat="0" applyAlignment="0" applyProtection="0"/>
    <xf numFmtId="185" fontId="87" fillId="43" borderId="26" applyNumberFormat="0" applyAlignment="0" applyProtection="0"/>
    <xf numFmtId="183"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0" fontId="107" fillId="98" borderId="33" applyNumberFormat="0" applyAlignment="0" applyProtection="0"/>
    <xf numFmtId="183" fontId="87" fillId="43" borderId="26" applyNumberFormat="0" applyAlignment="0" applyProtection="0"/>
    <xf numFmtId="184" fontId="87" fillId="43" borderId="26" applyNumberFormat="0" applyAlignment="0" applyProtection="0"/>
    <xf numFmtId="185" fontId="87" fillId="43" borderId="26" applyNumberFormat="0" applyAlignment="0" applyProtection="0"/>
    <xf numFmtId="183"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0" fontId="107" fillId="98" borderId="33" applyNumberFormat="0" applyAlignment="0" applyProtection="0"/>
    <xf numFmtId="183" fontId="107" fillId="98" borderId="33" applyNumberFormat="0" applyAlignment="0" applyProtection="0"/>
    <xf numFmtId="184" fontId="107" fillId="98" borderId="33" applyNumberFormat="0" applyAlignment="0" applyProtection="0"/>
    <xf numFmtId="185" fontId="107" fillId="98" borderId="33" applyNumberFormat="0" applyAlignment="0" applyProtection="0"/>
    <xf numFmtId="183" fontId="107" fillId="98" borderId="33" applyNumberFormat="0" applyAlignment="0" applyProtection="0"/>
    <xf numFmtId="184" fontId="107" fillId="98" borderId="33" applyNumberFormat="0" applyAlignment="0" applyProtection="0"/>
    <xf numFmtId="184" fontId="107" fillId="98" borderId="33" applyNumberFormat="0" applyAlignment="0" applyProtection="0"/>
    <xf numFmtId="184" fontId="107" fillId="98" borderId="33" applyNumberFormat="0" applyAlignment="0" applyProtection="0"/>
    <xf numFmtId="185" fontId="107" fillId="14" borderId="33" applyNumberFormat="0" applyAlignment="0" applyProtection="0"/>
    <xf numFmtId="183" fontId="107" fillId="14" borderId="33" applyNumberFormat="0" applyAlignment="0" applyProtection="0"/>
    <xf numFmtId="184" fontId="107" fillId="14" borderId="33" applyNumberFormat="0" applyAlignment="0" applyProtection="0"/>
    <xf numFmtId="184" fontId="107" fillId="14" borderId="33" applyNumberFormat="0" applyAlignment="0" applyProtection="0"/>
    <xf numFmtId="0" fontId="87" fillId="43" borderId="26" applyNumberFormat="0" applyAlignment="0" applyProtection="0"/>
    <xf numFmtId="184" fontId="87" fillId="43" borderId="26" applyNumberFormat="0" applyAlignment="0" applyProtection="0"/>
    <xf numFmtId="184" fontId="87" fillId="43" borderId="26" applyNumberFormat="0" applyAlignment="0" applyProtection="0"/>
    <xf numFmtId="182" fontId="87"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8" fillId="0" borderId="0" applyNumberFormat="0" applyAlignment="0">
      <alignment horizontal="left"/>
    </xf>
    <xf numFmtId="0" fontId="108" fillId="0" borderId="0" applyNumberFormat="0" applyAlignment="0">
      <alignment horizontal="left"/>
    </xf>
    <xf numFmtId="183" fontId="108" fillId="0" borderId="0" applyNumberFormat="0" applyAlignment="0">
      <alignment horizontal="left"/>
    </xf>
    <xf numFmtId="184" fontId="108" fillId="0" borderId="0" applyNumberFormat="0" applyAlignment="0">
      <alignment horizontal="left"/>
    </xf>
    <xf numFmtId="185" fontId="108" fillId="0" borderId="0" applyNumberFormat="0" applyAlignment="0">
      <alignment horizontal="left"/>
    </xf>
    <xf numFmtId="183" fontId="108" fillId="0" borderId="0" applyNumberFormat="0" applyAlignment="0">
      <alignment horizontal="left"/>
    </xf>
    <xf numFmtId="184" fontId="108" fillId="0" borderId="0" applyNumberFormat="0" applyAlignment="0">
      <alignment horizontal="left"/>
    </xf>
    <xf numFmtId="184" fontId="108" fillId="0" borderId="0" applyNumberFormat="0" applyAlignment="0">
      <alignment horizontal="left"/>
    </xf>
    <xf numFmtId="184" fontId="108" fillId="0" borderId="0" applyNumberFormat="0" applyAlignment="0">
      <alignment horizontal="left"/>
    </xf>
    <xf numFmtId="185" fontId="108" fillId="0" borderId="0" applyNumberFormat="0" applyAlignment="0">
      <alignment horizontal="left"/>
    </xf>
    <xf numFmtId="183" fontId="108" fillId="0" borderId="0" applyNumberFormat="0" applyAlignment="0">
      <alignment horizontal="left"/>
    </xf>
    <xf numFmtId="184" fontId="108" fillId="0" borderId="0" applyNumberFormat="0" applyAlignment="0">
      <alignment horizontal="left"/>
    </xf>
    <xf numFmtId="184" fontId="108" fillId="0" borderId="0" applyNumberFormat="0" applyAlignment="0">
      <alignment horizontal="left"/>
    </xf>
    <xf numFmtId="185" fontId="108" fillId="0" borderId="0" applyNumberFormat="0" applyAlignment="0">
      <alignment horizontal="left"/>
    </xf>
    <xf numFmtId="183" fontId="108" fillId="0" borderId="0" applyNumberFormat="0" applyAlignment="0">
      <alignment horizontal="left"/>
    </xf>
    <xf numFmtId="184" fontId="108" fillId="0" borderId="0" applyNumberFormat="0" applyAlignment="0">
      <alignment horizontal="left"/>
    </xf>
    <xf numFmtId="184" fontId="108" fillId="0" borderId="0" applyNumberFormat="0" applyAlignment="0">
      <alignment horizontal="left"/>
    </xf>
    <xf numFmtId="183" fontId="108" fillId="0" borderId="0" applyNumberFormat="0" applyAlignment="0">
      <alignment horizontal="left"/>
    </xf>
    <xf numFmtId="184" fontId="108" fillId="0" borderId="0" applyNumberFormat="0" applyAlignment="0">
      <alignment horizontal="left"/>
    </xf>
    <xf numFmtId="187" fontId="108" fillId="0" borderId="0" applyNumberFormat="0" applyAlignment="0">
      <alignment horizontal="left"/>
    </xf>
    <xf numFmtId="184" fontId="108" fillId="0" borderId="0" applyNumberFormat="0" applyAlignment="0">
      <alignment horizontal="left"/>
    </xf>
    <xf numFmtId="184" fontId="108" fillId="0" borderId="0" applyNumberFormat="0" applyAlignment="0">
      <alignment horizontal="left"/>
    </xf>
    <xf numFmtId="192" fontId="101"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9" fillId="0" borderId="0" applyFont="0" applyFill="0" applyBorder="0" applyAlignment="0" applyProtection="0"/>
    <xf numFmtId="6" fontId="110" fillId="0" borderId="0">
      <protection locked="0"/>
    </xf>
    <xf numFmtId="14" fontId="21" fillId="0" borderId="0" applyFont="0" applyFill="0" applyBorder="0" applyAlignment="0" applyProtection="0"/>
    <xf numFmtId="14" fontId="21" fillId="0" borderId="0" applyFont="0" applyFill="0" applyBorder="0" applyAlignment="0" applyProtection="0"/>
    <xf numFmtId="6" fontId="111" fillId="0" borderId="0">
      <protection locked="0"/>
    </xf>
    <xf numFmtId="4" fontId="112"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3" fillId="0" borderId="0" applyNumberFormat="0" applyAlignment="0">
      <alignment horizontal="left"/>
    </xf>
    <xf numFmtId="0" fontId="113" fillId="0" borderId="0" applyNumberFormat="0" applyAlignment="0">
      <alignment horizontal="left"/>
    </xf>
    <xf numFmtId="183" fontId="113" fillId="0" borderId="0" applyNumberFormat="0" applyAlignment="0">
      <alignment horizontal="left"/>
    </xf>
    <xf numFmtId="184" fontId="113" fillId="0" borderId="0" applyNumberFormat="0" applyAlignment="0">
      <alignment horizontal="left"/>
    </xf>
    <xf numFmtId="185" fontId="113" fillId="0" borderId="0" applyNumberFormat="0" applyAlignment="0">
      <alignment horizontal="left"/>
    </xf>
    <xf numFmtId="183" fontId="113" fillId="0" borderId="0" applyNumberFormat="0" applyAlignment="0">
      <alignment horizontal="left"/>
    </xf>
    <xf numFmtId="184" fontId="113" fillId="0" borderId="0" applyNumberFormat="0" applyAlignment="0">
      <alignment horizontal="left"/>
    </xf>
    <xf numFmtId="184" fontId="113" fillId="0" borderId="0" applyNumberFormat="0" applyAlignment="0">
      <alignment horizontal="left"/>
    </xf>
    <xf numFmtId="184" fontId="113" fillId="0" borderId="0" applyNumberFormat="0" applyAlignment="0">
      <alignment horizontal="left"/>
    </xf>
    <xf numFmtId="185" fontId="113" fillId="0" borderId="0" applyNumberFormat="0" applyAlignment="0">
      <alignment horizontal="left"/>
    </xf>
    <xf numFmtId="183" fontId="113" fillId="0" borderId="0" applyNumberFormat="0" applyAlignment="0">
      <alignment horizontal="left"/>
    </xf>
    <xf numFmtId="184" fontId="113" fillId="0" borderId="0" applyNumberFormat="0" applyAlignment="0">
      <alignment horizontal="left"/>
    </xf>
    <xf numFmtId="184" fontId="113" fillId="0" borderId="0" applyNumberFormat="0" applyAlignment="0">
      <alignment horizontal="left"/>
    </xf>
    <xf numFmtId="185" fontId="113" fillId="0" borderId="0" applyNumberFormat="0" applyAlignment="0">
      <alignment horizontal="left"/>
    </xf>
    <xf numFmtId="183" fontId="113" fillId="0" borderId="0" applyNumberFormat="0" applyAlignment="0">
      <alignment horizontal="left"/>
    </xf>
    <xf numFmtId="184" fontId="113" fillId="0" borderId="0" applyNumberFormat="0" applyAlignment="0">
      <alignment horizontal="left"/>
    </xf>
    <xf numFmtId="184" fontId="113" fillId="0" borderId="0" applyNumberFormat="0" applyAlignment="0">
      <alignment horizontal="left"/>
    </xf>
    <xf numFmtId="183" fontId="113" fillId="0" borderId="0" applyNumberFormat="0" applyAlignment="0">
      <alignment horizontal="left"/>
    </xf>
    <xf numFmtId="184" fontId="113" fillId="0" borderId="0" applyNumberFormat="0" applyAlignment="0">
      <alignment horizontal="left"/>
    </xf>
    <xf numFmtId="187" fontId="113" fillId="0" borderId="0" applyNumberFormat="0" applyAlignment="0">
      <alignment horizontal="left"/>
    </xf>
    <xf numFmtId="184" fontId="113" fillId="0" borderId="0" applyNumberFormat="0" applyAlignment="0">
      <alignment horizontal="left"/>
    </xf>
    <xf numFmtId="184" fontId="113"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4" fillId="0" borderId="0" applyNumberFormat="0" applyFill="0" applyBorder="0" applyAlignment="0" applyProtection="0"/>
    <xf numFmtId="184" fontId="114" fillId="0" borderId="0" applyNumberFormat="0" applyFill="0" applyBorder="0" applyAlignment="0" applyProtection="0"/>
    <xf numFmtId="0" fontId="89" fillId="0" borderId="0" applyNumberFormat="0" applyFill="0" applyBorder="0" applyAlignment="0" applyProtection="0"/>
    <xf numFmtId="183" fontId="89" fillId="0" borderId="0" applyNumberFormat="0" applyFill="0" applyBorder="0" applyAlignment="0" applyProtection="0"/>
    <xf numFmtId="184" fontId="89" fillId="0" borderId="0" applyNumberFormat="0" applyFill="0" applyBorder="0" applyAlignment="0" applyProtection="0"/>
    <xf numFmtId="185" fontId="89" fillId="0" borderId="0" applyNumberFormat="0" applyFill="0" applyBorder="0" applyAlignment="0" applyProtection="0"/>
    <xf numFmtId="183" fontId="89" fillId="0" borderId="0" applyNumberFormat="0" applyFill="0" applyBorder="0" applyAlignment="0" applyProtection="0"/>
    <xf numFmtId="184" fontId="89" fillId="0" borderId="0" applyNumberFormat="0" applyFill="0" applyBorder="0" applyAlignment="0" applyProtection="0"/>
    <xf numFmtId="184" fontId="89" fillId="0" borderId="0" applyNumberFormat="0" applyFill="0" applyBorder="0" applyAlignment="0" applyProtection="0"/>
    <xf numFmtId="184" fontId="89"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7" fontId="115" fillId="0" borderId="0" applyNumberFormat="0" applyFill="0" applyBorder="0" applyAlignment="0" applyProtection="0"/>
    <xf numFmtId="0" fontId="114" fillId="0" borderId="0" applyNumberFormat="0" applyFill="0" applyBorder="0" applyAlignment="0" applyProtection="0"/>
    <xf numFmtId="184" fontId="114" fillId="0" borderId="0" applyNumberFormat="0" applyFill="0" applyBorder="0" applyAlignment="0" applyProtection="0"/>
    <xf numFmtId="184" fontId="115" fillId="0" borderId="0" applyNumberFormat="0" applyFill="0" applyBorder="0" applyAlignment="0" applyProtection="0"/>
    <xf numFmtId="0" fontId="114"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3" fontId="89" fillId="0" borderId="0" applyNumberFormat="0" applyFill="0" applyBorder="0" applyAlignment="0" applyProtection="0"/>
    <xf numFmtId="184" fontId="89" fillId="0" borderId="0" applyNumberFormat="0" applyFill="0" applyBorder="0" applyAlignment="0" applyProtection="0"/>
    <xf numFmtId="185" fontId="89" fillId="0" borderId="0" applyNumberFormat="0" applyFill="0" applyBorder="0" applyAlignment="0" applyProtection="0"/>
    <xf numFmtId="183" fontId="89" fillId="0" borderId="0" applyNumberFormat="0" applyFill="0" applyBorder="0" applyAlignment="0" applyProtection="0"/>
    <xf numFmtId="184" fontId="89" fillId="0" borderId="0" applyNumberFormat="0" applyFill="0" applyBorder="0" applyAlignment="0" applyProtection="0"/>
    <xf numFmtId="184" fontId="89" fillId="0" borderId="0" applyNumberFormat="0" applyFill="0" applyBorder="0" applyAlignment="0" applyProtection="0"/>
    <xf numFmtId="184" fontId="89" fillId="0" borderId="0" applyNumberFormat="0" applyFill="0" applyBorder="0" applyAlignment="0" applyProtection="0"/>
    <xf numFmtId="0" fontId="114" fillId="0" borderId="0" applyNumberFormat="0" applyFill="0" applyBorder="0" applyAlignment="0" applyProtection="0"/>
    <xf numFmtId="183" fontId="89" fillId="0" borderId="0" applyNumberFormat="0" applyFill="0" applyBorder="0" applyAlignment="0" applyProtection="0"/>
    <xf numFmtId="184" fontId="89" fillId="0" borderId="0" applyNumberFormat="0" applyFill="0" applyBorder="0" applyAlignment="0" applyProtection="0"/>
    <xf numFmtId="185" fontId="89" fillId="0" borderId="0" applyNumberFormat="0" applyFill="0" applyBorder="0" applyAlignment="0" applyProtection="0"/>
    <xf numFmtId="183" fontId="89" fillId="0" borderId="0" applyNumberFormat="0" applyFill="0" applyBorder="0" applyAlignment="0" applyProtection="0"/>
    <xf numFmtId="184" fontId="89" fillId="0" borderId="0" applyNumberFormat="0" applyFill="0" applyBorder="0" applyAlignment="0" applyProtection="0"/>
    <xf numFmtId="184" fontId="89" fillId="0" borderId="0" applyNumberFormat="0" applyFill="0" applyBorder="0" applyAlignment="0" applyProtection="0"/>
    <xf numFmtId="184" fontId="89"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89" fillId="0" borderId="0" applyNumberFormat="0" applyFill="0" applyBorder="0" applyAlignment="0" applyProtection="0"/>
    <xf numFmtId="182" fontId="89"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2"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6" fillId="71" borderId="0" applyNumberFormat="0" applyBorder="0" applyAlignment="0" applyProtection="0"/>
    <xf numFmtId="0" fontId="116" fillId="71" borderId="0" applyNumberFormat="0" applyBorder="0" applyAlignment="0" applyProtection="0"/>
    <xf numFmtId="184" fontId="116" fillId="71" borderId="0" applyNumberFormat="0" applyBorder="0" applyAlignment="0" applyProtection="0"/>
    <xf numFmtId="184" fontId="116" fillId="71" borderId="0" applyNumberFormat="0" applyBorder="0" applyAlignment="0" applyProtection="0"/>
    <xf numFmtId="182" fontId="38" fillId="86" borderId="0" applyNumberFormat="0" applyBorder="0" applyAlignment="0" applyProtection="0"/>
    <xf numFmtId="0" fontId="80" fillId="38" borderId="0" applyNumberFormat="0" applyBorder="0" applyAlignment="0" applyProtection="0"/>
    <xf numFmtId="183" fontId="80" fillId="38" borderId="0" applyNumberFormat="0" applyBorder="0" applyAlignment="0" applyProtection="0"/>
    <xf numFmtId="184" fontId="80" fillId="38" borderId="0" applyNumberFormat="0" applyBorder="0" applyAlignment="0" applyProtection="0"/>
    <xf numFmtId="185" fontId="80" fillId="38" borderId="0" applyNumberFormat="0" applyBorder="0" applyAlignment="0" applyProtection="0"/>
    <xf numFmtId="183" fontId="80" fillId="38" borderId="0" applyNumberFormat="0" applyBorder="0" applyAlignment="0" applyProtection="0"/>
    <xf numFmtId="184" fontId="80" fillId="38" borderId="0" applyNumberFormat="0" applyBorder="0" applyAlignment="0" applyProtection="0"/>
    <xf numFmtId="184" fontId="80" fillId="38" borderId="0" applyNumberFormat="0" applyBorder="0" applyAlignment="0" applyProtection="0"/>
    <xf numFmtId="187" fontId="116" fillId="101" borderId="0" applyNumberFormat="0" applyBorder="0" applyAlignment="0" applyProtection="0"/>
    <xf numFmtId="184" fontId="116" fillId="101" borderId="0" applyNumberFormat="0" applyBorder="0" applyAlignment="0" applyProtection="0"/>
    <xf numFmtId="184" fontId="80" fillId="38" borderId="0" applyNumberFormat="0" applyBorder="0" applyAlignment="0" applyProtection="0"/>
    <xf numFmtId="0" fontId="116" fillId="10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5" fontId="116" fillId="10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4" fontId="116" fillId="101" borderId="0" applyNumberFormat="0" applyBorder="0" applyAlignment="0" applyProtection="0"/>
    <xf numFmtId="184" fontId="116" fillId="101" borderId="0" applyNumberFormat="0" applyBorder="0" applyAlignment="0" applyProtection="0"/>
    <xf numFmtId="185" fontId="116" fillId="10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4" fontId="116" fillId="101" borderId="0" applyNumberFormat="0" applyBorder="0" applyAlignment="0" applyProtection="0"/>
    <xf numFmtId="0" fontId="116" fillId="10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5" fontId="116" fillId="10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4" fontId="116" fillId="101" borderId="0" applyNumberFormat="0" applyBorder="0" applyAlignment="0" applyProtection="0"/>
    <xf numFmtId="184" fontId="116" fillId="101" borderId="0" applyNumberFormat="0" applyBorder="0" applyAlignment="0" applyProtection="0"/>
    <xf numFmtId="0" fontId="38" fillId="86"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6" fillId="71" borderId="0" applyNumberFormat="0" applyBorder="0" applyAlignment="0" applyProtection="0"/>
    <xf numFmtId="184" fontId="116" fillId="71" borderId="0" applyNumberFormat="0" applyBorder="0" applyAlignment="0" applyProtection="0"/>
    <xf numFmtId="185" fontId="116" fillId="71" borderId="0" applyNumberFormat="0" applyBorder="0" applyAlignment="0" applyProtection="0"/>
    <xf numFmtId="183" fontId="116" fillId="71" borderId="0" applyNumberFormat="0" applyBorder="0" applyAlignment="0" applyProtection="0"/>
    <xf numFmtId="184" fontId="116" fillId="71" borderId="0" applyNumberFormat="0" applyBorder="0" applyAlignment="0" applyProtection="0"/>
    <xf numFmtId="184" fontId="116" fillId="71" borderId="0" applyNumberFormat="0" applyBorder="0" applyAlignment="0" applyProtection="0"/>
    <xf numFmtId="187" fontId="116" fillId="101" borderId="0" applyNumberFormat="0" applyBorder="0" applyAlignment="0" applyProtection="0"/>
    <xf numFmtId="0" fontId="116" fillId="71" borderId="0" applyNumberFormat="0" applyBorder="0" applyAlignment="0" applyProtection="0"/>
    <xf numFmtId="184" fontId="116" fillId="71" borderId="0" applyNumberFormat="0" applyBorder="0" applyAlignment="0" applyProtection="0"/>
    <xf numFmtId="184" fontId="116" fillId="101" borderId="0" applyNumberFormat="0" applyBorder="0" applyAlignment="0" applyProtection="0"/>
    <xf numFmtId="0" fontId="116" fillId="7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3" fontId="80" fillId="38" borderId="0" applyNumberFormat="0" applyBorder="0" applyAlignment="0" applyProtection="0"/>
    <xf numFmtId="184" fontId="80" fillId="38" borderId="0" applyNumberFormat="0" applyBorder="0" applyAlignment="0" applyProtection="0"/>
    <xf numFmtId="185" fontId="80" fillId="38" borderId="0" applyNumberFormat="0" applyBorder="0" applyAlignment="0" applyProtection="0"/>
    <xf numFmtId="183" fontId="80" fillId="38" borderId="0" applyNumberFormat="0" applyBorder="0" applyAlignment="0" applyProtection="0"/>
    <xf numFmtId="184" fontId="80" fillId="38" borderId="0" applyNumberFormat="0" applyBorder="0" applyAlignment="0" applyProtection="0"/>
    <xf numFmtId="184" fontId="80" fillId="38" borderId="0" applyNumberFormat="0" applyBorder="0" applyAlignment="0" applyProtection="0"/>
    <xf numFmtId="184" fontId="80" fillId="38" borderId="0" applyNumberFormat="0" applyBorder="0" applyAlignment="0" applyProtection="0"/>
    <xf numFmtId="0" fontId="116" fillId="71" borderId="0" applyNumberFormat="0" applyBorder="0" applyAlignment="0" applyProtection="0"/>
    <xf numFmtId="183" fontId="80" fillId="38" borderId="0" applyNumberFormat="0" applyBorder="0" applyAlignment="0" applyProtection="0"/>
    <xf numFmtId="184" fontId="80" fillId="38" borderId="0" applyNumberFormat="0" applyBorder="0" applyAlignment="0" applyProtection="0"/>
    <xf numFmtId="185" fontId="80" fillId="38" borderId="0" applyNumberFormat="0" applyBorder="0" applyAlignment="0" applyProtection="0"/>
    <xf numFmtId="183" fontId="80" fillId="38" borderId="0" applyNumberFormat="0" applyBorder="0" applyAlignment="0" applyProtection="0"/>
    <xf numFmtId="184" fontId="80" fillId="38" borderId="0" applyNumberFormat="0" applyBorder="0" applyAlignment="0" applyProtection="0"/>
    <xf numFmtId="184" fontId="80" fillId="38" borderId="0" applyNumberFormat="0" applyBorder="0" applyAlignment="0" applyProtection="0"/>
    <xf numFmtId="184" fontId="80" fillId="38" borderId="0" applyNumberFormat="0" applyBorder="0" applyAlignment="0" applyProtection="0"/>
    <xf numFmtId="0" fontId="116" fillId="71" borderId="0" applyNumberFormat="0" applyBorder="0" applyAlignment="0" applyProtection="0"/>
    <xf numFmtId="183" fontId="116" fillId="71" borderId="0" applyNumberFormat="0" applyBorder="0" applyAlignment="0" applyProtection="0"/>
    <xf numFmtId="184" fontId="116" fillId="71" borderId="0" applyNumberFormat="0" applyBorder="0" applyAlignment="0" applyProtection="0"/>
    <xf numFmtId="185" fontId="116" fillId="71" borderId="0" applyNumberFormat="0" applyBorder="0" applyAlignment="0" applyProtection="0"/>
    <xf numFmtId="183" fontId="116" fillId="71" borderId="0" applyNumberFormat="0" applyBorder="0" applyAlignment="0" applyProtection="0"/>
    <xf numFmtId="184" fontId="116" fillId="71" borderId="0" applyNumberFormat="0" applyBorder="0" applyAlignment="0" applyProtection="0"/>
    <xf numFmtId="184" fontId="116" fillId="71" borderId="0" applyNumberFormat="0" applyBorder="0" applyAlignment="0" applyProtection="0"/>
    <xf numFmtId="184" fontId="116" fillId="71" borderId="0" applyNumberFormat="0" applyBorder="0" applyAlignment="0" applyProtection="0"/>
    <xf numFmtId="185" fontId="116" fillId="101" borderId="0" applyNumberFormat="0" applyBorder="0" applyAlignment="0" applyProtection="0"/>
    <xf numFmtId="183" fontId="116" fillId="101" borderId="0" applyNumberFormat="0" applyBorder="0" applyAlignment="0" applyProtection="0"/>
    <xf numFmtId="184" fontId="116" fillId="101" borderId="0" applyNumberFormat="0" applyBorder="0" applyAlignment="0" applyProtection="0"/>
    <xf numFmtId="184" fontId="116" fillId="101" borderId="0" applyNumberFormat="0" applyBorder="0" applyAlignment="0" applyProtection="0"/>
    <xf numFmtId="0" fontId="80" fillId="38" borderId="0" applyNumberFormat="0" applyBorder="0" applyAlignment="0" applyProtection="0"/>
    <xf numFmtId="184" fontId="80" fillId="38" borderId="0" applyNumberFormat="0" applyBorder="0" applyAlignment="0" applyProtection="0"/>
    <xf numFmtId="184" fontId="80" fillId="38" borderId="0" applyNumberFormat="0" applyBorder="0" applyAlignment="0" applyProtection="0"/>
    <xf numFmtId="182" fontId="80"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7" fillId="0" borderId="0" applyNumberFormat="0" applyFill="0" applyBorder="0" applyAlignment="0" applyProtection="0"/>
    <xf numFmtId="185" fontId="117" fillId="0" borderId="0" applyNumberFormat="0" applyFill="0" applyBorder="0" applyAlignment="0" applyProtection="0"/>
    <xf numFmtId="0" fontId="117" fillId="0" borderId="0" applyNumberFormat="0" applyFill="0" applyBorder="0" applyAlignment="0" applyProtection="0"/>
    <xf numFmtId="183" fontId="117" fillId="0" borderId="0" applyNumberFormat="0" applyFill="0" applyBorder="0" applyAlignment="0" applyProtection="0"/>
    <xf numFmtId="184" fontId="117" fillId="0" borderId="0" applyNumberFormat="0" applyFill="0" applyBorder="0" applyAlignment="0" applyProtection="0"/>
    <xf numFmtId="185" fontId="117" fillId="0" borderId="0" applyNumberFormat="0" applyFill="0" applyBorder="0" applyAlignment="0" applyProtection="0"/>
    <xf numFmtId="183" fontId="117" fillId="0" borderId="0" applyNumberFormat="0" applyFill="0" applyBorder="0" applyAlignment="0" applyProtection="0"/>
    <xf numFmtId="184" fontId="117" fillId="0" borderId="0" applyNumberFormat="0" applyFill="0" applyBorder="0" applyAlignment="0" applyProtection="0"/>
    <xf numFmtId="184" fontId="117" fillId="0" borderId="0" applyNumberFormat="0" applyFill="0" applyBorder="0" applyAlignment="0" applyProtection="0"/>
    <xf numFmtId="184" fontId="117" fillId="0" borderId="0" applyNumberFormat="0" applyFill="0" applyBorder="0" applyAlignment="0" applyProtection="0"/>
    <xf numFmtId="183" fontId="117" fillId="0" borderId="0" applyNumberFormat="0" applyFill="0" applyBorder="0" applyAlignment="0" applyProtection="0"/>
    <xf numFmtId="184" fontId="117" fillId="0" borderId="0" applyNumberFormat="0" applyFill="0" applyBorder="0" applyAlignment="0" applyProtection="0"/>
    <xf numFmtId="184" fontId="117" fillId="0" borderId="0" applyNumberFormat="0" applyFill="0" applyBorder="0" applyAlignment="0" applyProtection="0"/>
    <xf numFmtId="183" fontId="117" fillId="0" borderId="0" applyNumberFormat="0" applyFill="0" applyBorder="0" applyAlignment="0" applyProtection="0"/>
    <xf numFmtId="184" fontId="117" fillId="0" borderId="0" applyNumberFormat="0" applyFill="0" applyBorder="0" applyAlignment="0" applyProtection="0"/>
    <xf numFmtId="187" fontId="117" fillId="0" borderId="0" applyNumberFormat="0" applyFill="0" applyBorder="0" applyAlignment="0" applyProtection="0"/>
    <xf numFmtId="184" fontId="117" fillId="0" borderId="0" applyNumberFormat="0" applyFill="0" applyBorder="0" applyAlignment="0" applyProtection="0"/>
    <xf numFmtId="184" fontId="117" fillId="0" borderId="0" applyNumberFormat="0" applyFill="0" applyBorder="0" applyAlignment="0" applyProtection="0"/>
    <xf numFmtId="0" fontId="71" fillId="0" borderId="18" applyNumberFormat="0" applyAlignment="0" applyProtection="0">
      <alignment horizontal="left" vertical="center"/>
    </xf>
    <xf numFmtId="0" fontId="71" fillId="0" borderId="18" applyNumberFormat="0" applyAlignment="0" applyProtection="0">
      <alignment horizontal="left" vertical="center"/>
    </xf>
    <xf numFmtId="183" fontId="71" fillId="0" borderId="18" applyNumberFormat="0" applyAlignment="0" applyProtection="0">
      <alignment horizontal="left" vertical="center"/>
    </xf>
    <xf numFmtId="184" fontId="71" fillId="0" borderId="18" applyNumberFormat="0" applyAlignment="0" applyProtection="0">
      <alignment horizontal="left" vertical="center"/>
    </xf>
    <xf numFmtId="185" fontId="71" fillId="0" borderId="18" applyNumberFormat="0" applyAlignment="0" applyProtection="0">
      <alignment horizontal="left" vertical="center"/>
    </xf>
    <xf numFmtId="183" fontId="71" fillId="0" borderId="18" applyNumberFormat="0" applyAlignment="0" applyProtection="0">
      <alignment horizontal="left" vertical="center"/>
    </xf>
    <xf numFmtId="184" fontId="71" fillId="0" borderId="18" applyNumberFormat="0" applyAlignment="0" applyProtection="0">
      <alignment horizontal="left" vertical="center"/>
    </xf>
    <xf numFmtId="184" fontId="71" fillId="0" borderId="18" applyNumberFormat="0" applyAlignment="0" applyProtection="0">
      <alignment horizontal="left" vertical="center"/>
    </xf>
    <xf numFmtId="184" fontId="71" fillId="0" borderId="18" applyNumberFormat="0" applyAlignment="0" applyProtection="0">
      <alignment horizontal="left" vertical="center"/>
    </xf>
    <xf numFmtId="185" fontId="71" fillId="0" borderId="18" applyNumberFormat="0" applyAlignment="0" applyProtection="0">
      <alignment horizontal="left" vertical="center"/>
    </xf>
    <xf numFmtId="183" fontId="71" fillId="0" borderId="18" applyNumberFormat="0" applyAlignment="0" applyProtection="0">
      <alignment horizontal="left" vertical="center"/>
    </xf>
    <xf numFmtId="184" fontId="71" fillId="0" borderId="18" applyNumberFormat="0" applyAlignment="0" applyProtection="0">
      <alignment horizontal="left" vertical="center"/>
    </xf>
    <xf numFmtId="184" fontId="71" fillId="0" borderId="18" applyNumberFormat="0" applyAlignment="0" applyProtection="0">
      <alignment horizontal="left" vertical="center"/>
    </xf>
    <xf numFmtId="183" fontId="71" fillId="0" borderId="18" applyNumberFormat="0" applyAlignment="0" applyProtection="0">
      <alignment horizontal="left" vertical="center"/>
    </xf>
    <xf numFmtId="184" fontId="71" fillId="0" borderId="18" applyNumberFormat="0" applyAlignment="0" applyProtection="0">
      <alignment horizontal="left" vertical="center"/>
    </xf>
    <xf numFmtId="187" fontId="71" fillId="0" borderId="18" applyNumberFormat="0" applyAlignment="0" applyProtection="0">
      <alignment horizontal="left" vertical="center"/>
    </xf>
    <xf numFmtId="184" fontId="71" fillId="0" borderId="18" applyNumberFormat="0" applyAlignment="0" applyProtection="0">
      <alignment horizontal="left" vertical="center"/>
    </xf>
    <xf numFmtId="184" fontId="71" fillId="0" borderId="18" applyNumberFormat="0" applyAlignment="0" applyProtection="0">
      <alignment horizontal="left" vertical="center"/>
    </xf>
    <xf numFmtId="0" fontId="71" fillId="0" borderId="9">
      <alignment horizontal="left" vertical="center"/>
    </xf>
    <xf numFmtId="0"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5" fontId="71" fillId="0" borderId="9">
      <alignment horizontal="left" vertical="center"/>
    </xf>
    <xf numFmtId="185"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3" fontId="71" fillId="0" borderId="9">
      <alignment horizontal="left" vertical="center"/>
    </xf>
    <xf numFmtId="183"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0" fontId="71" fillId="0" borderId="9">
      <alignment horizontal="left" vertical="center"/>
    </xf>
    <xf numFmtId="0" fontId="71" fillId="0" borderId="9">
      <alignment horizontal="left" vertical="center"/>
    </xf>
    <xf numFmtId="184" fontId="71" fillId="0" borderId="9">
      <alignment horizontal="left" vertical="center"/>
    </xf>
    <xf numFmtId="184" fontId="71" fillId="0" borderId="9">
      <alignment horizontal="left" vertical="center"/>
    </xf>
    <xf numFmtId="184" fontId="71" fillId="0" borderId="9">
      <alignment horizontal="left" vertical="center"/>
    </xf>
    <xf numFmtId="0" fontId="118" fillId="0" borderId="34" applyNumberFormat="0" applyFill="0" applyAlignment="0" applyProtection="0"/>
    <xf numFmtId="0"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2" fontId="119" fillId="0" borderId="35" applyNumberFormat="0" applyFill="0" applyAlignment="0" applyProtection="0"/>
    <xf numFmtId="0"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5"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0"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5"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185"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0"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5"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5" fontId="118" fillId="0" borderId="34"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7" fontId="119" fillId="0" borderId="35" applyNumberFormat="0" applyFill="0" applyAlignment="0" applyProtection="0"/>
    <xf numFmtId="0" fontId="118" fillId="0" borderId="34" applyNumberFormat="0" applyFill="0" applyAlignment="0" applyProtection="0"/>
    <xf numFmtId="184" fontId="118" fillId="0" borderId="34" applyNumberFormat="0" applyFill="0" applyAlignment="0" applyProtection="0"/>
    <xf numFmtId="184" fontId="119" fillId="0" borderId="35" applyNumberFormat="0" applyFill="0" applyAlignment="0" applyProtection="0"/>
    <xf numFmtId="0" fontId="118" fillId="0" borderId="34"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5"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0" fontId="118" fillId="0" borderId="34"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5" fontId="77" fillId="0" borderId="20" applyNumberFormat="0" applyFill="0" applyAlignment="0" applyProtection="0"/>
    <xf numFmtId="183"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0" fontId="118" fillId="0" borderId="34"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5" fontId="118" fillId="0" borderId="34" applyNumberFormat="0" applyFill="0" applyAlignment="0" applyProtection="0"/>
    <xf numFmtId="183"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4" fontId="118" fillId="0" borderId="34" applyNumberFormat="0" applyFill="0" applyAlignment="0" applyProtection="0"/>
    <xf numFmtId="185" fontId="119" fillId="0" borderId="35" applyNumberFormat="0" applyFill="0" applyAlignment="0" applyProtection="0"/>
    <xf numFmtId="183" fontId="119" fillId="0" borderId="35" applyNumberFormat="0" applyFill="0" applyAlignment="0" applyProtection="0"/>
    <xf numFmtId="184" fontId="119" fillId="0" borderId="35" applyNumberFormat="0" applyFill="0" applyAlignment="0" applyProtection="0"/>
    <xf numFmtId="184" fontId="119" fillId="0" borderId="35" applyNumberFormat="0" applyFill="0" applyAlignment="0" applyProtection="0"/>
    <xf numFmtId="0" fontId="77" fillId="0" borderId="20" applyNumberFormat="0" applyFill="0" applyAlignment="0" applyProtection="0"/>
    <xf numFmtId="184" fontId="77" fillId="0" borderId="20" applyNumberFormat="0" applyFill="0" applyAlignment="0" applyProtection="0"/>
    <xf numFmtId="184" fontId="77" fillId="0" borderId="20" applyNumberFormat="0" applyFill="0" applyAlignment="0" applyProtection="0"/>
    <xf numFmtId="182" fontId="77" fillId="0" borderId="20" applyNumberFormat="0" applyFill="0" applyAlignment="0" applyProtection="0"/>
    <xf numFmtId="0" fontId="120" fillId="0" borderId="36" applyNumberFormat="0" applyFill="0" applyAlignment="0" applyProtection="0"/>
    <xf numFmtId="0"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2" fontId="121" fillId="0" borderId="37" applyNumberFormat="0" applyFill="0" applyAlignment="0" applyProtection="0"/>
    <xf numFmtId="0" fontId="78" fillId="0" borderId="21" applyNumberFormat="0" applyFill="0" applyAlignment="0" applyProtection="0"/>
    <xf numFmtId="183" fontId="78" fillId="0" borderId="21" applyNumberFormat="0" applyFill="0" applyAlignment="0" applyProtection="0"/>
    <xf numFmtId="184" fontId="78" fillId="0" borderId="21" applyNumberFormat="0" applyFill="0" applyAlignment="0" applyProtection="0"/>
    <xf numFmtId="185" fontId="78" fillId="0" borderId="21" applyNumberFormat="0" applyFill="0" applyAlignment="0" applyProtection="0"/>
    <xf numFmtId="183"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0" fontId="121"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5" fontId="121"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4" fontId="121" fillId="0" borderId="36" applyNumberFormat="0" applyFill="0" applyAlignment="0" applyProtection="0"/>
    <xf numFmtId="184" fontId="121" fillId="0" borderId="36" applyNumberFormat="0" applyFill="0" applyAlignment="0" applyProtection="0"/>
    <xf numFmtId="185" fontId="121"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4" fontId="121" fillId="0" borderId="36" applyNumberFormat="0" applyFill="0" applyAlignment="0" applyProtection="0"/>
    <xf numFmtId="0" fontId="121"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5" fontId="121"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4" fontId="121" fillId="0" borderId="36" applyNumberFormat="0" applyFill="0" applyAlignment="0" applyProtection="0"/>
    <xf numFmtId="184" fontId="121" fillId="0" borderId="36" applyNumberFormat="0" applyFill="0" applyAlignment="0" applyProtection="0"/>
    <xf numFmtId="0" fontId="121" fillId="0" borderId="37"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3" fontId="121" fillId="0" borderId="37" applyNumberFormat="0" applyFill="0" applyAlignment="0" applyProtection="0"/>
    <xf numFmtId="184" fontId="121" fillId="0" borderId="37" applyNumberFormat="0" applyFill="0" applyAlignment="0" applyProtection="0"/>
    <xf numFmtId="184" fontId="121"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7" fontId="121" fillId="0" borderId="36" applyNumberFormat="0" applyFill="0" applyAlignment="0" applyProtection="0"/>
    <xf numFmtId="0" fontId="120" fillId="0" borderId="36" applyNumberFormat="0" applyFill="0" applyAlignment="0" applyProtection="0"/>
    <xf numFmtId="184" fontId="120" fillId="0" borderId="36" applyNumberFormat="0" applyFill="0" applyAlignment="0" applyProtection="0"/>
    <xf numFmtId="184" fontId="121" fillId="0" borderId="36" applyNumberFormat="0" applyFill="0" applyAlignment="0" applyProtection="0"/>
    <xf numFmtId="0" fontId="120"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3" fontId="78" fillId="0" borderId="21" applyNumberFormat="0" applyFill="0" applyAlignment="0" applyProtection="0"/>
    <xf numFmtId="184" fontId="78" fillId="0" borderId="21" applyNumberFormat="0" applyFill="0" applyAlignment="0" applyProtection="0"/>
    <xf numFmtId="185" fontId="78" fillId="0" borderId="21" applyNumberFormat="0" applyFill="0" applyAlignment="0" applyProtection="0"/>
    <xf numFmtId="183"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0" fontId="120" fillId="0" borderId="36" applyNumberFormat="0" applyFill="0" applyAlignment="0" applyProtection="0"/>
    <xf numFmtId="183" fontId="78" fillId="0" borderId="21" applyNumberFormat="0" applyFill="0" applyAlignment="0" applyProtection="0"/>
    <xf numFmtId="184" fontId="78" fillId="0" borderId="21" applyNumberFormat="0" applyFill="0" applyAlignment="0" applyProtection="0"/>
    <xf numFmtId="185" fontId="78" fillId="0" borderId="21" applyNumberFormat="0" applyFill="0" applyAlignment="0" applyProtection="0"/>
    <xf numFmtId="183"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1" fillId="0" borderId="36" applyNumberFormat="0" applyFill="0" applyAlignment="0" applyProtection="0"/>
    <xf numFmtId="183" fontId="121" fillId="0" borderId="36" applyNumberFormat="0" applyFill="0" applyAlignment="0" applyProtection="0"/>
    <xf numFmtId="184" fontId="121" fillId="0" borderId="36" applyNumberFormat="0" applyFill="0" applyAlignment="0" applyProtection="0"/>
    <xf numFmtId="184" fontId="121" fillId="0" borderId="36" applyNumberFormat="0" applyFill="0" applyAlignment="0" applyProtection="0"/>
    <xf numFmtId="0" fontId="78" fillId="0" borderId="21" applyNumberFormat="0" applyFill="0" applyAlignment="0" applyProtection="0"/>
    <xf numFmtId="184" fontId="78" fillId="0" borderId="21" applyNumberFormat="0" applyFill="0" applyAlignment="0" applyProtection="0"/>
    <xf numFmtId="184" fontId="78" fillId="0" borderId="21" applyNumberFormat="0" applyFill="0" applyAlignment="0" applyProtection="0"/>
    <xf numFmtId="182" fontId="78" fillId="0" borderId="21" applyNumberFormat="0" applyFill="0" applyAlignment="0" applyProtection="0"/>
    <xf numFmtId="0" fontId="122" fillId="0" borderId="38" applyNumberFormat="0" applyFill="0" applyAlignment="0" applyProtection="0"/>
    <xf numFmtId="0" fontId="122" fillId="0" borderId="38" applyNumberFormat="0" applyFill="0" applyAlignment="0" applyProtection="0"/>
    <xf numFmtId="184" fontId="122" fillId="0" borderId="38" applyNumberFormat="0" applyFill="0" applyAlignment="0" applyProtection="0"/>
    <xf numFmtId="184" fontId="122" fillId="0" borderId="38" applyNumberFormat="0" applyFill="0" applyAlignment="0" applyProtection="0"/>
    <xf numFmtId="182" fontId="123" fillId="0" borderId="39" applyNumberFormat="0" applyFill="0" applyAlignment="0" applyProtection="0"/>
    <xf numFmtId="0" fontId="79" fillId="0" borderId="22" applyNumberFormat="0" applyFill="0" applyAlignment="0" applyProtection="0"/>
    <xf numFmtId="183" fontId="79" fillId="0" borderId="22" applyNumberFormat="0" applyFill="0" applyAlignment="0" applyProtection="0"/>
    <xf numFmtId="184" fontId="79" fillId="0" borderId="22" applyNumberFormat="0" applyFill="0" applyAlignment="0" applyProtection="0"/>
    <xf numFmtId="185" fontId="79" fillId="0" borderId="22" applyNumberFormat="0" applyFill="0" applyAlignment="0" applyProtection="0"/>
    <xf numFmtId="183"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0"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5"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5"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0"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5"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0" fontId="123" fillId="0" borderId="39"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3" fontId="123" fillId="0" borderId="39" applyNumberFormat="0" applyFill="0" applyAlignment="0" applyProtection="0"/>
    <xf numFmtId="184" fontId="123" fillId="0" borderId="39" applyNumberFormat="0" applyFill="0" applyAlignment="0" applyProtection="0"/>
    <xf numFmtId="184" fontId="123" fillId="0" borderId="39" applyNumberFormat="0" applyFill="0" applyAlignment="0" applyProtection="0"/>
    <xf numFmtId="183" fontId="122" fillId="0" borderId="38" applyNumberFormat="0" applyFill="0" applyAlignment="0" applyProtection="0"/>
    <xf numFmtId="184" fontId="122" fillId="0" borderId="38" applyNumberFormat="0" applyFill="0" applyAlignment="0" applyProtection="0"/>
    <xf numFmtId="185" fontId="122" fillId="0" borderId="38" applyNumberFormat="0" applyFill="0" applyAlignment="0" applyProtection="0"/>
    <xf numFmtId="183" fontId="122" fillId="0" borderId="38" applyNumberFormat="0" applyFill="0" applyAlignment="0" applyProtection="0"/>
    <xf numFmtId="184" fontId="122" fillId="0" borderId="38" applyNumberFormat="0" applyFill="0" applyAlignment="0" applyProtection="0"/>
    <xf numFmtId="184" fontId="122" fillId="0" borderId="38" applyNumberFormat="0" applyFill="0" applyAlignment="0" applyProtection="0"/>
    <xf numFmtId="187" fontId="123" fillId="0" borderId="40" applyNumberFormat="0" applyFill="0" applyAlignment="0" applyProtection="0"/>
    <xf numFmtId="0" fontId="122" fillId="0" borderId="38" applyNumberFormat="0" applyFill="0" applyAlignment="0" applyProtection="0"/>
    <xf numFmtId="184" fontId="122" fillId="0" borderId="38" applyNumberFormat="0" applyFill="0" applyAlignment="0" applyProtection="0"/>
    <xf numFmtId="184" fontId="123" fillId="0" borderId="40" applyNumberFormat="0" applyFill="0" applyAlignment="0" applyProtection="0"/>
    <xf numFmtId="0" fontId="122" fillId="0" borderId="38"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3" fontId="79" fillId="0" borderId="22" applyNumberFormat="0" applyFill="0" applyAlignment="0" applyProtection="0"/>
    <xf numFmtId="184" fontId="79" fillId="0" borderId="22" applyNumberFormat="0" applyFill="0" applyAlignment="0" applyProtection="0"/>
    <xf numFmtId="185" fontId="79" fillId="0" borderId="22" applyNumberFormat="0" applyFill="0" applyAlignment="0" applyProtection="0"/>
    <xf numFmtId="183"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0" fontId="122" fillId="0" borderId="38" applyNumberFormat="0" applyFill="0" applyAlignment="0" applyProtection="0"/>
    <xf numFmtId="183" fontId="79" fillId="0" borderId="22" applyNumberFormat="0" applyFill="0" applyAlignment="0" applyProtection="0"/>
    <xf numFmtId="184" fontId="79" fillId="0" borderId="22" applyNumberFormat="0" applyFill="0" applyAlignment="0" applyProtection="0"/>
    <xf numFmtId="185" fontId="79" fillId="0" borderId="22" applyNumberFormat="0" applyFill="0" applyAlignment="0" applyProtection="0"/>
    <xf numFmtId="183"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0" fontId="122" fillId="0" borderId="38" applyNumberFormat="0" applyFill="0" applyAlignment="0" applyProtection="0"/>
    <xf numFmtId="183" fontId="122" fillId="0" borderId="38" applyNumberFormat="0" applyFill="0" applyAlignment="0" applyProtection="0"/>
    <xf numFmtId="184" fontId="122" fillId="0" borderId="38" applyNumberFormat="0" applyFill="0" applyAlignment="0" applyProtection="0"/>
    <xf numFmtId="185" fontId="122" fillId="0" borderId="38" applyNumberFormat="0" applyFill="0" applyAlignment="0" applyProtection="0"/>
    <xf numFmtId="183" fontId="122" fillId="0" borderId="38" applyNumberFormat="0" applyFill="0" applyAlignment="0" applyProtection="0"/>
    <xf numFmtId="184" fontId="122" fillId="0" borderId="38" applyNumberFormat="0" applyFill="0" applyAlignment="0" applyProtection="0"/>
    <xf numFmtId="184" fontId="122" fillId="0" borderId="38" applyNumberFormat="0" applyFill="0" applyAlignment="0" applyProtection="0"/>
    <xf numFmtId="184" fontId="122" fillId="0" borderId="38" applyNumberFormat="0" applyFill="0" applyAlignment="0" applyProtection="0"/>
    <xf numFmtId="185" fontId="123" fillId="0" borderId="40" applyNumberFormat="0" applyFill="0" applyAlignment="0" applyProtection="0"/>
    <xf numFmtId="183" fontId="123" fillId="0" borderId="40" applyNumberFormat="0" applyFill="0" applyAlignment="0" applyProtection="0"/>
    <xf numFmtId="184" fontId="123" fillId="0" borderId="40" applyNumberFormat="0" applyFill="0" applyAlignment="0" applyProtection="0"/>
    <xf numFmtId="184" fontId="123" fillId="0" borderId="40" applyNumberFormat="0" applyFill="0" applyAlignment="0" applyProtection="0"/>
    <xf numFmtId="0" fontId="79" fillId="0" borderId="22" applyNumberFormat="0" applyFill="0" applyAlignment="0" applyProtection="0"/>
    <xf numFmtId="184" fontId="79" fillId="0" borderId="22" applyNumberFormat="0" applyFill="0" applyAlignment="0" applyProtection="0"/>
    <xf numFmtId="184" fontId="79" fillId="0" borderId="22" applyNumberFormat="0" applyFill="0" applyAlignment="0" applyProtection="0"/>
    <xf numFmtId="182" fontId="79" fillId="0" borderId="22"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2" fontId="123" fillId="0" borderId="0" applyNumberFormat="0" applyFill="0" applyBorder="0" applyAlignment="0" applyProtection="0"/>
    <xf numFmtId="0" fontId="79" fillId="0" borderId="0" applyNumberFormat="0" applyFill="0" applyBorder="0" applyAlignment="0" applyProtection="0"/>
    <xf numFmtId="183" fontId="79" fillId="0" borderId="0" applyNumberFormat="0" applyFill="0" applyBorder="0" applyAlignment="0" applyProtection="0"/>
    <xf numFmtId="184" fontId="79" fillId="0" borderId="0" applyNumberFormat="0" applyFill="0" applyBorder="0" applyAlignment="0" applyProtection="0"/>
    <xf numFmtId="185" fontId="79" fillId="0" borderId="0" applyNumberFormat="0" applyFill="0" applyBorder="0" applyAlignment="0" applyProtection="0"/>
    <xf numFmtId="183"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0"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0"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7" fontId="123" fillId="0" borderId="0" applyNumberFormat="0" applyFill="0" applyBorder="0" applyAlignment="0" applyProtection="0"/>
    <xf numFmtId="0" fontId="122" fillId="0" borderId="0" applyNumberFormat="0" applyFill="0" applyBorder="0" applyAlignment="0" applyProtection="0"/>
    <xf numFmtId="184" fontId="122" fillId="0" borderId="0" applyNumberFormat="0" applyFill="0" applyBorder="0" applyAlignment="0" applyProtection="0"/>
    <xf numFmtId="184" fontId="123" fillId="0" borderId="0" applyNumberFormat="0" applyFill="0" applyBorder="0" applyAlignment="0" applyProtection="0"/>
    <xf numFmtId="0" fontId="122"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3" fontId="79" fillId="0" borderId="0" applyNumberFormat="0" applyFill="0" applyBorder="0" applyAlignment="0" applyProtection="0"/>
    <xf numFmtId="184" fontId="79" fillId="0" borderId="0" applyNumberFormat="0" applyFill="0" applyBorder="0" applyAlignment="0" applyProtection="0"/>
    <xf numFmtId="185" fontId="79" fillId="0" borderId="0" applyNumberFormat="0" applyFill="0" applyBorder="0" applyAlignment="0" applyProtection="0"/>
    <xf numFmtId="183"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0" fontId="122" fillId="0" borderId="0" applyNumberFormat="0" applyFill="0" applyBorder="0" applyAlignment="0" applyProtection="0"/>
    <xf numFmtId="183" fontId="79" fillId="0" borderId="0" applyNumberFormat="0" applyFill="0" applyBorder="0" applyAlignment="0" applyProtection="0"/>
    <xf numFmtId="184" fontId="79" fillId="0" borderId="0" applyNumberFormat="0" applyFill="0" applyBorder="0" applyAlignment="0" applyProtection="0"/>
    <xf numFmtId="185" fontId="79" fillId="0" borderId="0" applyNumberFormat="0" applyFill="0" applyBorder="0" applyAlignment="0" applyProtection="0"/>
    <xf numFmtId="183"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3" fillId="0" borderId="0" applyNumberFormat="0" applyFill="0" applyBorder="0" applyAlignment="0" applyProtection="0"/>
    <xf numFmtId="183"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0" fontId="79" fillId="0" borderId="0" applyNumberFormat="0" applyFill="0" applyBorder="0" applyAlignment="0" applyProtection="0"/>
    <xf numFmtId="184" fontId="79" fillId="0" borderId="0" applyNumberFormat="0" applyFill="0" applyBorder="0" applyAlignment="0" applyProtection="0"/>
    <xf numFmtId="184" fontId="79" fillId="0" borderId="0" applyNumberFormat="0" applyFill="0" applyBorder="0" applyAlignment="0" applyProtection="0"/>
    <xf numFmtId="182" fontId="79"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4" fillId="0" borderId="41">
      <alignment horizontal="center"/>
    </xf>
    <xf numFmtId="0" fontId="124" fillId="0" borderId="41">
      <alignment horizontal="center"/>
    </xf>
    <xf numFmtId="183" fontId="124" fillId="0" borderId="41">
      <alignment horizontal="center"/>
    </xf>
    <xf numFmtId="184" fontId="124" fillId="0" borderId="41">
      <alignment horizontal="center"/>
    </xf>
    <xf numFmtId="185" fontId="124" fillId="0" borderId="41">
      <alignment horizontal="center"/>
    </xf>
    <xf numFmtId="183" fontId="124" fillId="0" borderId="41">
      <alignment horizontal="center"/>
    </xf>
    <xf numFmtId="184" fontId="124" fillId="0" borderId="41">
      <alignment horizontal="center"/>
    </xf>
    <xf numFmtId="184" fontId="124" fillId="0" borderId="41">
      <alignment horizontal="center"/>
    </xf>
    <xf numFmtId="184" fontId="124" fillId="0" borderId="41">
      <alignment horizontal="center"/>
    </xf>
    <xf numFmtId="185" fontId="124" fillId="0" borderId="41">
      <alignment horizontal="center"/>
    </xf>
    <xf numFmtId="183" fontId="124" fillId="0" borderId="41">
      <alignment horizontal="center"/>
    </xf>
    <xf numFmtId="184" fontId="124" fillId="0" borderId="41">
      <alignment horizontal="center"/>
    </xf>
    <xf numFmtId="184" fontId="124" fillId="0" borderId="41">
      <alignment horizontal="center"/>
    </xf>
    <xf numFmtId="185" fontId="124" fillId="0" borderId="41">
      <alignment horizontal="center"/>
    </xf>
    <xf numFmtId="183" fontId="124" fillId="0" borderId="41">
      <alignment horizontal="center"/>
    </xf>
    <xf numFmtId="184" fontId="124" fillId="0" borderId="41">
      <alignment horizontal="center"/>
    </xf>
    <xf numFmtId="184" fontId="124" fillId="0" borderId="41">
      <alignment horizontal="center"/>
    </xf>
    <xf numFmtId="183" fontId="124" fillId="0" borderId="41">
      <alignment horizontal="center"/>
    </xf>
    <xf numFmtId="184" fontId="124" fillId="0" borderId="41">
      <alignment horizontal="center"/>
    </xf>
    <xf numFmtId="187" fontId="124" fillId="0" borderId="41">
      <alignment horizontal="center"/>
    </xf>
    <xf numFmtId="184" fontId="124" fillId="0" borderId="41">
      <alignment horizontal="center"/>
    </xf>
    <xf numFmtId="184" fontId="124" fillId="0" borderId="41">
      <alignment horizontal="center"/>
    </xf>
    <xf numFmtId="0" fontId="124" fillId="0" borderId="0">
      <alignment horizontal="center"/>
    </xf>
    <xf numFmtId="0" fontId="124" fillId="0" borderId="0">
      <alignment horizontal="center"/>
    </xf>
    <xf numFmtId="183" fontId="124" fillId="0" borderId="0">
      <alignment horizontal="center"/>
    </xf>
    <xf numFmtId="184" fontId="124" fillId="0" borderId="0">
      <alignment horizontal="center"/>
    </xf>
    <xf numFmtId="185" fontId="124" fillId="0" borderId="0">
      <alignment horizontal="center"/>
    </xf>
    <xf numFmtId="183" fontId="124" fillId="0" borderId="0">
      <alignment horizontal="center"/>
    </xf>
    <xf numFmtId="184" fontId="124" fillId="0" borderId="0">
      <alignment horizontal="center"/>
    </xf>
    <xf numFmtId="184" fontId="124" fillId="0" borderId="0">
      <alignment horizontal="center"/>
    </xf>
    <xf numFmtId="184" fontId="124" fillId="0" borderId="0">
      <alignment horizontal="center"/>
    </xf>
    <xf numFmtId="185" fontId="124" fillId="0" borderId="0">
      <alignment horizontal="center"/>
    </xf>
    <xf numFmtId="183" fontId="124" fillId="0" borderId="0">
      <alignment horizontal="center"/>
    </xf>
    <xf numFmtId="184" fontId="124" fillId="0" borderId="0">
      <alignment horizontal="center"/>
    </xf>
    <xf numFmtId="184" fontId="124" fillId="0" borderId="0">
      <alignment horizontal="center"/>
    </xf>
    <xf numFmtId="185" fontId="124" fillId="0" borderId="0">
      <alignment horizontal="center"/>
    </xf>
    <xf numFmtId="183" fontId="124" fillId="0" borderId="0">
      <alignment horizontal="center"/>
    </xf>
    <xf numFmtId="184" fontId="124" fillId="0" borderId="0">
      <alignment horizontal="center"/>
    </xf>
    <xf numFmtId="184" fontId="124" fillId="0" borderId="0">
      <alignment horizontal="center"/>
    </xf>
    <xf numFmtId="183" fontId="124" fillId="0" borderId="0">
      <alignment horizontal="center"/>
    </xf>
    <xf numFmtId="184" fontId="124" fillId="0" borderId="0">
      <alignment horizontal="center"/>
    </xf>
    <xf numFmtId="187" fontId="124" fillId="0" borderId="0">
      <alignment horizontal="center"/>
    </xf>
    <xf numFmtId="184" fontId="124" fillId="0" borderId="0">
      <alignment horizontal="center"/>
    </xf>
    <xf numFmtId="184" fontId="124" fillId="0" borderId="0">
      <alignment horizontal="center"/>
    </xf>
    <xf numFmtId="0" fontId="112" fillId="0" borderId="0" applyProtection="0">
      <alignment horizontal="right"/>
    </xf>
    <xf numFmtId="0" fontId="112" fillId="0" borderId="0" applyProtection="0">
      <alignment horizontal="right"/>
    </xf>
    <xf numFmtId="183" fontId="112" fillId="0" borderId="0" applyProtection="0">
      <alignment horizontal="right"/>
    </xf>
    <xf numFmtId="184" fontId="112" fillId="0" borderId="0" applyProtection="0">
      <alignment horizontal="right"/>
    </xf>
    <xf numFmtId="185" fontId="112" fillId="0" borderId="0" applyProtection="0">
      <alignment horizontal="right"/>
    </xf>
    <xf numFmtId="183" fontId="112" fillId="0" borderId="0" applyProtection="0">
      <alignment horizontal="right"/>
    </xf>
    <xf numFmtId="184" fontId="112" fillId="0" borderId="0" applyProtection="0">
      <alignment horizontal="right"/>
    </xf>
    <xf numFmtId="184" fontId="112" fillId="0" borderId="0" applyProtection="0">
      <alignment horizontal="right"/>
    </xf>
    <xf numFmtId="184" fontId="112" fillId="0" borderId="0" applyProtection="0">
      <alignment horizontal="right"/>
    </xf>
    <xf numFmtId="185" fontId="112" fillId="0" borderId="0" applyProtection="0">
      <alignment horizontal="right"/>
    </xf>
    <xf numFmtId="183" fontId="112" fillId="0" borderId="0" applyProtection="0">
      <alignment horizontal="right"/>
    </xf>
    <xf numFmtId="184" fontId="112" fillId="0" borderId="0" applyProtection="0">
      <alignment horizontal="right"/>
    </xf>
    <xf numFmtId="184" fontId="112" fillId="0" borderId="0" applyProtection="0">
      <alignment horizontal="right"/>
    </xf>
    <xf numFmtId="183" fontId="112" fillId="0" borderId="0" applyProtection="0">
      <alignment horizontal="right"/>
    </xf>
    <xf numFmtId="184" fontId="112" fillId="0" borderId="0" applyProtection="0">
      <alignment horizontal="right"/>
    </xf>
    <xf numFmtId="187" fontId="112" fillId="0" borderId="0" applyProtection="0">
      <alignment horizontal="right"/>
    </xf>
    <xf numFmtId="184" fontId="112" fillId="0" borderId="0" applyProtection="0">
      <alignment horizontal="right"/>
    </xf>
    <xf numFmtId="184" fontId="112"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5" fillId="0" borderId="42" applyNumberFormat="0" applyFill="0" applyAlignment="0" applyProtection="0"/>
    <xf numFmtId="185" fontId="125" fillId="0" borderId="42" applyNumberFormat="0" applyFill="0" applyAlignment="0" applyProtection="0"/>
    <xf numFmtId="0" fontId="125" fillId="0" borderId="42" applyNumberFormat="0" applyFill="0" applyAlignment="0" applyProtection="0"/>
    <xf numFmtId="183" fontId="125" fillId="0" borderId="42" applyNumberFormat="0" applyFill="0" applyAlignment="0" applyProtection="0"/>
    <xf numFmtId="184" fontId="125" fillId="0" borderId="42" applyNumberFormat="0" applyFill="0" applyAlignment="0" applyProtection="0"/>
    <xf numFmtId="185" fontId="125" fillId="0" borderId="42" applyNumberFormat="0" applyFill="0" applyAlignment="0" applyProtection="0"/>
    <xf numFmtId="183" fontId="125" fillId="0" borderId="42" applyNumberFormat="0" applyFill="0" applyAlignment="0" applyProtection="0"/>
    <xf numFmtId="184" fontId="125" fillId="0" borderId="42" applyNumberFormat="0" applyFill="0" applyAlignment="0" applyProtection="0"/>
    <xf numFmtId="184" fontId="125" fillId="0" borderId="42" applyNumberFormat="0" applyFill="0" applyAlignment="0" applyProtection="0"/>
    <xf numFmtId="184" fontId="125" fillId="0" borderId="42" applyNumberFormat="0" applyFill="0" applyAlignment="0" applyProtection="0"/>
    <xf numFmtId="183" fontId="125" fillId="0" borderId="42" applyNumberFormat="0" applyFill="0" applyAlignment="0" applyProtection="0"/>
    <xf numFmtId="184" fontId="125" fillId="0" borderId="42" applyNumberFormat="0" applyFill="0" applyAlignment="0" applyProtection="0"/>
    <xf numFmtId="184" fontId="125" fillId="0" borderId="42" applyNumberFormat="0" applyFill="0" applyAlignment="0" applyProtection="0"/>
    <xf numFmtId="183" fontId="125" fillId="0" borderId="42" applyNumberFormat="0" applyFill="0" applyAlignment="0" applyProtection="0"/>
    <xf numFmtId="184" fontId="125" fillId="0" borderId="42" applyNumberFormat="0" applyFill="0" applyAlignment="0" applyProtection="0"/>
    <xf numFmtId="187" fontId="125" fillId="0" borderId="42" applyNumberFormat="0" applyFill="0" applyAlignment="0" applyProtection="0"/>
    <xf numFmtId="184" fontId="125" fillId="0" borderId="42" applyNumberFormat="0" applyFill="0" applyAlignment="0" applyProtection="0"/>
    <xf numFmtId="184" fontId="125" fillId="0" borderId="42" applyNumberFormat="0" applyFill="0" applyAlignment="0" applyProtection="0"/>
    <xf numFmtId="183" fontId="126" fillId="0" borderId="0" applyFill="0" applyBorder="0" applyAlignment="0" applyProtection="0">
      <alignment horizontal="right"/>
    </xf>
    <xf numFmtId="184" fontId="126"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0" fontId="83" fillId="41" borderId="23" applyNumberFormat="0" applyAlignment="0" applyProtection="0"/>
    <xf numFmtId="184" fontId="83" fillId="41" borderId="23"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182" fontId="83" fillId="41" borderId="23"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0"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0" fontId="127" fillId="21" borderId="32" applyNumberFormat="0" applyAlignment="0" applyProtection="0"/>
    <xf numFmtId="184" fontId="127" fillId="21" borderId="32" applyNumberFormat="0" applyAlignment="0" applyProtection="0"/>
    <xf numFmtId="184" fontId="128" fillId="74" borderId="31" applyNumberFormat="0" applyAlignment="0" applyProtection="0"/>
    <xf numFmtId="182" fontId="127" fillId="21" borderId="32" applyNumberFormat="0" applyAlignment="0" applyProtection="0"/>
    <xf numFmtId="0"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5"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5"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0" fontId="127" fillId="21" borderId="32"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7" fontId="83" fillId="41" borderId="23" applyNumberFormat="0" applyAlignment="0" applyProtection="0"/>
    <xf numFmtId="0"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83" fillId="41" borderId="23"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7" fontId="127" fillId="21" borderId="31" applyNumberFormat="0" applyAlignment="0" applyProtection="0"/>
    <xf numFmtId="187"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5"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0"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5" fontId="83" fillId="41" borderId="23" applyNumberFormat="0" applyAlignment="0" applyProtection="0"/>
    <xf numFmtId="183"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7" fontId="127" fillId="21" borderId="31" applyNumberFormat="0" applyAlignment="0" applyProtection="0"/>
    <xf numFmtId="187"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7" fillId="21" borderId="31"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7" fillId="21" borderId="31"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7" fillId="21" borderId="31" applyNumberFormat="0" applyAlignment="0" applyProtection="0"/>
    <xf numFmtId="0"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3"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0" fontId="127" fillId="21" borderId="32" applyNumberFormat="0" applyAlignment="0" applyProtection="0"/>
    <xf numFmtId="184" fontId="127" fillId="21" borderId="32" applyNumberFormat="0" applyAlignment="0" applyProtection="0"/>
    <xf numFmtId="184" fontId="127" fillId="21" borderId="32"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3" fontId="127" fillId="21" borderId="31" applyNumberFormat="0" applyAlignment="0" applyProtection="0"/>
    <xf numFmtId="183"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185" fontId="127" fillId="21" borderId="31" applyNumberFormat="0" applyAlignment="0" applyProtection="0"/>
    <xf numFmtId="184" fontId="127" fillId="21" borderId="31" applyNumberFormat="0" applyAlignment="0" applyProtection="0"/>
    <xf numFmtId="184" fontId="127" fillId="21"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3" fontId="128" fillId="74" borderId="31" applyNumberFormat="0" applyAlignment="0" applyProtection="0"/>
    <xf numFmtId="183"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0" fontId="128" fillId="74" borderId="31" applyNumberFormat="0" applyAlignment="0" applyProtection="0"/>
    <xf numFmtId="184" fontId="128" fillId="74" borderId="31" applyNumberFormat="0" applyAlignment="0" applyProtection="0"/>
    <xf numFmtId="184" fontId="128" fillId="74" borderId="31" applyNumberFormat="0" applyAlignment="0" applyProtection="0"/>
    <xf numFmtId="199" fontId="129"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30" fillId="0" borderId="43" applyNumberFormat="0" applyFill="0" applyAlignment="0" applyProtection="0"/>
    <xf numFmtId="0" fontId="130" fillId="0" borderId="43" applyNumberFormat="0" applyFill="0" applyAlignment="0" applyProtection="0"/>
    <xf numFmtId="184" fontId="130" fillId="0" borderId="43" applyNumberFormat="0" applyFill="0" applyAlignment="0" applyProtection="0"/>
    <xf numFmtId="184" fontId="130" fillId="0" borderId="43" applyNumberFormat="0" applyFill="0" applyAlignment="0" applyProtection="0"/>
    <xf numFmtId="182" fontId="116" fillId="0" borderId="44" applyNumberFormat="0" applyFill="0" applyAlignment="0" applyProtection="0"/>
    <xf numFmtId="0" fontId="86" fillId="0" borderId="25" applyNumberFormat="0" applyFill="0" applyAlignment="0" applyProtection="0"/>
    <xf numFmtId="183" fontId="86" fillId="0" borderId="25" applyNumberFormat="0" applyFill="0" applyAlignment="0" applyProtection="0"/>
    <xf numFmtId="184" fontId="86" fillId="0" borderId="25" applyNumberFormat="0" applyFill="0" applyAlignment="0" applyProtection="0"/>
    <xf numFmtId="185" fontId="86" fillId="0" borderId="25" applyNumberFormat="0" applyFill="0" applyAlignment="0" applyProtection="0"/>
    <xf numFmtId="183"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0" fontId="131" fillId="0" borderId="45"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5" fontId="131" fillId="0" borderId="45"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4" fontId="131" fillId="0" borderId="45" applyNumberFormat="0" applyFill="0" applyAlignment="0" applyProtection="0"/>
    <xf numFmtId="184" fontId="131" fillId="0" borderId="45" applyNumberFormat="0" applyFill="0" applyAlignment="0" applyProtection="0"/>
    <xf numFmtId="185" fontId="131" fillId="0" borderId="45"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4" fontId="131" fillId="0" borderId="45" applyNumberFormat="0" applyFill="0" applyAlignment="0" applyProtection="0"/>
    <xf numFmtId="0" fontId="131" fillId="0" borderId="45"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5" fontId="131" fillId="0" borderId="45"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4" fontId="131" fillId="0" borderId="45" applyNumberFormat="0" applyFill="0" applyAlignment="0" applyProtection="0"/>
    <xf numFmtId="184" fontId="131" fillId="0" borderId="45" applyNumberFormat="0" applyFill="0" applyAlignment="0" applyProtection="0"/>
    <xf numFmtId="0" fontId="116" fillId="0" borderId="44"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3" fontId="116" fillId="0" borderId="44" applyNumberFormat="0" applyFill="0" applyAlignment="0" applyProtection="0"/>
    <xf numFmtId="184" fontId="116" fillId="0" borderId="44" applyNumberFormat="0" applyFill="0" applyAlignment="0" applyProtection="0"/>
    <xf numFmtId="184" fontId="116" fillId="0" borderId="44" applyNumberFormat="0" applyFill="0" applyAlignment="0" applyProtection="0"/>
    <xf numFmtId="183" fontId="130" fillId="0" borderId="43" applyNumberFormat="0" applyFill="0" applyAlignment="0" applyProtection="0"/>
    <xf numFmtId="184" fontId="130" fillId="0" borderId="43" applyNumberFormat="0" applyFill="0" applyAlignment="0" applyProtection="0"/>
    <xf numFmtId="185" fontId="130" fillId="0" borderId="43" applyNumberFormat="0" applyFill="0" applyAlignment="0" applyProtection="0"/>
    <xf numFmtId="183" fontId="130" fillId="0" borderId="43" applyNumberFormat="0" applyFill="0" applyAlignment="0" applyProtection="0"/>
    <xf numFmtId="184" fontId="130" fillId="0" borderId="43" applyNumberFormat="0" applyFill="0" applyAlignment="0" applyProtection="0"/>
    <xf numFmtId="184" fontId="130" fillId="0" borderId="43" applyNumberFormat="0" applyFill="0" applyAlignment="0" applyProtection="0"/>
    <xf numFmtId="187" fontId="131" fillId="0" borderId="45" applyNumberFormat="0" applyFill="0" applyAlignment="0" applyProtection="0"/>
    <xf numFmtId="0" fontId="130" fillId="0" borderId="43" applyNumberFormat="0" applyFill="0" applyAlignment="0" applyProtection="0"/>
    <xf numFmtId="184" fontId="130" fillId="0" borderId="43" applyNumberFormat="0" applyFill="0" applyAlignment="0" applyProtection="0"/>
    <xf numFmtId="184" fontId="131" fillId="0" borderId="45" applyNumberFormat="0" applyFill="0" applyAlignment="0" applyProtection="0"/>
    <xf numFmtId="0" fontId="130" fillId="0" borderId="43"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3" fontId="86" fillId="0" borderId="25" applyNumberFormat="0" applyFill="0" applyAlignment="0" applyProtection="0"/>
    <xf numFmtId="184" fontId="86" fillId="0" borderId="25" applyNumberFormat="0" applyFill="0" applyAlignment="0" applyProtection="0"/>
    <xf numFmtId="185" fontId="86" fillId="0" borderId="25" applyNumberFormat="0" applyFill="0" applyAlignment="0" applyProtection="0"/>
    <xf numFmtId="183"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0" fontId="130" fillId="0" borderId="43" applyNumberFormat="0" applyFill="0" applyAlignment="0" applyProtection="0"/>
    <xf numFmtId="183" fontId="86" fillId="0" borderId="25" applyNumberFormat="0" applyFill="0" applyAlignment="0" applyProtection="0"/>
    <xf numFmtId="184" fontId="86" fillId="0" borderId="25" applyNumberFormat="0" applyFill="0" applyAlignment="0" applyProtection="0"/>
    <xf numFmtId="185" fontId="86" fillId="0" borderId="25" applyNumberFormat="0" applyFill="0" applyAlignment="0" applyProtection="0"/>
    <xf numFmtId="183"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0" fontId="130" fillId="0" borderId="43" applyNumberFormat="0" applyFill="0" applyAlignment="0" applyProtection="0"/>
    <xf numFmtId="183" fontId="130" fillId="0" borderId="43" applyNumberFormat="0" applyFill="0" applyAlignment="0" applyProtection="0"/>
    <xf numFmtId="184" fontId="130" fillId="0" borderId="43" applyNumberFormat="0" applyFill="0" applyAlignment="0" applyProtection="0"/>
    <xf numFmtId="185" fontId="130" fillId="0" borderId="43" applyNumberFormat="0" applyFill="0" applyAlignment="0" applyProtection="0"/>
    <xf numFmtId="183" fontId="130" fillId="0" borderId="43" applyNumberFormat="0" applyFill="0" applyAlignment="0" applyProtection="0"/>
    <xf numFmtId="184" fontId="130" fillId="0" borderId="43" applyNumberFormat="0" applyFill="0" applyAlignment="0" applyProtection="0"/>
    <xf numFmtId="184" fontId="130" fillId="0" borderId="43" applyNumberFormat="0" applyFill="0" applyAlignment="0" applyProtection="0"/>
    <xf numFmtId="184" fontId="130" fillId="0" borderId="43" applyNumberFormat="0" applyFill="0" applyAlignment="0" applyProtection="0"/>
    <xf numFmtId="185" fontId="131" fillId="0" borderId="45" applyNumberFormat="0" applyFill="0" applyAlignment="0" applyProtection="0"/>
    <xf numFmtId="183" fontId="131" fillId="0" borderId="45" applyNumberFormat="0" applyFill="0" applyAlignment="0" applyProtection="0"/>
    <xf numFmtId="184" fontId="131" fillId="0" borderId="45" applyNumberFormat="0" applyFill="0" applyAlignment="0" applyProtection="0"/>
    <xf numFmtId="184" fontId="131" fillId="0" borderId="45" applyNumberFormat="0" applyFill="0" applyAlignment="0" applyProtection="0"/>
    <xf numFmtId="0" fontId="86" fillId="0" borderId="25" applyNumberFormat="0" applyFill="0" applyAlignment="0" applyProtection="0"/>
    <xf numFmtId="184" fontId="86" fillId="0" borderId="25" applyNumberFormat="0" applyFill="0" applyAlignment="0" applyProtection="0"/>
    <xf numFmtId="184" fontId="86" fillId="0" borderId="25" applyNumberFormat="0" applyFill="0" applyAlignment="0" applyProtection="0"/>
    <xf numFmtId="182" fontId="86" fillId="0" borderId="25" applyNumberFormat="0" applyFill="0" applyAlignment="0" applyProtection="0"/>
    <xf numFmtId="183" fontId="132" fillId="103" borderId="0">
      <alignment horizontal="right"/>
    </xf>
    <xf numFmtId="184" fontId="132" fillId="103" borderId="0">
      <alignment horizontal="right"/>
    </xf>
    <xf numFmtId="17" fontId="133" fillId="0" borderId="0" applyFont="0" applyFill="0" applyBorder="0" applyAlignment="0" applyProtection="0">
      <alignment horizontal="centerContinuous"/>
      <protection locked="0"/>
    </xf>
    <xf numFmtId="0" fontId="134" fillId="25" borderId="0" applyNumberFormat="0" applyBorder="0" applyAlignment="0" applyProtection="0"/>
    <xf numFmtId="0" fontId="134" fillId="25" borderId="0" applyNumberFormat="0" applyBorder="0" applyAlignment="0" applyProtection="0"/>
    <xf numFmtId="184" fontId="134" fillId="25" borderId="0" applyNumberFormat="0" applyBorder="0" applyAlignment="0" applyProtection="0"/>
    <xf numFmtId="184" fontId="134" fillId="25" borderId="0" applyNumberFormat="0" applyBorder="0" applyAlignment="0" applyProtection="0"/>
    <xf numFmtId="182" fontId="116" fillId="21" borderId="0" applyNumberFormat="0" applyBorder="0" applyAlignment="0" applyProtection="0"/>
    <xf numFmtId="0" fontId="82" fillId="40"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5" fontId="82" fillId="40"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187" fontId="134" fillId="21" borderId="0" applyNumberFormat="0" applyBorder="0" applyAlignment="0" applyProtection="0"/>
    <xf numFmtId="184" fontId="134" fillId="21" borderId="0" applyNumberFormat="0" applyBorder="0" applyAlignment="0" applyProtection="0"/>
    <xf numFmtId="184" fontId="82" fillId="40" borderId="0" applyNumberFormat="0" applyBorder="0" applyAlignment="0" applyProtection="0"/>
    <xf numFmtId="0" fontId="134" fillId="21" borderId="0" applyNumberFormat="0" applyBorder="0" applyAlignment="0" applyProtection="0"/>
    <xf numFmtId="183" fontId="134" fillId="21" borderId="0" applyNumberFormat="0" applyBorder="0" applyAlignment="0" applyProtection="0"/>
    <xf numFmtId="184" fontId="134" fillId="21" borderId="0" applyNumberFormat="0" applyBorder="0" applyAlignment="0" applyProtection="0"/>
    <xf numFmtId="185" fontId="134" fillId="21" borderId="0" applyNumberFormat="0" applyBorder="0" applyAlignment="0" applyProtection="0"/>
    <xf numFmtId="183" fontId="134" fillId="21" borderId="0" applyNumberFormat="0" applyBorder="0" applyAlignment="0" applyProtection="0"/>
    <xf numFmtId="184" fontId="134" fillId="21" borderId="0" applyNumberFormat="0" applyBorder="0" applyAlignment="0" applyProtection="0"/>
    <xf numFmtId="184" fontId="134" fillId="21" borderId="0" applyNumberFormat="0" applyBorder="0" applyAlignment="0" applyProtection="0"/>
    <xf numFmtId="184" fontId="134" fillId="21" borderId="0" applyNumberFormat="0" applyBorder="0" applyAlignment="0" applyProtection="0"/>
    <xf numFmtId="185" fontId="134" fillId="21" borderId="0" applyNumberFormat="0" applyBorder="0" applyAlignment="0" applyProtection="0"/>
    <xf numFmtId="183" fontId="134" fillId="21" borderId="0" applyNumberFormat="0" applyBorder="0" applyAlignment="0" applyProtection="0"/>
    <xf numFmtId="184" fontId="134" fillId="21" borderId="0" applyNumberFormat="0" applyBorder="0" applyAlignment="0" applyProtection="0"/>
    <xf numFmtId="184" fontId="134" fillId="21" borderId="0" applyNumberFormat="0" applyBorder="0" applyAlignment="0" applyProtection="0"/>
    <xf numFmtId="0" fontId="82" fillId="40"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5" fontId="82" fillId="40"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0" fontId="116" fillId="21" borderId="0" applyNumberFormat="0" applyBorder="0" applyAlignment="0" applyProtection="0"/>
    <xf numFmtId="183" fontId="134" fillId="21" borderId="0" applyNumberFormat="0" applyBorder="0" applyAlignment="0" applyProtection="0"/>
    <xf numFmtId="184" fontId="134" fillId="21" borderId="0" applyNumberFormat="0" applyBorder="0" applyAlignment="0" applyProtection="0"/>
    <xf numFmtId="183" fontId="116" fillId="21" borderId="0" applyNumberFormat="0" applyBorder="0" applyAlignment="0" applyProtection="0"/>
    <xf numFmtId="184" fontId="116" fillId="21" borderId="0" applyNumberFormat="0" applyBorder="0" applyAlignment="0" applyProtection="0"/>
    <xf numFmtId="184" fontId="116" fillId="21" borderId="0" applyNumberFormat="0" applyBorder="0" applyAlignment="0" applyProtection="0"/>
    <xf numFmtId="183" fontId="134" fillId="25" borderId="0" applyNumberFormat="0" applyBorder="0" applyAlignment="0" applyProtection="0"/>
    <xf numFmtId="184" fontId="134" fillId="25" borderId="0" applyNumberFormat="0" applyBorder="0" applyAlignment="0" applyProtection="0"/>
    <xf numFmtId="185" fontId="134" fillId="25" borderId="0" applyNumberFormat="0" applyBorder="0" applyAlignment="0" applyProtection="0"/>
    <xf numFmtId="183" fontId="134" fillId="25" borderId="0" applyNumberFormat="0" applyBorder="0" applyAlignment="0" applyProtection="0"/>
    <xf numFmtId="184" fontId="134" fillId="25" borderId="0" applyNumberFormat="0" applyBorder="0" applyAlignment="0" applyProtection="0"/>
    <xf numFmtId="184" fontId="134" fillId="25" borderId="0" applyNumberFormat="0" applyBorder="0" applyAlignment="0" applyProtection="0"/>
    <xf numFmtId="187" fontId="82" fillId="40" borderId="0" applyNumberFormat="0" applyBorder="0" applyAlignment="0" applyProtection="0"/>
    <xf numFmtId="0" fontId="134" fillId="25" borderId="0" applyNumberFormat="0" applyBorder="0" applyAlignment="0" applyProtection="0"/>
    <xf numFmtId="184" fontId="134" fillId="25" borderId="0" applyNumberFormat="0" applyBorder="0" applyAlignment="0" applyProtection="0"/>
    <xf numFmtId="184" fontId="82" fillId="40" borderId="0" applyNumberFormat="0" applyBorder="0" applyAlignment="0" applyProtection="0"/>
    <xf numFmtId="0" fontId="134" fillId="25" borderId="0" applyNumberFormat="0" applyBorder="0" applyAlignment="0" applyProtection="0"/>
    <xf numFmtId="183" fontId="134" fillId="21" borderId="0" applyNumberFormat="0" applyBorder="0" applyAlignment="0" applyProtection="0"/>
    <xf numFmtId="184" fontId="134" fillId="21"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5" fontId="82" fillId="40"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0" fontId="134" fillId="25"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5" fontId="82" fillId="40" borderId="0" applyNumberFormat="0" applyBorder="0" applyAlignment="0" applyProtection="0"/>
    <xf numFmtId="183"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0" fontId="134" fillId="25" borderId="0" applyNumberFormat="0" applyBorder="0" applyAlignment="0" applyProtection="0"/>
    <xf numFmtId="183" fontId="134" fillId="25" borderId="0" applyNumberFormat="0" applyBorder="0" applyAlignment="0" applyProtection="0"/>
    <xf numFmtId="184" fontId="134" fillId="25" borderId="0" applyNumberFormat="0" applyBorder="0" applyAlignment="0" applyProtection="0"/>
    <xf numFmtId="185" fontId="134" fillId="25" borderId="0" applyNumberFormat="0" applyBorder="0" applyAlignment="0" applyProtection="0"/>
    <xf numFmtId="183" fontId="134" fillId="25" borderId="0" applyNumberFormat="0" applyBorder="0" applyAlignment="0" applyProtection="0"/>
    <xf numFmtId="184" fontId="134" fillId="25" borderId="0" applyNumberFormat="0" applyBorder="0" applyAlignment="0" applyProtection="0"/>
    <xf numFmtId="184" fontId="134" fillId="25" borderId="0" applyNumberFormat="0" applyBorder="0" applyAlignment="0" applyProtection="0"/>
    <xf numFmtId="184" fontId="134" fillId="25" borderId="0" applyNumberFormat="0" applyBorder="0" applyAlignment="0" applyProtection="0"/>
    <xf numFmtId="185" fontId="134" fillId="21" borderId="0" applyNumberFormat="0" applyBorder="0" applyAlignment="0" applyProtection="0"/>
    <xf numFmtId="183" fontId="134" fillId="21" borderId="0" applyNumberFormat="0" applyBorder="0" applyAlignment="0" applyProtection="0"/>
    <xf numFmtId="184" fontId="134" fillId="21" borderId="0" applyNumberFormat="0" applyBorder="0" applyAlignment="0" applyProtection="0"/>
    <xf numFmtId="184" fontId="134" fillId="21" borderId="0" applyNumberFormat="0" applyBorder="0" applyAlignment="0" applyProtection="0"/>
    <xf numFmtId="0" fontId="82" fillId="40" borderId="0" applyNumberFormat="0" applyBorder="0" applyAlignment="0" applyProtection="0"/>
    <xf numFmtId="184" fontId="82" fillId="40" borderId="0" applyNumberFormat="0" applyBorder="0" applyAlignment="0" applyProtection="0"/>
    <xf numFmtId="184" fontId="82" fillId="40" borderId="0" applyNumberFormat="0" applyBorder="0" applyAlignment="0" applyProtection="0"/>
    <xf numFmtId="182" fontId="82" fillId="40" borderId="0" applyNumberFormat="0" applyBorder="0" applyAlignment="0" applyProtection="0"/>
    <xf numFmtId="37" fontId="135" fillId="0" borderId="0"/>
    <xf numFmtId="200" fontId="136"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7" fillId="0" borderId="0"/>
    <xf numFmtId="183" fontId="137" fillId="0" borderId="0"/>
    <xf numFmtId="184" fontId="137"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7" fillId="0" borderId="0"/>
    <xf numFmtId="185" fontId="137" fillId="0" borderId="0"/>
    <xf numFmtId="183" fontId="137" fillId="0" borderId="0"/>
    <xf numFmtId="183" fontId="137" fillId="0" borderId="0"/>
    <xf numFmtId="184" fontId="137" fillId="0" borderId="0"/>
    <xf numFmtId="0" fontId="5" fillId="0" borderId="0"/>
    <xf numFmtId="183" fontId="5" fillId="0" borderId="0"/>
    <xf numFmtId="184" fontId="5" fillId="0" borderId="0"/>
    <xf numFmtId="184" fontId="5" fillId="0" borderId="0"/>
    <xf numFmtId="184" fontId="137" fillId="0" borderId="0"/>
    <xf numFmtId="185" fontId="137" fillId="0" borderId="0"/>
    <xf numFmtId="183" fontId="137" fillId="0" borderId="0"/>
    <xf numFmtId="184" fontId="137" fillId="0" borderId="0"/>
    <xf numFmtId="184" fontId="137"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7" fillId="0" borderId="0"/>
    <xf numFmtId="0" fontId="137" fillId="0" borderId="0"/>
    <xf numFmtId="183" fontId="137" fillId="0" borderId="0"/>
    <xf numFmtId="184" fontId="137" fillId="0" borderId="0"/>
    <xf numFmtId="184" fontId="137" fillId="0" borderId="0"/>
    <xf numFmtId="184" fontId="137"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8" fillId="0" borderId="47" applyFont="0" applyFill="0" applyBorder="0" applyAlignment="0" applyProtection="0">
      <alignment horizontal="center"/>
      <protection locked="0"/>
    </xf>
    <xf numFmtId="203" fontId="138"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4" fillId="42" borderId="24" applyNumberFormat="0" applyAlignment="0" applyProtection="0"/>
    <xf numFmtId="0" fontId="139"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9" fillId="97" borderId="48" applyNumberFormat="0" applyAlignment="0" applyProtection="0"/>
    <xf numFmtId="0" fontId="139" fillId="75" borderId="48" applyNumberFormat="0" applyAlignment="0" applyProtection="0"/>
    <xf numFmtId="0"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139" fillId="75" borderId="48" applyNumberFormat="0" applyAlignment="0" applyProtection="0"/>
    <xf numFmtId="184" fontId="139" fillId="75" borderId="48" applyNumberFormat="0" applyAlignment="0" applyProtection="0"/>
    <xf numFmtId="187"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75" borderId="48" applyNumberFormat="0" applyAlignment="0" applyProtection="0"/>
    <xf numFmtId="0" fontId="139" fillId="75" borderId="48" applyNumberFormat="0" applyAlignment="0" applyProtection="0"/>
    <xf numFmtId="184" fontId="139" fillId="75" borderId="48" applyNumberFormat="0" applyAlignment="0" applyProtection="0"/>
    <xf numFmtId="0" fontId="139" fillId="96" borderId="48" applyNumberFormat="0" applyAlignment="0" applyProtection="0"/>
    <xf numFmtId="184" fontId="139" fillId="96" borderId="48" applyNumberFormat="0" applyAlignment="0" applyProtection="0"/>
    <xf numFmtId="184" fontId="139" fillId="75" borderId="48" applyNumberFormat="0" applyAlignment="0" applyProtection="0"/>
    <xf numFmtId="182" fontId="139" fillId="96" borderId="48" applyNumberFormat="0" applyAlignment="0" applyProtection="0"/>
    <xf numFmtId="0" fontId="84" fillId="42" borderId="24" applyNumberFormat="0" applyAlignment="0" applyProtection="0"/>
    <xf numFmtId="183"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185" fontId="84" fillId="42" borderId="24" applyNumberFormat="0" applyAlignment="0" applyProtection="0"/>
    <xf numFmtId="183"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184" fontId="84" fillId="42" borderId="24" applyNumberFormat="0" applyAlignment="0" applyProtection="0"/>
    <xf numFmtId="185"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0"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0"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139" fillId="96"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3" fontId="139" fillId="96" borderId="48" applyNumberFormat="0" applyAlignment="0" applyProtection="0"/>
    <xf numFmtId="183" fontId="139" fillId="96" borderId="48" applyNumberFormat="0" applyAlignment="0" applyProtection="0"/>
    <xf numFmtId="183" fontId="139" fillId="96" borderId="48" applyNumberFormat="0" applyAlignment="0" applyProtection="0"/>
    <xf numFmtId="184" fontId="139" fillId="96" borderId="48" applyNumberFormat="0" applyAlignment="0" applyProtection="0"/>
    <xf numFmtId="184" fontId="139" fillId="96" borderId="48" applyNumberFormat="0" applyAlignment="0" applyProtection="0"/>
    <xf numFmtId="0" fontId="5" fillId="0" borderId="0"/>
    <xf numFmtId="183" fontId="5" fillId="0" borderId="0"/>
    <xf numFmtId="184" fontId="5" fillId="0" borderId="0"/>
    <xf numFmtId="184" fontId="5" fillId="0" borderId="0"/>
    <xf numFmtId="183" fontId="139" fillId="96" borderId="48" applyNumberFormat="0" applyAlignment="0" applyProtection="0"/>
    <xf numFmtId="184" fontId="139" fillId="96" borderId="48" applyNumberFormat="0" applyAlignment="0" applyProtection="0"/>
    <xf numFmtId="184" fontId="139" fillId="96" borderId="48" applyNumberFormat="0" applyAlignment="0" applyProtection="0"/>
    <xf numFmtId="0" fontId="139" fillId="96" borderId="48" applyNumberFormat="0" applyAlignment="0" applyProtection="0"/>
    <xf numFmtId="183" fontId="139" fillId="96" borderId="48" applyNumberFormat="0" applyAlignment="0" applyProtection="0"/>
    <xf numFmtId="183" fontId="139" fillId="96" borderId="48" applyNumberFormat="0" applyAlignment="0" applyProtection="0"/>
    <xf numFmtId="184" fontId="139" fillId="96" borderId="48" applyNumberFormat="0" applyAlignment="0" applyProtection="0"/>
    <xf numFmtId="184" fontId="139" fillId="96" borderId="48" applyNumberFormat="0" applyAlignment="0" applyProtection="0"/>
    <xf numFmtId="0" fontId="139" fillId="96" borderId="48" applyNumberFormat="0" applyAlignment="0" applyProtection="0"/>
    <xf numFmtId="184" fontId="139" fillId="96" borderId="48" applyNumberFormat="0" applyAlignment="0" applyProtection="0"/>
    <xf numFmtId="184" fontId="139"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9" fillId="96" borderId="48" applyNumberFormat="0" applyAlignment="0" applyProtection="0"/>
    <xf numFmtId="184" fontId="139" fillId="96" borderId="48" applyNumberFormat="0" applyAlignment="0" applyProtection="0"/>
    <xf numFmtId="184" fontId="139" fillId="96" borderId="48" applyNumberFormat="0" applyAlignment="0" applyProtection="0"/>
    <xf numFmtId="183"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139" fillId="75"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3"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185" fontId="84" fillId="42" borderId="24" applyNumberFormat="0" applyAlignment="0" applyProtection="0"/>
    <xf numFmtId="183"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184" fontId="84" fillId="42" borderId="24" applyNumberFormat="0" applyAlignment="0" applyProtection="0"/>
    <xf numFmtId="185"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0"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0" fontId="139" fillId="75" borderId="48" applyNumberFormat="0" applyAlignment="0" applyProtection="0"/>
    <xf numFmtId="183"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185" fontId="84" fillId="42" borderId="24" applyNumberFormat="0" applyAlignment="0" applyProtection="0"/>
    <xf numFmtId="183"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184" fontId="84" fillId="42" borderId="24" applyNumberFormat="0" applyAlignment="0" applyProtection="0"/>
    <xf numFmtId="185"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0" fontId="84" fillId="42" borderId="24" applyNumberFormat="0" applyAlignment="0" applyProtection="0"/>
    <xf numFmtId="183" fontId="84" fillId="42" borderId="24" applyNumberFormat="0" applyAlignment="0" applyProtection="0"/>
    <xf numFmtId="184" fontId="84" fillId="42" borderId="24" applyNumberFormat="0" applyAlignment="0" applyProtection="0"/>
    <xf numFmtId="184" fontId="84"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42" borderId="24" applyNumberFormat="0" applyAlignment="0" applyProtection="0"/>
    <xf numFmtId="0"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139" fillId="75" borderId="48" applyNumberFormat="0" applyAlignment="0" applyProtection="0"/>
    <xf numFmtId="183" fontId="139" fillId="75" borderId="48" applyNumberFormat="0" applyAlignment="0" applyProtection="0"/>
    <xf numFmtId="183"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9" fillId="75" borderId="48" applyNumberFormat="0" applyAlignment="0" applyProtection="0"/>
    <xf numFmtId="184" fontId="139" fillId="75" borderId="48" applyNumberFormat="0" applyAlignment="0" applyProtection="0"/>
    <xf numFmtId="184" fontId="139" fillId="75"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3" fontId="139" fillId="97" borderId="48" applyNumberFormat="0" applyAlignment="0" applyProtection="0"/>
    <xf numFmtId="183"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9" fillId="97" borderId="48" applyNumberFormat="0" applyAlignment="0" applyProtection="0"/>
    <xf numFmtId="184" fontId="139" fillId="97" borderId="48" applyNumberFormat="0" applyAlignment="0" applyProtection="0"/>
    <xf numFmtId="184" fontId="139" fillId="97" borderId="48" applyNumberFormat="0" applyAlignment="0" applyProtection="0"/>
    <xf numFmtId="0" fontId="84" fillId="42" borderId="24" applyNumberFormat="0" applyAlignment="0" applyProtection="0"/>
    <xf numFmtId="184" fontId="84" fillId="42" borderId="24" applyNumberFormat="0" applyAlignment="0" applyProtection="0"/>
    <xf numFmtId="0" fontId="139" fillId="96" borderId="48" applyNumberFormat="0" applyAlignment="0" applyProtection="0"/>
    <xf numFmtId="184" fontId="139" fillId="96" borderId="48" applyNumberFormat="0" applyAlignment="0" applyProtection="0"/>
    <xf numFmtId="184" fontId="84" fillId="42" borderId="24" applyNumberFormat="0" applyAlignment="0" applyProtection="0"/>
    <xf numFmtId="10" fontId="140" fillId="0" borderId="49" applyFont="0" applyFill="0" applyBorder="0" applyAlignment="0" applyProtection="0">
      <alignment horizontal="center"/>
      <protection locked="0"/>
    </xf>
    <xf numFmtId="10" fontId="140"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41" fillId="0" borderId="0" applyFont="0" applyFill="0" applyBorder="0" applyProtection="0">
      <alignment horizontal="center"/>
    </xf>
    <xf numFmtId="190" fontId="141"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2" fillId="0" borderId="50" applyFont="0" applyFill="0" applyBorder="0" applyAlignment="0" applyProtection="0">
      <alignment horizontal="center"/>
      <protection locked="0"/>
    </xf>
    <xf numFmtId="10" fontId="142"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3" fillId="0" borderId="0" applyNumberFormat="0" applyFill="0" applyBorder="0" applyProtection="0">
      <alignment horizontal="right"/>
    </xf>
    <xf numFmtId="9" fontId="143"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4" fillId="106" borderId="0" applyNumberFormat="0" applyFont="0" applyBorder="0" applyAlignment="0">
      <alignment horizontal="center"/>
    </xf>
    <xf numFmtId="184" fontId="144" fillId="106" borderId="0" applyNumberFormat="0" applyFont="0" applyBorder="0" applyAlignment="0">
      <alignment horizontal="center"/>
    </xf>
    <xf numFmtId="0" fontId="144" fillId="106" borderId="0" applyNumberFormat="0" applyFont="0" applyBorder="0" applyAlignment="0">
      <alignment horizontal="center"/>
    </xf>
    <xf numFmtId="183"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5" fontId="144" fillId="106" borderId="0" applyNumberFormat="0" applyFont="0" applyBorder="0" applyAlignment="0">
      <alignment horizontal="center"/>
    </xf>
    <xf numFmtId="183"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5"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0"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5" fontId="144" fillId="106" borderId="0" applyNumberFormat="0" applyFont="0" applyBorder="0" applyAlignment="0">
      <alignment horizontal="center"/>
    </xf>
    <xf numFmtId="183"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5"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5" fontId="144" fillId="106" borderId="0" applyNumberFormat="0" applyFont="0" applyBorder="0" applyAlignment="0">
      <alignment horizontal="center"/>
    </xf>
    <xf numFmtId="183"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5"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183"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4" fillId="106" borderId="0" applyNumberFormat="0" applyFont="0" applyBorder="0" applyAlignment="0">
      <alignment horizontal="center"/>
    </xf>
    <xf numFmtId="0" fontId="144" fillId="106" borderId="0" applyNumberFormat="0" applyFont="0" applyBorder="0" applyAlignment="0">
      <alignment horizontal="center"/>
    </xf>
    <xf numFmtId="183" fontId="144" fillId="106" borderId="0" applyNumberFormat="0" applyFont="0" applyBorder="0" applyAlignment="0">
      <alignment horizontal="center"/>
    </xf>
    <xf numFmtId="184" fontId="144" fillId="106" borderId="0" applyNumberFormat="0" applyFont="0" applyBorder="0" applyAlignment="0">
      <alignment horizontal="center"/>
    </xf>
    <xf numFmtId="184" fontId="144"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4" fillId="106" borderId="0" applyNumberFormat="0" applyFont="0" applyBorder="0" applyAlignment="0">
      <alignment horizontal="center"/>
    </xf>
    <xf numFmtId="184" fontId="144" fillId="106" borderId="0" applyNumberFormat="0" applyFont="0" applyBorder="0" applyAlignment="0">
      <alignment horizontal="center"/>
    </xf>
    <xf numFmtId="205" fontId="145" fillId="0" borderId="0" applyNumberFormat="0" applyFill="0" applyBorder="0" applyAlignment="0" applyProtection="0">
      <alignment horizontal="left"/>
    </xf>
    <xf numFmtId="205" fontId="145"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6" fillId="107" borderId="32" applyNumberFormat="0" applyProtection="0">
      <alignment vertical="center"/>
    </xf>
    <xf numFmtId="184" fontId="21" fillId="0" borderId="0"/>
    <xf numFmtId="4" fontId="45" fillId="25" borderId="1"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0" fontId="5" fillId="0" borderId="0"/>
    <xf numFmtId="183" fontId="5" fillId="0" borderId="0"/>
    <xf numFmtId="184" fontId="5" fillId="0" borderId="0"/>
    <xf numFmtId="184" fontId="5" fillId="0" borderId="0"/>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7" fillId="25" borderId="1" applyNumberFormat="0" applyProtection="0">
      <alignment horizontal="left" vertical="top" indent="1"/>
    </xf>
    <xf numFmtId="184" fontId="147" fillId="25" borderId="1" applyNumberFormat="0" applyProtection="0">
      <alignment horizontal="left" vertical="top" indent="1"/>
    </xf>
    <xf numFmtId="184" fontId="21" fillId="0" borderId="0"/>
    <xf numFmtId="182" fontId="147"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7" fillId="25" borderId="1" applyNumberFormat="0" applyProtection="0">
      <alignment horizontal="left" vertical="top" indent="1"/>
    </xf>
    <xf numFmtId="183" fontId="147" fillId="25" borderId="1" applyNumberFormat="0" applyProtection="0">
      <alignment horizontal="left" vertical="top" indent="1"/>
    </xf>
    <xf numFmtId="183" fontId="147" fillId="25" borderId="1" applyNumberFormat="0" applyProtection="0">
      <alignment horizontal="left" vertical="top" indent="1"/>
    </xf>
    <xf numFmtId="183" fontId="147" fillId="25" borderId="1" applyNumberFormat="0" applyProtection="0">
      <alignment horizontal="left" vertical="top" indent="1"/>
    </xf>
    <xf numFmtId="184" fontId="147" fillId="25" borderId="1" applyNumberFormat="0" applyProtection="0">
      <alignment horizontal="left" vertical="top" indent="1"/>
    </xf>
    <xf numFmtId="184" fontId="147"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7" fillId="25" borderId="1" applyNumberFormat="0" applyProtection="0">
      <alignment horizontal="left" vertical="top" indent="1"/>
    </xf>
    <xf numFmtId="184" fontId="147" fillId="25" borderId="1" applyNumberFormat="0" applyProtection="0">
      <alignment horizontal="left" vertical="top" indent="1"/>
    </xf>
    <xf numFmtId="184" fontId="147" fillId="25" borderId="1" applyNumberFormat="0" applyProtection="0">
      <alignment horizontal="left" vertical="top" indent="1"/>
    </xf>
    <xf numFmtId="0" fontId="147" fillId="25" borderId="1" applyNumberFormat="0" applyProtection="0">
      <alignment horizontal="left" vertical="top" indent="1"/>
    </xf>
    <xf numFmtId="183" fontId="147" fillId="25" borderId="1" applyNumberFormat="0" applyProtection="0">
      <alignment horizontal="left" vertical="top" indent="1"/>
    </xf>
    <xf numFmtId="183" fontId="147" fillId="25" borderId="1" applyNumberFormat="0" applyProtection="0">
      <alignment horizontal="left" vertical="top" indent="1"/>
    </xf>
    <xf numFmtId="184" fontId="147" fillId="25" borderId="1" applyNumberFormat="0" applyProtection="0">
      <alignment horizontal="left" vertical="top" indent="1"/>
    </xf>
    <xf numFmtId="184" fontId="147" fillId="25" borderId="1" applyNumberFormat="0" applyProtection="0">
      <alignment horizontal="left" vertical="top" indent="1"/>
    </xf>
    <xf numFmtId="0" fontId="147" fillId="25" borderId="1" applyNumberFormat="0" applyProtection="0">
      <alignment horizontal="left" vertical="top" indent="1"/>
    </xf>
    <xf numFmtId="184" fontId="147" fillId="25" borderId="1" applyNumberFormat="0" applyProtection="0">
      <alignment horizontal="left" vertical="top" indent="1"/>
    </xf>
    <xf numFmtId="184" fontId="147"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7" fillId="25" borderId="1" applyNumberFormat="0" applyProtection="0">
      <alignment horizontal="left" vertical="top" indent="1"/>
    </xf>
    <xf numFmtId="184" fontId="147" fillId="25" borderId="1" applyNumberFormat="0" applyProtection="0">
      <alignment horizontal="left" vertical="top" indent="1"/>
    </xf>
    <xf numFmtId="184" fontId="147"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8" fillId="31" borderId="53" applyBorder="0"/>
    <xf numFmtId="184" fontId="148" fillId="31" borderId="53" applyBorder="0"/>
    <xf numFmtId="182" fontId="148" fillId="31" borderId="53" applyBorder="0"/>
    <xf numFmtId="0" fontId="148" fillId="31" borderId="53" applyBorder="0"/>
    <xf numFmtId="183"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8" fillId="31" borderId="53" applyBorder="0"/>
    <xf numFmtId="184" fontId="148" fillId="31" borderId="53" applyBorder="0"/>
    <xf numFmtId="184" fontId="148" fillId="31" borderId="53" applyBorder="0"/>
    <xf numFmtId="185" fontId="148" fillId="31" borderId="53" applyBorder="0"/>
    <xf numFmtId="183"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183" fontId="148" fillId="31" borderId="53" applyBorder="0"/>
    <xf numFmtId="184" fontId="148" fillId="31" borderId="53" applyBorder="0"/>
    <xf numFmtId="184" fontId="148" fillId="31" borderId="53" applyBorder="0"/>
    <xf numFmtId="185"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185"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8" fillId="31" borderId="53" applyBorder="0"/>
    <xf numFmtId="184" fontId="148" fillId="31" borderId="53" applyBorder="0"/>
    <xf numFmtId="184" fontId="148" fillId="31" borderId="53" applyBorder="0"/>
    <xf numFmtId="0"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0"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8" fillId="31" borderId="53" applyBorder="0"/>
    <xf numFmtId="184" fontId="148" fillId="31" borderId="53" applyBorder="0"/>
    <xf numFmtId="184" fontId="148" fillId="31" borderId="53" applyBorder="0"/>
    <xf numFmtId="185" fontId="148" fillId="31" borderId="53" applyBorder="0"/>
    <xf numFmtId="183"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8" fillId="31" borderId="53" applyBorder="0"/>
    <xf numFmtId="184" fontId="148" fillId="31" borderId="53" applyBorder="0"/>
    <xf numFmtId="184" fontId="148" fillId="31" borderId="53" applyBorder="0"/>
    <xf numFmtId="185"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185"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8" fillId="31" borderId="53" applyBorder="0"/>
    <xf numFmtId="184" fontId="148" fillId="31" borderId="53" applyBorder="0"/>
    <xf numFmtId="184" fontId="148" fillId="31" borderId="53" applyBorder="0"/>
    <xf numFmtId="183"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8" fillId="31" borderId="53" applyBorder="0"/>
    <xf numFmtId="184" fontId="148" fillId="31" borderId="53" applyBorder="0"/>
    <xf numFmtId="184" fontId="148" fillId="31" borderId="53" applyBorder="0"/>
    <xf numFmtId="0" fontId="148" fillId="31" borderId="53" applyBorder="0"/>
    <xf numFmtId="183" fontId="148" fillId="31" borderId="53" applyBorder="0"/>
    <xf numFmtId="183" fontId="148" fillId="31" borderId="53" applyBorder="0"/>
    <xf numFmtId="184" fontId="148" fillId="31" borderId="53" applyBorder="0"/>
    <xf numFmtId="184" fontId="148" fillId="31" borderId="53" applyBorder="0"/>
    <xf numFmtId="0" fontId="148" fillId="31" borderId="53" applyBorder="0"/>
    <xf numFmtId="184" fontId="148" fillId="31" borderId="53" applyBorder="0"/>
    <xf numFmtId="184" fontId="148"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8" fillId="31" borderId="53" applyBorder="0"/>
    <xf numFmtId="187" fontId="148" fillId="31" borderId="53" applyBorder="0"/>
    <xf numFmtId="184" fontId="148" fillId="31" borderId="53" applyBorder="0"/>
    <xf numFmtId="184" fontId="148" fillId="31" borderId="53" applyBorder="0"/>
    <xf numFmtId="0" fontId="148" fillId="31" borderId="53" applyBorder="0"/>
    <xf numFmtId="184" fontId="148" fillId="31" borderId="53" applyBorder="0"/>
    <xf numFmtId="0" fontId="21" fillId="0" borderId="0"/>
    <xf numFmtId="184" fontId="21" fillId="0" borderId="0"/>
    <xf numFmtId="0" fontId="21" fillId="0" borderId="0"/>
    <xf numFmtId="184" fontId="21" fillId="0" borderId="0"/>
    <xf numFmtId="4" fontId="140" fillId="26" borderId="1" applyNumberFormat="0" applyProtection="0">
      <alignment vertical="center"/>
    </xf>
    <xf numFmtId="184" fontId="21" fillId="0" borderId="0"/>
    <xf numFmtId="4" fontId="41" fillId="26" borderId="1" applyNumberFormat="0" applyProtection="0">
      <alignment vertical="center"/>
    </xf>
    <xf numFmtId="4" fontId="140" fillId="26" borderId="1" applyNumberFormat="0" applyProtection="0">
      <alignment vertical="center"/>
    </xf>
    <xf numFmtId="4" fontId="140" fillId="26" borderId="1" applyNumberFormat="0" applyProtection="0">
      <alignment vertical="center"/>
    </xf>
    <xf numFmtId="4" fontId="140" fillId="26" borderId="1" applyNumberFormat="0" applyProtection="0">
      <alignment vertical="center"/>
    </xf>
    <xf numFmtId="0" fontId="5" fillId="0" borderId="0"/>
    <xf numFmtId="183" fontId="5" fillId="0" borderId="0"/>
    <xf numFmtId="184" fontId="5" fillId="0" borderId="0"/>
    <xf numFmtId="184" fontId="5" fillId="0" borderId="0"/>
    <xf numFmtId="4" fontId="140"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6" fillId="102" borderId="3" applyNumberFormat="0" applyProtection="0">
      <alignment vertical="center"/>
    </xf>
    <xf numFmtId="4" fontId="146"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0"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40" fillId="75" borderId="1" applyNumberFormat="0" applyProtection="0">
      <alignment horizontal="left" vertical="center" indent="1"/>
    </xf>
    <xf numFmtId="4" fontId="140" fillId="75" borderId="1" applyNumberFormat="0" applyProtection="0">
      <alignment horizontal="left" vertical="center" indent="1"/>
    </xf>
    <xf numFmtId="4" fontId="140"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40"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0" fillId="26" borderId="1" applyNumberFormat="0" applyProtection="0">
      <alignment horizontal="left" vertical="top" indent="1"/>
    </xf>
    <xf numFmtId="184" fontId="140" fillId="26" borderId="1" applyNumberFormat="0" applyProtection="0">
      <alignment horizontal="left" vertical="top" indent="1"/>
    </xf>
    <xf numFmtId="184" fontId="21" fillId="0" borderId="0"/>
    <xf numFmtId="182" fontId="140"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40" fillId="26" borderId="1" applyNumberFormat="0" applyProtection="0">
      <alignment horizontal="left" vertical="top" indent="1"/>
    </xf>
    <xf numFmtId="183" fontId="140" fillId="26" borderId="1" applyNumberFormat="0" applyProtection="0">
      <alignment horizontal="left" vertical="top" indent="1"/>
    </xf>
    <xf numFmtId="183" fontId="140" fillId="26" borderId="1" applyNumberFormat="0" applyProtection="0">
      <alignment horizontal="left" vertical="top" indent="1"/>
    </xf>
    <xf numFmtId="183" fontId="140" fillId="26" borderId="1" applyNumberFormat="0" applyProtection="0">
      <alignment horizontal="left" vertical="top" indent="1"/>
    </xf>
    <xf numFmtId="184" fontId="140" fillId="26" borderId="1" applyNumberFormat="0" applyProtection="0">
      <alignment horizontal="left" vertical="top" indent="1"/>
    </xf>
    <xf numFmtId="184" fontId="1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0" fillId="26" borderId="1" applyNumberFormat="0" applyProtection="0">
      <alignment horizontal="left" vertical="top" indent="1"/>
    </xf>
    <xf numFmtId="184" fontId="140" fillId="26" borderId="1" applyNumberFormat="0" applyProtection="0">
      <alignment horizontal="left" vertical="top" indent="1"/>
    </xf>
    <xf numFmtId="184" fontId="140" fillId="26" borderId="1" applyNumberFormat="0" applyProtection="0">
      <alignment horizontal="left" vertical="top" indent="1"/>
    </xf>
    <xf numFmtId="0" fontId="140" fillId="26" borderId="1" applyNumberFormat="0" applyProtection="0">
      <alignment horizontal="left" vertical="top" indent="1"/>
    </xf>
    <xf numFmtId="183" fontId="140" fillId="26" borderId="1" applyNumberFormat="0" applyProtection="0">
      <alignment horizontal="left" vertical="top" indent="1"/>
    </xf>
    <xf numFmtId="183" fontId="140" fillId="26" borderId="1" applyNumberFormat="0" applyProtection="0">
      <alignment horizontal="left" vertical="top" indent="1"/>
    </xf>
    <xf numFmtId="184" fontId="140" fillId="26" borderId="1" applyNumberFormat="0" applyProtection="0">
      <alignment horizontal="left" vertical="top" indent="1"/>
    </xf>
    <xf numFmtId="184" fontId="140" fillId="26" borderId="1" applyNumberFormat="0" applyProtection="0">
      <alignment horizontal="left" vertical="top" indent="1"/>
    </xf>
    <xf numFmtId="0" fontId="140" fillId="26" borderId="1" applyNumberFormat="0" applyProtection="0">
      <alignment horizontal="left" vertical="top" indent="1"/>
    </xf>
    <xf numFmtId="184" fontId="140" fillId="26" borderId="1" applyNumberFormat="0" applyProtection="0">
      <alignment horizontal="left" vertical="top" indent="1"/>
    </xf>
    <xf numFmtId="184" fontId="1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40" fillId="26" borderId="1" applyNumberFormat="0" applyProtection="0">
      <alignment horizontal="left" vertical="top" indent="1"/>
    </xf>
    <xf numFmtId="184" fontId="140" fillId="26" borderId="1" applyNumberFormat="0" applyProtection="0">
      <alignment horizontal="left" vertical="top" indent="1"/>
    </xf>
    <xf numFmtId="184" fontId="140"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0" fillId="27" borderId="1" applyNumberFormat="0" applyProtection="0">
      <alignment horizontal="left" vertical="top" indent="1"/>
    </xf>
    <xf numFmtId="184" fontId="140" fillId="27" borderId="1" applyNumberFormat="0" applyProtection="0">
      <alignment horizontal="left" vertical="top" indent="1"/>
    </xf>
    <xf numFmtId="184" fontId="21" fillId="0" borderId="0"/>
    <xf numFmtId="182" fontId="140"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40" fillId="27" borderId="1" applyNumberFormat="0" applyProtection="0">
      <alignment horizontal="left" vertical="top" indent="1"/>
    </xf>
    <xf numFmtId="183" fontId="140" fillId="27" borderId="1" applyNumberFormat="0" applyProtection="0">
      <alignment horizontal="left" vertical="top" indent="1"/>
    </xf>
    <xf numFmtId="183" fontId="140" fillId="27" borderId="1" applyNumberFormat="0" applyProtection="0">
      <alignment horizontal="left" vertical="top" indent="1"/>
    </xf>
    <xf numFmtId="183" fontId="140" fillId="27" borderId="1" applyNumberFormat="0" applyProtection="0">
      <alignment horizontal="left" vertical="top" indent="1"/>
    </xf>
    <xf numFmtId="184" fontId="140" fillId="27" borderId="1" applyNumberFormat="0" applyProtection="0">
      <alignment horizontal="left" vertical="top" indent="1"/>
    </xf>
    <xf numFmtId="184" fontId="1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0" fillId="27" borderId="1" applyNumberFormat="0" applyProtection="0">
      <alignment horizontal="left" vertical="top" indent="1"/>
    </xf>
    <xf numFmtId="184" fontId="140" fillId="27" borderId="1" applyNumberFormat="0" applyProtection="0">
      <alignment horizontal="left" vertical="top" indent="1"/>
    </xf>
    <xf numFmtId="184" fontId="140" fillId="27" borderId="1" applyNumberFormat="0" applyProtection="0">
      <alignment horizontal="left" vertical="top" indent="1"/>
    </xf>
    <xf numFmtId="0" fontId="140" fillId="27" borderId="1" applyNumberFormat="0" applyProtection="0">
      <alignment horizontal="left" vertical="top" indent="1"/>
    </xf>
    <xf numFmtId="183" fontId="140" fillId="27" borderId="1" applyNumberFormat="0" applyProtection="0">
      <alignment horizontal="left" vertical="top" indent="1"/>
    </xf>
    <xf numFmtId="183" fontId="140" fillId="27" borderId="1" applyNumberFormat="0" applyProtection="0">
      <alignment horizontal="left" vertical="top" indent="1"/>
    </xf>
    <xf numFmtId="184" fontId="140" fillId="27" borderId="1" applyNumberFormat="0" applyProtection="0">
      <alignment horizontal="left" vertical="top" indent="1"/>
    </xf>
    <xf numFmtId="184" fontId="140" fillId="27" borderId="1" applyNumberFormat="0" applyProtection="0">
      <alignment horizontal="left" vertical="top" indent="1"/>
    </xf>
    <xf numFmtId="0" fontId="140" fillId="27" borderId="1" applyNumberFormat="0" applyProtection="0">
      <alignment horizontal="left" vertical="top" indent="1"/>
    </xf>
    <xf numFmtId="184" fontId="140" fillId="27" borderId="1" applyNumberFormat="0" applyProtection="0">
      <alignment horizontal="left" vertical="top" indent="1"/>
    </xf>
    <xf numFmtId="184" fontId="1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40" fillId="27" borderId="1" applyNumberFormat="0" applyProtection="0">
      <alignment horizontal="left" vertical="top" indent="1"/>
    </xf>
    <xf numFmtId="184" fontId="140" fillId="27" borderId="1" applyNumberFormat="0" applyProtection="0">
      <alignment horizontal="left" vertical="top" indent="1"/>
    </xf>
    <xf numFmtId="184" fontId="140"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50"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5"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3"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0"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7"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4" fontId="144" fillId="1" borderId="9" applyNumberFormat="0" applyFont="0" applyAlignment="0">
      <alignment horizontal="center"/>
    </xf>
    <xf numFmtId="187"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7" fontId="144" fillId="1" borderId="9" applyNumberFormat="0" applyFont="0" applyAlignment="0">
      <alignment horizontal="center"/>
    </xf>
    <xf numFmtId="184" fontId="144" fillId="1" borderId="9" applyNumberFormat="0" applyFont="0" applyAlignment="0">
      <alignment horizontal="center"/>
    </xf>
    <xf numFmtId="187" fontId="144" fillId="1" borderId="9" applyNumberFormat="0" applyFont="0" applyAlignment="0">
      <alignment horizontal="center"/>
    </xf>
    <xf numFmtId="184" fontId="144" fillId="1" borderId="9" applyNumberFormat="0" applyFont="0" applyAlignment="0">
      <alignment horizontal="center"/>
    </xf>
    <xf numFmtId="184" fontId="144"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51" fillId="0" borderId="0" applyNumberFormat="0" applyFill="0" applyBorder="0" applyAlignment="0">
      <alignment horizontal="center"/>
    </xf>
    <xf numFmtId="184" fontId="151" fillId="0" borderId="0" applyNumberFormat="0" applyFill="0" applyBorder="0" applyAlignment="0">
      <alignment horizontal="center"/>
    </xf>
    <xf numFmtId="0" fontId="151" fillId="0" borderId="0" applyNumberFormat="0" applyFill="0" applyBorder="0" applyAlignment="0">
      <alignment horizontal="center"/>
    </xf>
    <xf numFmtId="183"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5" fontId="151" fillId="0" borderId="0" applyNumberFormat="0" applyFill="0" applyBorder="0" applyAlignment="0">
      <alignment horizontal="center"/>
    </xf>
    <xf numFmtId="183"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5"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0"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5" fontId="151" fillId="0" borderId="0" applyNumberFormat="0" applyFill="0" applyBorder="0" applyAlignment="0">
      <alignment horizontal="center"/>
    </xf>
    <xf numFmtId="183"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5"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5" fontId="151" fillId="0" borderId="0" applyNumberFormat="0" applyFill="0" applyBorder="0" applyAlignment="0">
      <alignment horizontal="center"/>
    </xf>
    <xf numFmtId="183"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5"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183"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pplyNumberFormat="0" applyFill="0" applyBorder="0" applyAlignment="0">
      <alignment horizontal="center"/>
    </xf>
    <xf numFmtId="0" fontId="151" fillId="0" borderId="0" applyNumberFormat="0" applyFill="0" applyBorder="0" applyAlignment="0">
      <alignment horizontal="center"/>
    </xf>
    <xf numFmtId="183" fontId="151" fillId="0" borderId="0" applyNumberFormat="0" applyFill="0" applyBorder="0" applyAlignment="0">
      <alignment horizontal="center"/>
    </xf>
    <xf numFmtId="184" fontId="151" fillId="0" borderId="0" applyNumberFormat="0" applyFill="0" applyBorder="0" applyAlignment="0">
      <alignment horizontal="center"/>
    </xf>
    <xf numFmtId="184" fontId="151"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1" fillId="0" borderId="0" applyNumberFormat="0" applyFill="0" applyBorder="0" applyAlignment="0">
      <alignment horizontal="center"/>
    </xf>
    <xf numFmtId="184" fontId="151" fillId="0" borderId="0" applyNumberFormat="0" applyFill="0" applyBorder="0" applyAlignment="0">
      <alignment horizontal="center"/>
    </xf>
    <xf numFmtId="183" fontId="152" fillId="0" borderId="0">
      <alignment horizontal="right"/>
    </xf>
    <xf numFmtId="183" fontId="152" fillId="0" borderId="0">
      <alignment horizontal="right"/>
    </xf>
    <xf numFmtId="184" fontId="152"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3" fillId="0" borderId="0" applyBorder="0">
      <alignment horizontal="right"/>
    </xf>
    <xf numFmtId="40" fontId="153"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4" fillId="0" borderId="0">
      <alignment horizontal="left"/>
    </xf>
    <xf numFmtId="49" fontId="154"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5" fillId="112" borderId="0" applyNumberFormat="0" applyBorder="0" applyAlignment="0" applyProtection="0">
      <protection locked="0"/>
    </xf>
    <xf numFmtId="183" fontId="155" fillId="112" borderId="0" applyNumberFormat="0" applyBorder="0" applyAlignment="0" applyProtection="0">
      <protection locked="0"/>
    </xf>
    <xf numFmtId="184" fontId="155"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112" borderId="0" applyNumberFormat="0" applyBorder="0" applyAlignment="0" applyProtection="0">
      <protection locked="0"/>
    </xf>
    <xf numFmtId="0"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49" fillId="0" borderId="0" applyNumberFormat="0" applyFill="0" applyBorder="0" applyAlignment="0" applyProtection="0"/>
    <xf numFmtId="184" fontId="156"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0" fontId="156" fillId="0" borderId="0" applyNumberFormat="0" applyFill="0" applyBorder="0" applyAlignment="0" applyProtection="0"/>
    <xf numFmtId="183"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6" fillId="0" borderId="0" applyNumberFormat="0" applyFill="0" applyBorder="0" applyAlignment="0" applyProtection="0"/>
    <xf numFmtId="182" fontId="76"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7" fillId="0" borderId="42" applyProtection="0"/>
    <xf numFmtId="3" fontId="157"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8" fillId="0" borderId="0" applyNumberFormat="0" applyFill="0" applyBorder="0" applyAlignment="0" applyProtection="0"/>
    <xf numFmtId="0"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182" fontId="159"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9"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3" fontId="159" fillId="0" borderId="0" applyNumberFormat="0" applyFill="0" applyBorder="0" applyAlignment="0" applyProtection="0"/>
    <xf numFmtId="183" fontId="159" fillId="0" borderId="0" applyNumberFormat="0" applyFill="0" applyBorder="0" applyAlignment="0" applyProtection="0"/>
    <xf numFmtId="184" fontId="159"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9" fillId="0" borderId="0" applyNumberFormat="0" applyFill="0" applyBorder="0" applyAlignment="0" applyProtection="0"/>
    <xf numFmtId="0" fontId="159" fillId="0" borderId="0" applyNumberFormat="0" applyFill="0" applyBorder="0" applyAlignment="0" applyProtection="0"/>
    <xf numFmtId="183" fontId="159" fillId="0" borderId="0" applyNumberFormat="0" applyFill="0" applyBorder="0" applyAlignment="0" applyProtection="0"/>
    <xf numFmtId="184" fontId="159" fillId="0" borderId="0" applyNumberFormat="0" applyFill="0" applyBorder="0" applyAlignment="0" applyProtection="0"/>
    <xf numFmtId="184" fontId="15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9"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8" fillId="0" borderId="0" applyNumberFormat="0" applyFill="0" applyBorder="0" applyAlignment="0" applyProtection="0"/>
    <xf numFmtId="0"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3"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0" fontId="158" fillId="0" borderId="0" applyNumberFormat="0" applyFill="0" applyBorder="0" applyAlignment="0" applyProtection="0"/>
    <xf numFmtId="183"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185"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9" fontId="160" fillId="110" borderId="56" applyNumberFormat="0" applyFill="0" applyBorder="0" applyAlignment="0" applyProtection="0">
      <alignment horizontal="center"/>
      <protection locked="0"/>
    </xf>
    <xf numFmtId="9" fontId="160"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01" fillId="0" borderId="0" applyNumberFormat="0" applyFont="0" applyFill="0" applyBorder="0" applyProtection="0">
      <alignment wrapText="1"/>
    </xf>
    <xf numFmtId="190" fontId="101"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196" fontId="168" fillId="0" borderId="0"/>
    <xf numFmtId="39" fontId="145" fillId="0" borderId="0"/>
  </cellStyleXfs>
  <cellXfs count="1424">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3" fontId="0" fillId="0" borderId="0" xfId="0" applyNumberFormat="1"/>
    <xf numFmtId="169"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168" fontId="24" fillId="0" borderId="0" xfId="20" applyNumberFormat="1" applyFont="1" applyFill="1" applyBorder="1" applyAlignment="1">
      <alignment horizontal="right"/>
    </xf>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164" fontId="29" fillId="36" borderId="0" xfId="0" applyNumberFormat="1" applyFont="1" applyFill="1"/>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28" applyFont="1" applyFill="1" applyBorder="1" applyAlignment="1">
      <alignment horizontal="center"/>
    </xf>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1" fontId="24" fillId="0" borderId="0" xfId="28" quotePrefix="1" applyNumberFormat="1" applyFont="1" applyFill="1" applyBorder="1" applyAlignment="1">
      <alignment horizontal="right"/>
    </xf>
    <xf numFmtId="164" fontId="24" fillId="0" borderId="0" xfId="0" quotePrefix="1" applyNumberFormat="1" applyFont="1" applyAlignment="1">
      <alignment horizontal="center"/>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37" fontId="24" fillId="0" borderId="3" xfId="0" applyNumberFormat="1" applyFont="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0" fontId="54" fillId="34"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177" fontId="24" fillId="36" borderId="3" xfId="22" applyNumberFormat="1" applyFont="1" applyFill="1" applyBorder="1"/>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22"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7"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10" fontId="60" fillId="0" borderId="0" xfId="0" applyNumberFormat="1" applyFont="1"/>
    <xf numFmtId="0" fontId="60" fillId="0" borderId="0" xfId="0"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49" fontId="0" fillId="0" borderId="0" xfId="0" applyNumberFormat="1" applyAlignment="1">
      <alignment horizontal="center"/>
    </xf>
    <xf numFmtId="49" fontId="57" fillId="0" borderId="0" xfId="0" applyNumberFormat="1" applyFont="1" applyAlignment="1">
      <alignment horizontal="center"/>
    </xf>
    <xf numFmtId="0" fontId="0" fillId="0" borderId="0" xfId="0" applyFont="1"/>
    <xf numFmtId="49" fontId="0" fillId="0" borderId="0" xfId="0" applyNumberFormat="1" applyAlignment="1">
      <alignment horizontal="left" indent="1"/>
    </xf>
    <xf numFmtId="0" fontId="61" fillId="0" borderId="0" xfId="0" applyFont="1" applyAlignment="1">
      <alignment horizontal="center" vertical="top"/>
    </xf>
    <xf numFmtId="0" fontId="24" fillId="0" borderId="0" xfId="0" applyFont="1" applyAlignment="1">
      <alignment horizontal="left" wrapText="1"/>
    </xf>
    <xf numFmtId="49" fontId="60" fillId="0" borderId="0" xfId="0" applyNumberFormat="1" applyFont="1" applyAlignment="1">
      <alignment horizontal="left" indent="1"/>
    </xf>
    <xf numFmtId="0" fontId="60" fillId="0" borderId="0" xfId="0" applyFont="1" applyAlignment="1">
      <alignment horizontal="left" wrapText="1"/>
    </xf>
    <xf numFmtId="164" fontId="24" fillId="0" borderId="0" xfId="23" applyNumberFormat="1" applyFont="1" applyFill="1" applyAlignment="1">
      <alignment horizontal="right"/>
    </xf>
    <xf numFmtId="0" fontId="61" fillId="0" borderId="0" xfId="0" applyFont="1" applyAlignment="1">
      <alignment horizontal="center"/>
    </xf>
    <xf numFmtId="178" fontId="0" fillId="0" borderId="0" xfId="23" applyNumberFormat="1" applyFont="1"/>
    <xf numFmtId="0" fontId="0" fillId="0" borderId="0" xfId="0" applyFont="1" applyBorder="1"/>
    <xf numFmtId="164" fontId="42" fillId="0" borderId="0" xfId="0" applyNumberFormat="1" applyFont="1" applyBorder="1"/>
    <xf numFmtId="164" fontId="0" fillId="0" borderId="0" xfId="0" applyNumberFormat="1" applyFont="1" applyAlignment="1">
      <alignment horizontal="right"/>
    </xf>
    <xf numFmtId="3" fontId="0" fillId="0" borderId="0" xfId="23" applyNumberFormat="1" applyFont="1" applyBorder="1" applyAlignment="1">
      <alignment horizontal="right"/>
    </xf>
    <xf numFmtId="49" fontId="60" fillId="0" borderId="0" xfId="0" quotePrefix="1" applyNumberFormat="1" applyFont="1" applyAlignment="1">
      <alignment horizontal="left" indent="1"/>
    </xf>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2" fillId="36" borderId="0" xfId="0" applyFont="1" applyFill="1" applyAlignment="1">
      <alignment horizontal="left"/>
    </xf>
    <xf numFmtId="0" fontId="0" fillId="0" borderId="0" xfId="0" quotePrefix="1" applyFont="1" applyFill="1" applyAlignment="1">
      <alignment horizontal="left" indent="1"/>
    </xf>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Border="1" applyAlignment="1">
      <alignment horizontal="center"/>
    </xf>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164" fontId="0" fillId="0" borderId="0" xfId="0" applyNumberFormat="1" applyAlignment="1">
      <alignment horizontal="center"/>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36" fillId="0" borderId="0" xfId="22"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0" fillId="0" borderId="0" xfId="0" quotePrefix="1" applyNumberFormat="1" applyAlignment="1">
      <alignment horizontal="center"/>
    </xf>
    <xf numFmtId="164" fontId="52" fillId="0" borderId="0" xfId="0" applyNumberFormat="1" applyFont="1" applyAlignment="1">
      <alignment horizontal="center"/>
    </xf>
    <xf numFmtId="164" fontId="24" fillId="0" borderId="0" xfId="0" applyNumberFormat="1" applyFont="1" applyAlignment="1"/>
    <xf numFmtId="164" fontId="24" fillId="0" borderId="0" xfId="0" applyNumberFormat="1" applyFont="1" applyAlignment="1">
      <alignment horizontal="right" indent="1"/>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164" fontId="21" fillId="0" borderId="14" xfId="0" applyNumberFormat="1" applyFont="1" applyFill="1" applyBorder="1"/>
    <xf numFmtId="164" fontId="21" fillId="0" borderId="8" xfId="0" applyNumberFormat="1" applyFont="1" applyFill="1" applyBorder="1"/>
    <xf numFmtId="3"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0" fillId="0" borderId="0" xfId="0"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2"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64" fillId="0" borderId="0" xfId="0" applyFont="1"/>
    <xf numFmtId="0" fontId="22" fillId="0" borderId="0" xfId="0" applyFont="1" applyAlignment="1">
      <alignment horizontal="center"/>
    </xf>
    <xf numFmtId="0" fontId="22" fillId="0" borderId="0" xfId="0" applyFont="1" applyAlignment="1">
      <alignment horizontal="center"/>
    </xf>
    <xf numFmtId="0" fontId="26" fillId="0" borderId="0" xfId="0" applyFont="1" applyFill="1"/>
    <xf numFmtId="0" fontId="27" fillId="0" borderId="0" xfId="0" applyFont="1" applyFill="1"/>
    <xf numFmtId="0" fontId="25" fillId="0" borderId="0" xfId="0" applyFont="1" applyFill="1" applyAlignment="1">
      <alignment horizontal="left"/>
    </xf>
    <xf numFmtId="17" fontId="21" fillId="0" borderId="0" xfId="0" quotePrefix="1" applyNumberFormat="1" applyFont="1" applyFill="1" applyAlignment="1">
      <alignment horizontal="center"/>
    </xf>
    <xf numFmtId="0" fontId="21" fillId="0" borderId="0" xfId="0" quotePrefix="1" applyFont="1" applyAlignment="1">
      <alignment horizontal="left" indent="1"/>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quotePrefix="1"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15" fontId="21" fillId="36" borderId="0" xfId="0" quotePrefix="1" applyNumberFormat="1" applyFont="1" applyFill="1" applyAlignment="1">
      <alignment horizontal="center"/>
    </xf>
    <xf numFmtId="0" fontId="69"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3"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3" fontId="62" fillId="0" borderId="0" xfId="0" applyNumberFormat="1" applyFont="1"/>
    <xf numFmtId="0" fontId="62" fillId="0" borderId="0" xfId="0" applyFont="1" applyFill="1"/>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36" borderId="0" xfId="0" quotePrefix="1" applyNumberFormat="1" applyFont="1" applyFill="1" applyAlignment="1">
      <alignment horizontal="center"/>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quotePrefix="1" applyFont="1" applyFill="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left"/>
    </xf>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applyNumberFormat="1" applyFont="1" applyFill="1" applyBorder="1" applyAlignment="1">
      <alignment horizontal="center"/>
    </xf>
    <xf numFmtId="0" fontId="28" fillId="0" borderId="0" xfId="0" applyNumberFormat="1" applyFont="1" applyFill="1"/>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right"/>
    </xf>
    <xf numFmtId="0" fontId="22" fillId="0" borderId="0" xfId="0" applyNumberFormat="1" applyFont="1" applyFill="1"/>
    <xf numFmtId="0" fontId="21" fillId="0" borderId="0" xfId="0" applyNumberFormat="1" applyFont="1" applyFill="1"/>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0" fontId="21" fillId="0" borderId="0" xfId="100" applyAlignment="1">
      <alignment horizontal="center" wrapText="1"/>
    </xf>
    <xf numFmtId="164" fontId="21" fillId="0" borderId="0" xfId="100" quotePrefix="1" applyNumberFormat="1" applyAlignment="1">
      <alignment horizontal="center"/>
    </xf>
    <xf numFmtId="0" fontId="21" fillId="0" borderId="0" xfId="100" quotePrefix="1" applyAlignment="1">
      <alignment horizontal="center" wrapText="1"/>
    </xf>
    <xf numFmtId="0" fontId="21" fillId="0" borderId="0" xfId="100" quotePrefix="1" applyFont="1" applyAlignment="1">
      <alignment horizontal="center" wrapText="1"/>
    </xf>
    <xf numFmtId="10" fontId="21" fillId="0" borderId="0" xfId="37" quotePrefix="1" applyNumberFormat="1" applyFont="1" applyAlignment="1">
      <alignment horizontal="center" wrapText="1"/>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164" fontId="28" fillId="36" borderId="0" xfId="100" applyNumberFormat="1" applyFont="1" applyFill="1"/>
    <xf numFmtId="0" fontId="54" fillId="36" borderId="0" xfId="125" applyFont="1" applyFill="1"/>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71"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167" fontId="21" fillId="0" borderId="0" xfId="19" applyNumberFormat="1" applyFont="1"/>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1" fillId="0" borderId="0" xfId="126" applyAlignment="1">
      <alignment vertical="center" wrapText="1"/>
    </xf>
    <xf numFmtId="0" fontId="25" fillId="0" borderId="0" xfId="126" quotePrefix="1" applyFont="1" applyAlignment="1">
      <alignment horizontal="center" vertical="center" wrapText="1"/>
    </xf>
    <xf numFmtId="0" fontId="21" fillId="0" borderId="6" xfId="126" quotePrefix="1" applyFont="1" applyBorder="1" applyAlignment="1">
      <alignment horizontal="center" vertical="center" wrapText="1"/>
    </xf>
    <xf numFmtId="0" fontId="21" fillId="0" borderId="0" xfId="126" applyFill="1" applyAlignment="1">
      <alignment horizontal="center" vertical="center" wrapText="1"/>
    </xf>
    <xf numFmtId="0" fontId="21" fillId="0" borderId="0" xfId="126" applyFill="1" applyAlignment="1">
      <alignment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10" fontId="21" fillId="0" borderId="0" xfId="126" applyNumberFormat="1"/>
    <xf numFmtId="173" fontId="21" fillId="0" borderId="0" xfId="126" applyNumberFormat="1" applyAlignment="1">
      <alignment horizontal="center"/>
    </xf>
    <xf numFmtId="0" fontId="21" fillId="0" borderId="0" xfId="126" quotePrefix="1" applyNumberFormat="1" applyFont="1" applyAlignment="1">
      <alignment horizontal="center"/>
    </xf>
    <xf numFmtId="10" fontId="21" fillId="0" borderId="0" xfId="126" applyNumberFormat="1" applyBorder="1"/>
    <xf numFmtId="0" fontId="21" fillId="0" borderId="0" xfId="126" quotePrefix="1" applyNumberFormat="1" applyFont="1" applyBorder="1" applyAlignment="1">
      <alignment horizontal="center"/>
    </xf>
    <xf numFmtId="166" fontId="21" fillId="0" borderId="17" xfId="126" applyNumberFormat="1" applyBorder="1" applyAlignment="1">
      <alignment horizontal="center"/>
    </xf>
    <xf numFmtId="164" fontId="21" fillId="0" borderId="18" xfId="126" applyNumberFormat="1" applyBorder="1"/>
    <xf numFmtId="166" fontId="21" fillId="0" borderId="0" xfId="126" applyNumberFormat="1" applyAlignment="1">
      <alignment horizontal="center"/>
    </xf>
    <xf numFmtId="166" fontId="21" fillId="0" borderId="0" xfId="126" applyNumberFormat="1"/>
    <xf numFmtId="3" fontId="44" fillId="0" borderId="0" xfId="131" applyNumberFormat="1" applyFill="1" applyBorder="1"/>
    <xf numFmtId="3" fontId="44" fillId="0" borderId="0" xfId="132" applyNumberFormat="1" applyFill="1"/>
    <xf numFmtId="0" fontId="21" fillId="0" borderId="0" xfId="126" applyFill="1" applyBorder="1"/>
    <xf numFmtId="166" fontId="21" fillId="0" borderId="0" xfId="126" applyNumberFormat="1" applyFill="1"/>
    <xf numFmtId="3" fontId="44" fillId="0" borderId="0" xfId="130" applyNumberFormat="1" applyFill="1" applyBorder="1" applyAlignment="1">
      <alignment horizontal="center"/>
    </xf>
    <xf numFmtId="0" fontId="21" fillId="0" borderId="0" xfId="126" applyFill="1" applyBorder="1" applyAlignment="1">
      <alignment horizontal="center"/>
    </xf>
    <xf numFmtId="0" fontId="21" fillId="0" borderId="0" xfId="126" applyAlignment="1">
      <alignment horizontal="left" indent="1"/>
    </xf>
    <xf numFmtId="164" fontId="21" fillId="0" borderId="0" xfId="126" applyNumberFormat="1" applyFont="1"/>
    <xf numFmtId="179" fontId="21" fillId="34" borderId="0" xfId="35" quotePrefix="1" applyNumberFormat="1" applyFont="1" applyFill="1" applyAlignment="1">
      <alignment horizontal="left"/>
    </xf>
    <xf numFmtId="3" fontId="44" fillId="36" borderId="0" xfId="128" applyNumberFormat="1" applyFill="1"/>
    <xf numFmtId="3" fontId="44" fillId="36" borderId="0" xfId="129" applyNumberFormat="1" applyFill="1"/>
    <xf numFmtId="3" fontId="44" fillId="36" borderId="0" xfId="130" applyNumberFormat="1" applyFill="1"/>
    <xf numFmtId="10" fontId="21" fillId="0" borderId="3" xfId="126" applyNumberFormat="1" applyBorder="1"/>
    <xf numFmtId="164" fontId="21" fillId="0" borderId="3" xfId="126" applyNumberFormat="1" applyFill="1" applyBorder="1"/>
    <xf numFmtId="3" fontId="21" fillId="0" borderId="3" xfId="126" applyNumberFormat="1" applyBorder="1"/>
    <xf numFmtId="0" fontId="21" fillId="0" borderId="0" xfId="126" applyAlignment="1">
      <alignment horizontal="center"/>
    </xf>
    <xf numFmtId="3" fontId="21" fillId="0" borderId="0" xfId="126" applyNumberFormat="1" applyFill="1"/>
    <xf numFmtId="3" fontId="44" fillId="0" borderId="0" xfId="129" applyNumberFormat="1" applyFill="1"/>
    <xf numFmtId="0" fontId="21" fillId="0" borderId="0" xfId="126" applyFont="1" applyAlignment="1">
      <alignment horizontal="center" vertical="center" wrapText="1"/>
    </xf>
    <xf numFmtId="0" fontId="21" fillId="0" borderId="0" xfId="126" quotePrefix="1" applyFont="1" applyAlignment="1">
      <alignment horizontal="center" vertical="center" wrapText="1"/>
    </xf>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34" borderId="0" xfId="35" applyNumberFormat="1" applyFont="1" applyFill="1" applyAlignment="1">
      <alignment horizontal="left"/>
    </xf>
    <xf numFmtId="164" fontId="21" fillId="0" borderId="0" xfId="126" applyNumberFormat="1" applyFill="1"/>
    <xf numFmtId="2" fontId="21" fillId="0" borderId="0" xfId="126" applyNumberFormat="1" applyFont="1"/>
    <xf numFmtId="2" fontId="21" fillId="0" borderId="0" xfId="126" applyNumberFormat="1" applyFont="1" applyFill="1" applyAlignment="1">
      <alignment horizontal="center"/>
    </xf>
    <xf numFmtId="179" fontId="71" fillId="0" borderId="0" xfId="35" applyNumberFormat="1" applyFont="1" applyFill="1" applyAlignment="1">
      <alignment horizontal="left"/>
    </xf>
    <xf numFmtId="0" fontId="22" fillId="0" borderId="0" xfId="126" applyFont="1" applyAlignment="1">
      <alignment horizontal="center" vertical="center" wrapText="1"/>
    </xf>
    <xf numFmtId="0" fontId="21" fillId="0" borderId="0" xfId="126" quotePrefix="1" applyFont="1" applyAlignment="1">
      <alignment horizontal="center"/>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173" fontId="21" fillId="0" borderId="0" xfId="126" quotePrefix="1" applyNumberFormat="1" applyFill="1" applyAlignment="1">
      <alignment horizontal="center"/>
    </xf>
    <xf numFmtId="164" fontId="21" fillId="0" borderId="0" xfId="126" quotePrefix="1" applyNumberFormat="1" applyFill="1" applyAlignment="1">
      <alignment horizontal="center"/>
    </xf>
    <xf numFmtId="164" fontId="21" fillId="0" borderId="0" xfId="126" applyNumberFormat="1" applyAlignment="1">
      <alignment horizontal="right"/>
    </xf>
    <xf numFmtId="166" fontId="21" fillId="0" borderId="17" xfId="126" quotePrefix="1" applyNumberFormat="1" applyFill="1" applyBorder="1" applyAlignment="1">
      <alignment horizontal="center"/>
    </xf>
    <xf numFmtId="166" fontId="21" fillId="0" borderId="18" xfId="126" applyNumberFormat="1" applyFill="1" applyBorder="1" applyAlignment="1">
      <alignment horizontal="center"/>
    </xf>
    <xf numFmtId="166" fontId="21" fillId="0" borderId="0" xfId="126" quotePrefix="1" applyNumberFormat="1" applyFill="1" applyAlignment="1">
      <alignment horizontal="center"/>
    </xf>
    <xf numFmtId="166" fontId="21" fillId="0" borderId="0" xfId="126" applyNumberFormat="1" applyFill="1" applyAlignment="1">
      <alignment horizontal="center"/>
    </xf>
    <xf numFmtId="164" fontId="21" fillId="0" borderId="0" xfId="126" applyNumberFormat="1" applyBorder="1" applyAlignment="1">
      <alignment horizontal="right"/>
    </xf>
    <xf numFmtId="173" fontId="21" fillId="0" borderId="0" xfId="126" applyNumberFormat="1" applyFill="1" applyAlignment="1">
      <alignment horizontal="center"/>
    </xf>
    <xf numFmtId="166" fontId="21" fillId="0" borderId="17" xfId="126" applyNumberFormat="1" applyFill="1" applyBorder="1" applyAlignment="1">
      <alignment horizontal="center"/>
    </xf>
    <xf numFmtId="164" fontId="21" fillId="0" borderId="0" xfId="126" applyNumberFormat="1" applyBorder="1"/>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0" fontId="21" fillId="0" borderId="4"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0" fontId="21" fillId="36" borderId="0" xfId="126"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1" fillId="0" borderId="0" xfId="126" applyAlignment="1">
      <alignment wrapText="1"/>
    </xf>
    <xf numFmtId="0" fontId="25" fillId="0" borderId="0" xfId="126" quotePrefix="1" applyFont="1" applyAlignment="1">
      <alignment horizontal="center" wrapText="1"/>
    </xf>
    <xf numFmtId="0" fontId="21" fillId="0" borderId="0" xfId="126" quotePrefix="1" applyFont="1" applyAlignment="1">
      <alignment horizontal="center" vertical="top" wrapText="1"/>
    </xf>
    <xf numFmtId="0" fontId="25" fillId="0" borderId="0" xfId="126" quotePrefix="1" applyFont="1" applyFill="1" applyAlignment="1">
      <alignment horizontal="center" wrapText="1"/>
    </xf>
    <xf numFmtId="0" fontId="21" fillId="0" borderId="7" xfId="126" applyFill="1" applyBorder="1"/>
    <xf numFmtId="0" fontId="22" fillId="34" borderId="7" xfId="126" applyFont="1" applyFill="1" applyBorder="1" applyAlignment="1">
      <alignment horizontal="center" wrapText="1"/>
    </xf>
    <xf numFmtId="0" fontId="21" fillId="0" borderId="7" xfId="126" applyBorder="1"/>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3" fontId="21" fillId="0" borderId="0" xfId="126" applyNumberFormat="1"/>
    <xf numFmtId="174" fontId="0" fillId="36" borderId="0" xfId="0" applyNumberFormat="1" applyFill="1" applyAlignment="1">
      <alignment horizontal="center"/>
    </xf>
    <xf numFmtId="2" fontId="21" fillId="0" borderId="0" xfId="126" applyNumberFormat="1" applyFont="1" applyBorder="1"/>
    <xf numFmtId="164" fontId="53" fillId="0" borderId="0" xfId="135" applyNumberFormat="1" applyFont="1" applyFill="1"/>
    <xf numFmtId="164" fontId="73"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0" fontId="21" fillId="36" borderId="0" xfId="28" applyNumberFormat="1"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36" borderId="0" xfId="28" applyFont="1" applyFill="1" applyBorder="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3" fillId="0" borderId="0" xfId="0" applyFont="1" applyFill="1"/>
    <xf numFmtId="0" fontId="55" fillId="36" borderId="0" xfId="0" quotePrefix="1" applyFont="1" applyFill="1" applyAlignment="1">
      <alignment horizontal="center"/>
    </xf>
    <xf numFmtId="0" fontId="54" fillId="0" borderId="0" xfId="0" applyFont="1" applyFill="1" applyAlignment="1">
      <alignment horizontal="right"/>
    </xf>
    <xf numFmtId="0" fontId="67"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60" fillId="0" borderId="0" xfId="0" applyFont="1" applyFill="1"/>
    <xf numFmtId="0" fontId="60" fillId="0" borderId="0" xfId="0" applyFont="1" applyFill="1" applyAlignment="1">
      <alignment horizontal="left" indent="1"/>
    </xf>
    <xf numFmtId="164" fontId="60" fillId="0" borderId="0" xfId="0" applyNumberFormat="1" applyFont="1" applyFill="1"/>
    <xf numFmtId="0" fontId="0" fillId="0" borderId="0" xfId="0" quotePrefix="1" applyFill="1"/>
    <xf numFmtId="166" fontId="24" fillId="0" borderId="0" xfId="20" applyNumberFormat="1" applyFont="1" applyFill="1" applyBorder="1" applyAlignment="1">
      <alignment horizontal="right"/>
    </xf>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0" fontId="21" fillId="0" borderId="0" xfId="100" applyNumberFormat="1" applyFont="1" applyFill="1" applyAlignment="1">
      <alignment horizontal="center"/>
    </xf>
    <xf numFmtId="10" fontId="21" fillId="0" borderId="0" xfId="37" applyNumberFormat="1" applyFont="1" applyFill="1" applyAlignment="1">
      <alignment horizontal="center"/>
    </xf>
    <xf numFmtId="5" fontId="21" fillId="0" borderId="0" xfId="100" applyNumberFormat="1" applyFill="1"/>
    <xf numFmtId="0" fontId="21" fillId="0" borderId="0" xfId="100" quotePrefix="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0" fontId="21" fillId="0" borderId="0" xfId="39" applyNumberFormat="1" applyFont="1" applyFill="1" applyBorder="1" applyAlignment="1">
      <alignment horizontal="center" vertical="justify" wrapText="1"/>
    </xf>
    <xf numFmtId="10" fontId="21" fillId="0" borderId="8" xfId="39" applyNumberFormat="1" applyFont="1" applyFill="1" applyBorder="1" applyAlignment="1">
      <alignment horizontal="center" wrapText="1"/>
    </xf>
    <xf numFmtId="165" fontId="29" fillId="0" borderId="0" xfId="0" applyNumberFormat="1" applyFont="1" applyFill="1"/>
    <xf numFmtId="0" fontId="66"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0" fontId="21" fillId="0" borderId="0" xfId="0" applyFont="1" applyFill="1" applyBorder="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vertical="center"/>
    </xf>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0" fontId="24"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0" fontId="24" fillId="0" borderId="0" xfId="0" applyNumberFormat="1" applyFont="1" applyFill="1"/>
    <xf numFmtId="10" fontId="21" fillId="36" borderId="0" xfId="0" quotePrefix="1" applyNumberFormat="1" applyFont="1" applyFill="1" applyAlignment="1">
      <alignment horizontal="right"/>
    </xf>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6" applyNumberFormat="1" applyFill="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10" fontId="21" fillId="36" borderId="0" xfId="126" applyNumberFormat="1" applyFont="1" applyFill="1" applyBorder="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30"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3" fontId="10" fillId="36" borderId="0" xfId="247" applyNumberFormat="1" applyFill="1"/>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164" fontId="54" fillId="36" borderId="0" xfId="125" applyNumberFormat="1" applyFont="1" applyFill="1"/>
    <xf numFmtId="0" fontId="54" fillId="36" borderId="0" xfId="125"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7" fillId="36" borderId="0" xfId="0" applyNumberFormat="1" applyFont="1" applyFill="1"/>
    <xf numFmtId="172" fontId="21" fillId="34" borderId="0" xfId="0" applyNumberFormat="1" applyFont="1" applyFill="1" applyAlignment="1">
      <alignment wrapText="1"/>
    </xf>
    <xf numFmtId="0" fontId="24" fillId="0" borderId="4" xfId="0" applyNumberFormat="1" applyFont="1" applyFill="1" applyBorder="1"/>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0" xfId="100" applyNumberFormat="1" applyFont="1" applyFill="1" applyBorder="1" applyAlignment="1">
      <alignment horizontal="right"/>
    </xf>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164" fontId="0" fillId="0" borderId="0" xfId="0" applyNumberFormat="1" applyBorder="1" applyAlignment="1"/>
    <xf numFmtId="0" fontId="24" fillId="0" borderId="0" xfId="0" applyFont="1" applyBorder="1" applyAlignment="1">
      <alignment horizontal="left" indent="1"/>
    </xf>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0" fontId="0" fillId="36" borderId="0" xfId="0" applyFill="1" applyBorder="1"/>
    <xf numFmtId="164" fontId="21" fillId="36" borderId="0" xfId="0" applyNumberFormat="1" applyFont="1" applyFill="1" applyBorder="1" applyAlignment="1">
      <alignment horizontal="right"/>
    </xf>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0" fontId="21" fillId="36" borderId="0" xfId="28" applyFont="1" applyFill="1" applyBorder="1"/>
    <xf numFmtId="164" fontId="24" fillId="0" borderId="0" xfId="0" applyNumberFormat="1" applyFont="1" applyFill="1" applyBorder="1" applyAlignment="1">
      <alignment horizontal="right"/>
    </xf>
    <xf numFmtId="164" fontId="0" fillId="34" borderId="0" xfId="0" applyNumberFormat="1" applyFill="1" applyBorder="1"/>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6" xfId="126" quotePrefix="1" applyFont="1" applyBorder="1" applyAlignment="1">
      <alignment horizontal="center" wrapText="1"/>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5" xfId="126" quotePrefix="1" applyFont="1" applyFill="1" applyBorder="1" applyAlignment="1">
      <alignment horizontal="center" wrapText="1"/>
    </xf>
    <xf numFmtId="0" fontId="21" fillId="0" borderId="19" xfId="126" applyFont="1" applyFill="1" applyBorder="1" applyAlignment="1">
      <alignment horizontal="center"/>
    </xf>
    <xf numFmtId="3" fontId="21" fillId="0" borderId="3" xfId="126" applyNumberFormat="1" applyFill="1" applyBorder="1"/>
    <xf numFmtId="9" fontId="21" fillId="0" borderId="0" xfId="37" applyFont="1" applyFill="1"/>
    <xf numFmtId="0" fontId="21" fillId="0" borderId="0" xfId="126" quotePrefix="1" applyFont="1" applyFill="1" applyAlignment="1">
      <alignment horizontal="center" vertical="center" wrapText="1"/>
    </xf>
    <xf numFmtId="0" fontId="161"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0" fontId="21" fillId="36" borderId="0" xfId="126" applyFill="1" applyBorder="1"/>
    <xf numFmtId="3" fontId="21" fillId="0" borderId="0" xfId="126" applyNumberFormat="1" applyFont="1"/>
    <xf numFmtId="0" fontId="21"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1" fillId="0" borderId="18" xfId="126" applyNumberFormat="1" applyBorder="1" applyAlignment="1">
      <alignment horizontal="center"/>
    </xf>
    <xf numFmtId="0" fontId="0" fillId="0" borderId="18" xfId="0" applyBorder="1" applyAlignment="1">
      <alignment horizontal="center"/>
    </xf>
    <xf numFmtId="0" fontId="22" fillId="0" borderId="4" xfId="126" applyFont="1" applyFill="1" applyBorder="1" applyAlignment="1">
      <alignment horizontal="center"/>
    </xf>
    <xf numFmtId="3" fontId="21" fillId="0" borderId="3" xfId="126" applyNumberFormat="1" applyFont="1" applyFill="1" applyBorder="1"/>
    <xf numFmtId="0" fontId="71" fillId="0" borderId="0" xfId="126" applyFont="1" applyFill="1"/>
    <xf numFmtId="0" fontId="66" fillId="0" borderId="0" xfId="126" quotePrefix="1" applyFont="1" applyAlignment="1">
      <alignment horizontal="center" vertical="center" wrapText="1"/>
    </xf>
    <xf numFmtId="0" fontId="21" fillId="0" borderId="0" xfId="126" applyFont="1" applyAlignment="1">
      <alignment horizontal="center" wrapText="1"/>
    </xf>
    <xf numFmtId="0" fontId="21" fillId="0" borderId="0" xfId="126" quotePrefix="1" applyFont="1" applyFill="1" applyAlignment="1">
      <alignment horizontal="center" wrapText="1"/>
    </xf>
    <xf numFmtId="0" fontId="161" fillId="0" borderId="0" xfId="126" quotePrefix="1" applyFont="1" applyAlignment="1">
      <alignment horizontal="center" wrapText="1"/>
    </xf>
    <xf numFmtId="0" fontId="163" fillId="0" borderId="0" xfId="126" quotePrefix="1" applyFont="1" applyAlignment="1">
      <alignment horizontal="center"/>
    </xf>
    <xf numFmtId="0" fontId="163" fillId="0" borderId="0" xfId="126" quotePrefix="1" applyFont="1" applyBorder="1" applyAlignment="1">
      <alignment horizontal="center"/>
    </xf>
    <xf numFmtId="2" fontId="164" fillId="0" borderId="29" xfId="126" applyNumberFormat="1" applyFont="1" applyBorder="1" applyAlignment="1">
      <alignment horizontal="center" wrapText="1"/>
    </xf>
    <xf numFmtId="2" fontId="164" fillId="0" borderId="0" xfId="126" applyNumberFormat="1" applyFont="1" applyBorder="1" applyAlignment="1">
      <alignment horizontal="center" wrapText="1"/>
    </xf>
    <xf numFmtId="164" fontId="21" fillId="0" borderId="0" xfId="126" applyNumberFormat="1" applyFont="1" applyFill="1"/>
    <xf numFmtId="3" fontId="60" fillId="0" borderId="0" xfId="0" applyNumberFormat="1" applyFont="1" applyFill="1" applyAlignment="1">
      <alignment horizontal="right"/>
    </xf>
    <xf numFmtId="166" fontId="60" fillId="0" borderId="0" xfId="0" applyNumberFormat="1" applyFont="1" applyFill="1" applyAlignment="1">
      <alignment horizontal="right"/>
    </xf>
    <xf numFmtId="2" fontId="161" fillId="0" borderId="0" xfId="126" applyNumberFormat="1" applyFont="1"/>
    <xf numFmtId="164" fontId="161" fillId="0" borderId="0" xfId="126" applyNumberFormat="1" applyFont="1" applyFill="1"/>
    <xf numFmtId="1" fontId="161"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164" fontId="21" fillId="0" borderId="3" xfId="126" applyNumberFormat="1" applyFont="1" applyFill="1" applyBorder="1"/>
    <xf numFmtId="0" fontId="21" fillId="0" borderId="0" xfId="126" applyFont="1" applyFill="1" applyAlignment="1">
      <alignment readingOrder="1"/>
    </xf>
    <xf numFmtId="0" fontId="21" fillId="0" borderId="0" xfId="126" quotePrefix="1" applyFont="1" applyAlignment="1">
      <alignment horizontal="center" wrapText="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3" fontId="21" fillId="0" borderId="3" xfId="126" applyNumberFormat="1" applyFont="1" applyBorder="1"/>
    <xf numFmtId="10" fontId="54" fillId="0" borderId="3" xfId="134" applyNumberFormat="1" applyFont="1" applyBorder="1"/>
    <xf numFmtId="164" fontId="21" fillId="0" borderId="0" xfId="0" applyNumberFormat="1" applyFont="1" applyAlignment="1"/>
    <xf numFmtId="42" fontId="21" fillId="34" borderId="0" xfId="0" applyNumberFormat="1" applyFont="1" applyFill="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42" fontId="21" fillId="0" borderId="0" xfId="0" applyNumberFormat="1" applyFont="1" applyFill="1"/>
    <xf numFmtId="0" fontId="21" fillId="0" borderId="0" xfId="100" quotePrefix="1" applyFont="1" applyFill="1"/>
    <xf numFmtId="0" fontId="22" fillId="36" borderId="0" xfId="28" applyFont="1" applyFill="1" applyBorder="1" applyAlignment="1">
      <alignment horizontal="left"/>
    </xf>
    <xf numFmtId="164" fontId="21" fillId="36" borderId="0" xfId="0" quotePrefix="1" applyNumberFormat="1" applyFont="1" applyFill="1" applyBorder="1" applyAlignment="1">
      <alignment horizontal="center"/>
    </xf>
    <xf numFmtId="0" fontId="21" fillId="36" borderId="0" xfId="0" applyNumberFormat="1" applyFont="1" applyFill="1" applyAlignment="1"/>
    <xf numFmtId="0" fontId="0" fillId="36" borderId="0" xfId="0" applyNumberFormat="1" applyFill="1" applyAlignment="1">
      <alignment horizontal="left"/>
    </xf>
    <xf numFmtId="10" fontId="0" fillId="36" borderId="0" xfId="0" applyNumberFormat="1" applyFill="1" applyAlignment="1">
      <alignment horizontal="center"/>
    </xf>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5" fontId="21" fillId="0" borderId="0" xfId="0" quotePrefix="1" applyNumberFormat="1" applyFont="1" applyAlignment="1">
      <alignment horizontal="center"/>
    </xf>
    <xf numFmtId="5" fontId="28" fillId="0" borderId="0" xfId="0" quotePrefix="1" applyNumberFormat="1" applyFont="1" applyAlignment="1">
      <alignment horizontal="center"/>
    </xf>
    <xf numFmtId="0" fontId="22" fillId="0" borderId="0" xfId="0" quotePrefix="1" applyFont="1" applyFill="1"/>
    <xf numFmtId="164" fontId="28" fillId="0" borderId="0" xfId="0" quotePrefix="1" applyNumberFormat="1" applyFont="1" applyAlignment="1">
      <alignment horizontal="center"/>
    </xf>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42" fontId="21" fillId="36" borderId="0" xfId="0" quotePrefix="1" applyNumberFormat="1" applyFont="1" applyFill="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7"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0" fontId="21" fillId="36" borderId="3" xfId="0" quotePrefix="1" applyNumberFormat="1" applyFont="1" applyFill="1" applyBorder="1" applyAlignment="1">
      <alignment horizontal="left"/>
    </xf>
    <xf numFmtId="0" fontId="21" fillId="36" borderId="3" xfId="0" applyNumberFormat="1" applyFont="1" applyFill="1" applyBorder="1"/>
    <xf numFmtId="0" fontId="21" fillId="36" borderId="3" xfId="0" applyFont="1" applyFill="1" applyBorder="1" applyAlignment="1">
      <alignment horizontal="center"/>
    </xf>
    <xf numFmtId="0" fontId="21" fillId="36" borderId="3" xfId="0" quotePrefix="1" applyNumberFormat="1" applyFont="1" applyFill="1" applyBorder="1"/>
    <xf numFmtId="177" fontId="21" fillId="36" borderId="3" xfId="97" applyNumberFormat="1" applyFont="1" applyFill="1" applyBorder="1" applyAlignment="1">
      <alignment horizontal="center"/>
    </xf>
    <xf numFmtId="0" fontId="21" fillId="36" borderId="3" xfId="0" applyNumberFormat="1" applyFont="1" applyFill="1" applyBorder="1" applyAlignment="1">
      <alignment horizontal="left"/>
    </xf>
    <xf numFmtId="0" fontId="21" fillId="36" borderId="3" xfId="97" applyNumberFormat="1" applyFont="1" applyFill="1" applyBorder="1" applyAlignment="1">
      <alignment horizontal="left"/>
    </xf>
    <xf numFmtId="37" fontId="22" fillId="36" borderId="3" xfId="97" applyNumberFormat="1" applyFont="1" applyFill="1" applyBorder="1" applyAlignment="1">
      <alignment horizontal="center"/>
    </xf>
    <xf numFmtId="164" fontId="1" fillId="36" borderId="0" xfId="23" applyNumberFormat="1" applyFont="1" applyFill="1" applyAlignment="1">
      <alignment horizontal="right"/>
    </xf>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36" fillId="0" borderId="0" xfId="0" quotePrefix="1" applyNumberFormat="1" applyFont="1" applyAlignment="1">
      <alignment horizontal="right"/>
    </xf>
    <xf numFmtId="164" fontId="21" fillId="0" borderId="0" xfId="0" quotePrefix="1" applyNumberFormat="1" applyFont="1" applyAlignment="1">
      <alignment horizontal="right"/>
    </xf>
    <xf numFmtId="10" fontId="0" fillId="36" borderId="0" xfId="0" applyNumberFormat="1" applyFill="1"/>
    <xf numFmtId="164" fontId="24" fillId="36" borderId="0" xfId="0" applyNumberFormat="1" applyFont="1" applyFill="1" applyBorder="1" applyAlignment="1">
      <alignment horizontal="right"/>
    </xf>
    <xf numFmtId="206" fontId="24" fillId="0" borderId="0" xfId="0" applyNumberFormat="1" applyFont="1" applyFill="1"/>
    <xf numFmtId="0" fontId="0" fillId="0" borderId="0" xfId="0" applyFill="1" applyAlignment="1">
      <alignment wrapText="1"/>
    </xf>
    <xf numFmtId="164" fontId="22" fillId="0" borderId="0" xfId="96" applyNumberFormat="1" applyFont="1" applyBorder="1" applyAlignment="1">
      <alignment horizontal="center"/>
    </xf>
    <xf numFmtId="0" fontId="22" fillId="0" borderId="0" xfId="0" quotePrefix="1" applyFont="1" applyAlignment="1">
      <alignment horizontal="left" indent="1"/>
    </xf>
    <xf numFmtId="164" fontId="25" fillId="0" borderId="0" xfId="96" applyNumberFormat="1" applyFont="1" applyBorder="1" applyAlignment="1">
      <alignment horizontal="center"/>
    </xf>
    <xf numFmtId="0" fontId="21" fillId="0" borderId="0" xfId="0" applyFont="1" applyFill="1" applyAlignment="1">
      <alignment wrapText="1"/>
    </xf>
    <xf numFmtId="3" fontId="21" fillId="0" borderId="0" xfId="96" applyNumberFormat="1" applyFont="1" applyFill="1" applyBorder="1"/>
    <xf numFmtId="10" fontId="21" fillId="0" borderId="0" xfId="96" applyNumberFormat="1" applyFont="1" applyBorder="1"/>
    <xf numFmtId="0" fontId="0" fillId="36" borderId="0" xfId="0" applyFill="1" applyAlignment="1">
      <alignment wrapText="1"/>
    </xf>
    <xf numFmtId="166" fontId="21" fillId="0" borderId="0" xfId="96" applyNumberFormat="1" applyFont="1" applyBorder="1" applyAlignment="1">
      <alignment horizontal="left" indent="1"/>
    </xf>
    <xf numFmtId="166" fontId="21" fillId="0" borderId="0" xfId="0" quotePrefix="1" applyNumberFormat="1" applyFont="1" applyAlignment="1">
      <alignment horizontal="center"/>
    </xf>
    <xf numFmtId="14" fontId="0" fillId="0" borderId="0" xfId="0" applyNumberFormat="1"/>
    <xf numFmtId="0" fontId="53" fillId="0" borderId="0" xfId="0" applyFont="1" applyAlignment="1">
      <alignment horizontal="right"/>
    </xf>
    <xf numFmtId="0" fontId="167" fillId="0" borderId="0" xfId="0" applyFont="1"/>
    <xf numFmtId="1" fontId="22" fillId="0" borderId="0" xfId="53892" applyNumberFormat="1" applyFont="1" applyFill="1" applyAlignment="1" applyProtection="1">
      <alignment horizontal="center"/>
    </xf>
    <xf numFmtId="168" fontId="0" fillId="0" borderId="0" xfId="0" applyNumberFormat="1"/>
    <xf numFmtId="0" fontId="22" fillId="0" borderId="57" xfId="0" applyFont="1" applyBorder="1" applyAlignment="1">
      <alignment horizontal="center"/>
    </xf>
    <xf numFmtId="207" fontId="22" fillId="0" borderId="17" xfId="53892" applyNumberFormat="1" applyFont="1" applyBorder="1" applyAlignment="1" applyProtection="1">
      <alignment horizontal="center" wrapText="1"/>
    </xf>
    <xf numFmtId="196" fontId="22" fillId="0" borderId="57" xfId="53892" applyFont="1" applyBorder="1" applyAlignment="1" applyProtection="1">
      <alignment horizontal="center" wrapText="1"/>
    </xf>
    <xf numFmtId="196" fontId="22" fillId="0" borderId="19" xfId="53892" applyFont="1" applyBorder="1" applyAlignment="1" applyProtection="1">
      <alignment horizontal="center" wrapText="1"/>
    </xf>
    <xf numFmtId="3" fontId="22" fillId="0" borderId="57" xfId="53892" applyNumberFormat="1" applyFont="1" applyFill="1" applyBorder="1" applyAlignment="1" applyProtection="1">
      <alignment horizontal="center" wrapText="1"/>
    </xf>
    <xf numFmtId="196" fontId="22" fillId="0" borderId="17" xfId="53892" applyFont="1" applyBorder="1" applyAlignment="1" applyProtection="1">
      <alignment horizontal="center" wrapText="1"/>
    </xf>
    <xf numFmtId="196" fontId="22" fillId="0" borderId="57" xfId="53892" applyFont="1" applyFill="1" applyBorder="1" applyAlignment="1" applyProtection="1">
      <alignment horizontal="center" wrapText="1"/>
    </xf>
    <xf numFmtId="196" fontId="22" fillId="0" borderId="57" xfId="53892" applyFont="1" applyBorder="1" applyAlignment="1">
      <alignment horizontal="center" wrapText="1"/>
    </xf>
    <xf numFmtId="196" fontId="22" fillId="0" borderId="19" xfId="53892" applyFont="1" applyFill="1" applyBorder="1" applyAlignment="1" applyProtection="1">
      <alignment horizontal="center" wrapText="1"/>
    </xf>
    <xf numFmtId="14" fontId="0" fillId="36" borderId="0" xfId="0" applyNumberFormat="1" applyFill="1"/>
    <xf numFmtId="203" fontId="0" fillId="0" borderId="0" xfId="0" applyNumberFormat="1" applyFill="1"/>
    <xf numFmtId="1" fontId="0" fillId="36" borderId="0" xfId="0" applyNumberFormat="1" applyFill="1" applyAlignment="1">
      <alignment horizontal="center"/>
    </xf>
    <xf numFmtId="203" fontId="0" fillId="0" borderId="0" xfId="0" applyNumberFormat="1"/>
    <xf numFmtId="0" fontId="34" fillId="36" borderId="0" xfId="0" applyFont="1" applyFill="1" applyBorder="1" applyAlignment="1">
      <alignment horizontal="left" indent="1"/>
    </xf>
    <xf numFmtId="14" fontId="21" fillId="36" borderId="0" xfId="0" applyNumberFormat="1" applyFont="1" applyFill="1"/>
    <xf numFmtId="168" fontId="21" fillId="36" borderId="0" xfId="0" applyNumberFormat="1" applyFont="1" applyFill="1"/>
    <xf numFmtId="168" fontId="21" fillId="0" borderId="0" xfId="0" applyNumberFormat="1" applyFont="1"/>
    <xf numFmtId="165" fontId="21" fillId="0" borderId="0" xfId="0" applyNumberFormat="1" applyFont="1"/>
    <xf numFmtId="1" fontId="169" fillId="36" borderId="0" xfId="0" applyNumberFormat="1" applyFont="1" applyFill="1" applyAlignment="1">
      <alignment horizontal="center"/>
    </xf>
    <xf numFmtId="164" fontId="169" fillId="0" borderId="0" xfId="0" applyNumberFormat="1" applyFont="1" applyFill="1"/>
    <xf numFmtId="164" fontId="169" fillId="36" borderId="0" xfId="0" applyNumberFormat="1" applyFont="1" applyFill="1"/>
    <xf numFmtId="0" fontId="53" fillId="0" borderId="0" xfId="0" applyFont="1"/>
    <xf numFmtId="0" fontId="22" fillId="0" borderId="0" xfId="0" applyFont="1" applyFill="1" applyBorder="1" applyAlignment="1">
      <alignment horizontal="left"/>
    </xf>
    <xf numFmtId="0" fontId="22" fillId="0" borderId="57" xfId="0" applyFont="1" applyBorder="1" applyAlignment="1">
      <alignment horizontal="center" wrapText="1"/>
    </xf>
    <xf numFmtId="3" fontId="22" fillId="0" borderId="17" xfId="53892" applyNumberFormat="1" applyFont="1" applyBorder="1" applyAlignment="1" applyProtection="1">
      <alignment horizontal="center" wrapText="1"/>
    </xf>
    <xf numFmtId="203" fontId="21" fillId="0" borderId="0" xfId="0" applyNumberFormat="1" applyFont="1" applyFill="1"/>
    <xf numFmtId="0" fontId="34" fillId="36" borderId="0" xfId="0" quotePrefix="1" applyFont="1" applyFill="1" applyBorder="1" applyAlignment="1">
      <alignment horizontal="left" indent="1"/>
    </xf>
    <xf numFmtId="3" fontId="22" fillId="0" borderId="57" xfId="53892" applyNumberFormat="1" applyFont="1" applyBorder="1" applyAlignment="1" applyProtection="1">
      <alignment horizontal="center" wrapText="1"/>
    </xf>
    <xf numFmtId="0" fontId="170" fillId="0" borderId="0" xfId="0" applyFont="1" applyFill="1" applyAlignment="1">
      <alignment horizontal="right"/>
    </xf>
    <xf numFmtId="0" fontId="22" fillId="0" borderId="17" xfId="0" applyFont="1" applyBorder="1" applyAlignment="1">
      <alignment horizontal="center"/>
    </xf>
    <xf numFmtId="0" fontId="22" fillId="0" borderId="17" xfId="0" applyFont="1" applyBorder="1" applyAlignment="1">
      <alignment horizontal="center" wrapText="1"/>
    </xf>
    <xf numFmtId="0" fontId="22" fillId="0" borderId="18" xfId="0" applyFont="1" applyBorder="1" applyAlignment="1">
      <alignment horizontal="center" wrapText="1"/>
    </xf>
    <xf numFmtId="0" fontId="22" fillId="0" borderId="18" xfId="0" applyFont="1" applyFill="1" applyBorder="1" applyAlignment="1">
      <alignment horizontal="center" wrapText="1"/>
    </xf>
    <xf numFmtId="0" fontId="22" fillId="0" borderId="19" xfId="0" applyFont="1" applyBorder="1" applyAlignment="1">
      <alignment horizontal="center" wrapText="1"/>
    </xf>
    <xf numFmtId="14" fontId="21" fillId="36" borderId="0" xfId="0" quotePrefix="1" applyNumberFormat="1" applyFont="1" applyFill="1" applyAlignment="1" applyProtection="1">
      <alignment horizontal="center" vertical="center"/>
    </xf>
    <xf numFmtId="168" fontId="21" fillId="36" borderId="0" xfId="37" applyNumberFormat="1" applyFont="1" applyFill="1" applyAlignment="1">
      <alignment horizontal="center"/>
    </xf>
    <xf numFmtId="5" fontId="21" fillId="36" borderId="0" xfId="0" applyNumberFormat="1" applyFont="1" applyFill="1" applyAlignment="1" applyProtection="1">
      <alignment horizontal="center"/>
    </xf>
    <xf numFmtId="5" fontId="0" fillId="0" borderId="0" xfId="0" applyNumberFormat="1"/>
    <xf numFmtId="171" fontId="0" fillId="0" borderId="0" xfId="0" applyNumberFormat="1"/>
    <xf numFmtId="208" fontId="0" fillId="0" borderId="0" xfId="0" applyNumberFormat="1"/>
    <xf numFmtId="14" fontId="21" fillId="36" borderId="0" xfId="0" applyNumberFormat="1" applyFont="1" applyFill="1" applyAlignment="1" applyProtection="1">
      <alignment horizontal="center" vertical="center"/>
    </xf>
    <xf numFmtId="5" fontId="21" fillId="36" borderId="0" xfId="0" applyNumberFormat="1" applyFont="1" applyFill="1" applyBorder="1" applyAlignment="1" applyProtection="1">
      <alignment horizontal="center"/>
    </xf>
    <xf numFmtId="0" fontId="21" fillId="36" borderId="0" xfId="0" applyFont="1" applyFill="1" applyBorder="1" applyAlignment="1">
      <alignment horizontal="left" indent="1"/>
    </xf>
    <xf numFmtId="14" fontId="21" fillId="36" borderId="0" xfId="0" applyNumberFormat="1" applyFont="1" applyFill="1" applyBorder="1" applyAlignment="1" applyProtection="1">
      <alignment horizontal="center" vertical="center"/>
    </xf>
    <xf numFmtId="168" fontId="21" fillId="36" borderId="0" xfId="37" applyNumberFormat="1" applyFont="1" applyFill="1" applyBorder="1" applyAlignment="1">
      <alignment horizontal="center"/>
    </xf>
    <xf numFmtId="164" fontId="22" fillId="0" borderId="17" xfId="0" applyNumberFormat="1" applyFont="1" applyBorder="1" applyAlignment="1">
      <alignment horizontal="center" wrapText="1"/>
    </xf>
    <xf numFmtId="164" fontId="22" fillId="0" borderId="57" xfId="0" applyNumberFormat="1" applyFont="1" applyBorder="1" applyAlignment="1">
      <alignment horizontal="center" wrapText="1"/>
    </xf>
    <xf numFmtId="164" fontId="0" fillId="36" borderId="0" xfId="0" applyNumberFormat="1" applyFill="1" applyAlignment="1">
      <alignment horizontal="center"/>
    </xf>
    <xf numFmtId="0" fontId="21" fillId="36" borderId="58" xfId="0" applyFont="1" applyFill="1" applyBorder="1" applyAlignment="1">
      <alignment horizontal="left" indent="1"/>
    </xf>
    <xf numFmtId="10" fontId="21" fillId="36" borderId="0" xfId="37" applyNumberFormat="1" applyFont="1" applyFill="1" applyAlignment="1">
      <alignment horizontal="left" indent="1"/>
    </xf>
    <xf numFmtId="10" fontId="21" fillId="0" borderId="0" xfId="37" applyNumberFormat="1" applyFont="1" applyFill="1"/>
    <xf numFmtId="0" fontId="21" fillId="113" borderId="0" xfId="0" applyFont="1" applyFill="1"/>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9"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0" fontId="171" fillId="36" borderId="0" xfId="0" applyFont="1" applyFill="1"/>
    <xf numFmtId="0" fontId="21" fillId="0" borderId="7" xfId="126" applyBorder="1" applyAlignment="1">
      <alignment horizontal="center"/>
    </xf>
    <xf numFmtId="39" fontId="21" fillId="36" borderId="0" xfId="53893" applyFont="1" applyFill="1" applyAlignment="1" applyProtection="1">
      <alignment horizontal="left" indent="1"/>
    </xf>
    <xf numFmtId="196" fontId="21" fillId="36" borderId="0" xfId="53892" applyFont="1" applyFill="1" applyBorder="1" applyAlignment="1">
      <alignment horizontal="left" indent="1"/>
    </xf>
    <xf numFmtId="39" fontId="21" fillId="36" borderId="0" xfId="53893" applyFont="1" applyFill="1" applyBorder="1" applyAlignment="1">
      <alignment horizontal="left" indent="1"/>
    </xf>
    <xf numFmtId="168" fontId="21" fillId="36" borderId="0" xfId="0" applyNumberFormat="1" applyFont="1" applyFill="1" applyAlignment="1">
      <alignment horizontal="right"/>
    </xf>
    <xf numFmtId="0" fontId="172" fillId="0" borderId="0" xfId="0" applyFont="1" applyAlignment="1">
      <alignment horizontal="center"/>
    </xf>
    <xf numFmtId="0" fontId="173" fillId="0" borderId="0" xfId="0" applyFont="1" applyAlignment="1">
      <alignment horizontal="center"/>
    </xf>
    <xf numFmtId="0" fontId="0" fillId="0" borderId="0" xfId="0" applyAlignment="1">
      <alignment horizontal="center"/>
    </xf>
    <xf numFmtId="0" fontId="70" fillId="0" borderId="0" xfId="0" applyFont="1" applyAlignment="1">
      <alignment horizontal="center"/>
    </xf>
    <xf numFmtId="0" fontId="51" fillId="0" borderId="0" xfId="0" applyFont="1" applyAlignment="1">
      <alignment horizontal="center"/>
    </xf>
    <xf numFmtId="0" fontId="172" fillId="0" borderId="0" xfId="0" applyFont="1" applyAlignment="1">
      <alignment horizontal="center"/>
    </xf>
    <xf numFmtId="0" fontId="22" fillId="0" borderId="60" xfId="0" quotePrefix="1" applyFont="1" applyBorder="1" applyAlignment="1">
      <alignment horizontal="center"/>
    </xf>
    <xf numFmtId="0" fontId="21" fillId="0" borderId="61" xfId="0" applyFont="1" applyBorder="1" applyAlignment="1">
      <alignment horizontal="center"/>
    </xf>
    <xf numFmtId="196" fontId="22" fillId="0" borderId="17" xfId="53892" applyFont="1" applyBorder="1" applyAlignment="1" applyProtection="1">
      <alignment horizontal="center" wrapText="1"/>
    </xf>
    <xf numFmtId="0" fontId="0" fillId="0" borderId="19" xfId="0" applyBorder="1" applyAlignment="1">
      <alignment horizontal="center" wrapText="1"/>
    </xf>
    <xf numFmtId="0" fontId="21" fillId="36" borderId="0" xfId="0" applyNumberFormat="1" applyFont="1" applyFill="1" applyAlignment="1">
      <alignment horizontal="center"/>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3" xfId="28" applyFont="1" applyBorder="1" applyAlignment="1"/>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2" fillId="0" borderId="6" xfId="0" applyNumberFormat="1" applyFont="1" applyFill="1" applyBorder="1" applyAlignment="1"/>
    <xf numFmtId="0" fontId="0" fillId="0" borderId="9" xfId="0" applyBorder="1" applyAlignment="1"/>
    <xf numFmtId="0" fontId="0" fillId="0" borderId="4" xfId="0"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6" xfId="0" applyFont="1" applyFill="1" applyBorder="1" applyAlignment="1"/>
    <xf numFmtId="0" fontId="21" fillId="0" borderId="0" xfId="0" applyFont="1" applyFill="1" applyBorder="1" applyAlignment="1">
      <alignment wrapText="1"/>
    </xf>
    <xf numFmtId="0" fontId="0" fillId="0" borderId="0" xfId="0" applyAlignment="1">
      <alignment wrapText="1"/>
    </xf>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cellXfs>
  <cellStyles count="53894">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Debt Sept 94" xfId="53892"/>
    <cellStyle name="Normal_Rate-Design" xfId="35"/>
    <cellStyle name="Normal_Review_only_Extract_Bond_Amortizations_from_Journal_Entry_Data" xfId="53893"/>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1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99FFCC"/>
      <color rgb="FFFFCC99"/>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
  <sheetViews>
    <sheetView zoomScaleNormal="100" workbookViewId="0"/>
  </sheetViews>
  <sheetFormatPr defaultRowHeight="12.75"/>
  <cols>
    <col min="3" max="3" width="8.42578125" customWidth="1"/>
  </cols>
  <sheetData>
    <row r="2" spans="1:11" ht="27.75">
      <c r="C2" s="1370" t="s">
        <v>2869</v>
      </c>
      <c r="D2" s="1371"/>
      <c r="E2" s="1371"/>
      <c r="F2" s="1371"/>
      <c r="G2" s="1371"/>
      <c r="H2" s="1371"/>
    </row>
    <row r="3" spans="1:11" s="1112" customFormat="1">
      <c r="D3" s="503"/>
    </row>
    <row r="4" spans="1:11" ht="23.25">
      <c r="B4" s="1374" t="s">
        <v>2867</v>
      </c>
      <c r="C4" s="1374"/>
      <c r="D4" s="1374"/>
      <c r="E4" s="1374"/>
      <c r="F4" s="1374"/>
      <c r="G4" s="1374"/>
      <c r="H4" s="1374"/>
      <c r="I4" s="1374"/>
    </row>
    <row r="5" spans="1:11" s="1112" customFormat="1" ht="23.25">
      <c r="B5" s="1369"/>
      <c r="C5" s="1369"/>
      <c r="D5" s="1374" t="s">
        <v>2868</v>
      </c>
      <c r="E5" s="1371"/>
      <c r="F5" s="1371"/>
      <c r="G5" s="1371"/>
      <c r="H5" s="1369"/>
      <c r="I5" s="1369"/>
    </row>
    <row r="6" spans="1:11" s="1112" customFormat="1" ht="23.25">
      <c r="B6" s="1369"/>
      <c r="C6" s="1369"/>
      <c r="D6" s="1369"/>
      <c r="E6" s="524"/>
      <c r="F6" s="524"/>
      <c r="G6" s="524"/>
      <c r="H6" s="1369"/>
      <c r="I6" s="1369"/>
    </row>
    <row r="7" spans="1:11" s="1112" customFormat="1" ht="23.25">
      <c r="B7" s="1369"/>
      <c r="C7" s="1369"/>
      <c r="D7" s="1369"/>
      <c r="E7" s="524"/>
      <c r="F7" s="524"/>
      <c r="G7" s="524"/>
      <c r="H7" s="1369"/>
      <c r="I7" s="1369"/>
    </row>
    <row r="9" spans="1:11" ht="26.25">
      <c r="A9" s="1372" t="s">
        <v>1902</v>
      </c>
      <c r="B9" s="1372"/>
      <c r="C9" s="1372"/>
      <c r="D9" s="1372"/>
      <c r="E9" s="1372"/>
      <c r="F9" s="1372"/>
      <c r="G9" s="1372"/>
      <c r="H9" s="1372"/>
      <c r="I9" s="1372"/>
      <c r="J9" s="1372"/>
      <c r="K9" s="1372"/>
    </row>
    <row r="10" spans="1:11">
      <c r="D10" s="1"/>
    </row>
    <row r="11" spans="1:11" ht="20.25">
      <c r="A11" s="1373" t="s">
        <v>1903</v>
      </c>
      <c r="B11" s="1373"/>
      <c r="C11" s="1373"/>
      <c r="D11" s="1373"/>
      <c r="E11" s="1373"/>
      <c r="F11" s="1373"/>
      <c r="G11" s="1373"/>
      <c r="H11" s="1373"/>
      <c r="I11" s="1373"/>
      <c r="J11" s="1373"/>
      <c r="K11" s="1373"/>
    </row>
  </sheetData>
  <mergeCells count="5">
    <mergeCell ref="C2:H2"/>
    <mergeCell ref="A9:K9"/>
    <mergeCell ref="A11:K11"/>
    <mergeCell ref="B4:I4"/>
    <mergeCell ref="D5:G5"/>
  </mergeCells>
  <pageMargins left="0.7" right="0.7" top="0.75" bottom="0.75" header="0.3" footer="0.3"/>
  <pageSetup scale="92" orientation="portrait" r:id="rId1"/>
  <headerFooter>
    <oddHeader xml:space="preserve">&amp;C&amp;"Arial,Bold"
&amp;RExhibit SCE-4
TO2018 Formula Rate Spreadsheet 
</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00"/>
  <sheetViews>
    <sheetView zoomScaleNormal="100" workbookViewId="0"/>
  </sheetViews>
  <sheetFormatPr defaultColWidth="8.85546875" defaultRowHeight="12.75"/>
  <cols>
    <col min="1" max="1" width="5.7109375" style="1112" customWidth="1"/>
    <col min="2" max="2" width="27.7109375" style="1112" customWidth="1"/>
    <col min="3" max="4" width="12.7109375" style="1112" customWidth="1"/>
    <col min="5" max="6" width="14.7109375" style="1112" customWidth="1"/>
    <col min="7" max="7" width="7.7109375" style="1112" customWidth="1"/>
    <col min="8" max="8" width="10.7109375" style="1112" customWidth="1"/>
    <col min="9" max="9" width="13.7109375" style="1112" customWidth="1"/>
    <col min="10" max="10" width="7.7109375" style="1112" customWidth="1"/>
    <col min="11" max="11" width="18.85546875" style="1112" customWidth="1"/>
    <col min="12" max="12" width="13.7109375" style="1112" customWidth="1"/>
    <col min="13" max="13" width="8.85546875" style="1112"/>
    <col min="14" max="14" width="20.7109375" style="1112" customWidth="1"/>
    <col min="15" max="16384" width="8.85546875" style="1112"/>
  </cols>
  <sheetData>
    <row r="1" spans="1:13">
      <c r="A1" s="1" t="s">
        <v>256</v>
      </c>
    </row>
    <row r="2" spans="1:13">
      <c r="B2" s="501" t="s">
        <v>2634</v>
      </c>
      <c r="C2" s="1082">
        <v>2016</v>
      </c>
      <c r="E2" s="1301"/>
    </row>
    <row r="3" spans="1:13">
      <c r="B3" s="1302"/>
      <c r="M3" s="1303"/>
    </row>
    <row r="4" spans="1:13">
      <c r="B4" s="1" t="s">
        <v>2635</v>
      </c>
      <c r="M4" s="1303"/>
    </row>
    <row r="5" spans="1:13">
      <c r="A5" s="51" t="s">
        <v>332</v>
      </c>
      <c r="E5" s="3" t="s">
        <v>175</v>
      </c>
      <c r="F5" s="3" t="s">
        <v>205</v>
      </c>
    </row>
    <row r="6" spans="1:13">
      <c r="A6" s="1304">
        <v>1</v>
      </c>
      <c r="D6" s="501" t="s">
        <v>2636</v>
      </c>
      <c r="E6" s="7">
        <f>K72</f>
        <v>456504133.55725354</v>
      </c>
      <c r="F6" s="16" t="str">
        <f>"Line "&amp;A72&amp;", Col 10"</f>
        <v>Line 200, Col 10</v>
      </c>
    </row>
    <row r="7" spans="1:13">
      <c r="A7" s="1304">
        <f>A6+1</f>
        <v>2</v>
      </c>
      <c r="D7" s="501" t="s">
        <v>2637</v>
      </c>
      <c r="E7" s="91">
        <f>D193</f>
        <v>16803179.16</v>
      </c>
      <c r="F7" s="16" t="str">
        <f>"Line "&amp;A193&amp;", Col 3"</f>
        <v>Line 500, Col 3</v>
      </c>
    </row>
    <row r="8" spans="1:13">
      <c r="A8" s="1304">
        <f t="shared" ref="A8:A15" si="0">A7+1</f>
        <v>3</v>
      </c>
      <c r="D8" s="501" t="s">
        <v>2638</v>
      </c>
      <c r="E8" s="7">
        <f>SUM(E6:E7)</f>
        <v>473307312.71725357</v>
      </c>
      <c r="F8" s="588" t="s">
        <v>2639</v>
      </c>
    </row>
    <row r="9" spans="1:13">
      <c r="A9" s="1304">
        <f t="shared" si="0"/>
        <v>4</v>
      </c>
      <c r="F9" s="65"/>
    </row>
    <row r="10" spans="1:13">
      <c r="A10" s="1304">
        <f t="shared" si="0"/>
        <v>5</v>
      </c>
      <c r="D10" s="501" t="s">
        <v>2640</v>
      </c>
      <c r="E10" s="7">
        <f>F72</f>
        <v>9813899793.7167282</v>
      </c>
      <c r="F10" s="16" t="str">
        <f>"Line "&amp;A72&amp;", Col 5"</f>
        <v>Line 200, Col 5</v>
      </c>
    </row>
    <row r="11" spans="1:13">
      <c r="A11" s="1304">
        <f t="shared" si="0"/>
        <v>6</v>
      </c>
      <c r="C11" s="503"/>
      <c r="D11" s="501" t="s">
        <v>2641</v>
      </c>
      <c r="E11" s="510">
        <f>+F83</f>
        <v>-165000000</v>
      </c>
      <c r="F11" s="16" t="str">
        <f>"Line "&amp;A83&amp;", Col 5"</f>
        <v>Line 205, Col 5</v>
      </c>
    </row>
    <row r="12" spans="1:13">
      <c r="A12" s="1304">
        <f t="shared" si="0"/>
        <v>7</v>
      </c>
      <c r="D12" s="501" t="s">
        <v>2642</v>
      </c>
      <c r="E12" s="91">
        <f>C193</f>
        <v>-109489851.371712</v>
      </c>
      <c r="F12" s="16" t="str">
        <f>"Line "&amp;A193&amp;", Col 2"</f>
        <v>Line 500, Col 2</v>
      </c>
    </row>
    <row r="13" spans="1:13">
      <c r="A13" s="1304">
        <f t="shared" si="0"/>
        <v>8</v>
      </c>
      <c r="D13" s="501" t="s">
        <v>2643</v>
      </c>
      <c r="E13" s="7">
        <f>SUM(E10:E12)</f>
        <v>9539409942.3450165</v>
      </c>
      <c r="F13" s="588" t="s">
        <v>2806</v>
      </c>
    </row>
    <row r="14" spans="1:13">
      <c r="A14" s="1304">
        <f t="shared" si="0"/>
        <v>9</v>
      </c>
      <c r="F14" s="65"/>
    </row>
    <row r="15" spans="1:13">
      <c r="A15" s="1304">
        <f t="shared" si="0"/>
        <v>10</v>
      </c>
      <c r="D15" s="501" t="s">
        <v>2644</v>
      </c>
      <c r="E15" s="1305">
        <f>E8/E13</f>
        <v>4.961599465562995E-2</v>
      </c>
      <c r="F15" s="588" t="s">
        <v>2807</v>
      </c>
    </row>
    <row r="17" spans="1:15">
      <c r="B17" s="1" t="s">
        <v>2646</v>
      </c>
    </row>
    <row r="18" spans="1:15">
      <c r="B18" s="84" t="s">
        <v>363</v>
      </c>
      <c r="C18" s="84" t="s">
        <v>347</v>
      </c>
      <c r="D18" s="84" t="s">
        <v>348</v>
      </c>
      <c r="E18" s="84" t="s">
        <v>349</v>
      </c>
      <c r="F18" s="84" t="s">
        <v>350</v>
      </c>
      <c r="G18" s="84" t="s">
        <v>351</v>
      </c>
      <c r="H18" s="84" t="s">
        <v>352</v>
      </c>
      <c r="I18" s="84" t="s">
        <v>544</v>
      </c>
      <c r="J18" s="84" t="s">
        <v>961</v>
      </c>
      <c r="K18" s="84" t="s">
        <v>974</v>
      </c>
      <c r="L18" s="84"/>
    </row>
    <row r="19" spans="1:15">
      <c r="B19" s="111" t="s">
        <v>2647</v>
      </c>
      <c r="C19" s="111" t="s">
        <v>2648</v>
      </c>
      <c r="D19" s="111" t="s">
        <v>2649</v>
      </c>
      <c r="E19" s="111" t="s">
        <v>2647</v>
      </c>
      <c r="F19" s="111" t="s">
        <v>2650</v>
      </c>
      <c r="G19" s="111" t="s">
        <v>364</v>
      </c>
      <c r="H19" s="111" t="s">
        <v>2651</v>
      </c>
      <c r="I19" s="981" t="s">
        <v>2652</v>
      </c>
      <c r="J19" s="111" t="s">
        <v>365</v>
      </c>
      <c r="K19" s="981" t="s">
        <v>2653</v>
      </c>
    </row>
    <row r="20" spans="1:15" ht="13.5" thickBot="1"/>
    <row r="21" spans="1:15" ht="67.150000000000006" customHeight="1" thickBot="1">
      <c r="A21" s="51" t="s">
        <v>332</v>
      </c>
      <c r="B21" s="1306" t="s">
        <v>2654</v>
      </c>
      <c r="C21" s="1307" t="s">
        <v>2655</v>
      </c>
      <c r="D21" s="1307" t="s">
        <v>2656</v>
      </c>
      <c r="E21" s="1308" t="s">
        <v>2657</v>
      </c>
      <c r="F21" s="1309" t="s">
        <v>2658</v>
      </c>
      <c r="G21" s="1310" t="s">
        <v>2659</v>
      </c>
      <c r="H21" s="1311" t="s">
        <v>2660</v>
      </c>
      <c r="I21" s="1312" t="s">
        <v>2661</v>
      </c>
      <c r="J21" s="1313" t="s">
        <v>2662</v>
      </c>
      <c r="K21" s="1309" t="s">
        <v>2663</v>
      </c>
      <c r="L21" s="1314" t="s">
        <v>2664</v>
      </c>
    </row>
    <row r="22" spans="1:15">
      <c r="A22" s="1304">
        <v>101</v>
      </c>
      <c r="B22" s="1365" t="s">
        <v>2819</v>
      </c>
      <c r="C22" s="1320">
        <v>38000</v>
      </c>
      <c r="D22" s="1320">
        <v>48959</v>
      </c>
      <c r="E22" s="1321">
        <v>0.06</v>
      </c>
      <c r="F22" s="537">
        <v>525000</v>
      </c>
      <c r="G22" s="1316">
        <f>IF(ROUND(($D22-DATE($C$2,12,31))/365.25,0)=0,MONTH($D22)/12,ROUND(($D22-DATE($C$2,12,31))/365.25,0))</f>
        <v>17</v>
      </c>
      <c r="H22" s="7">
        <f t="shared" ref="H22:H46" si="1">(C96+D96)/1000</f>
        <v>4802.0522300000002</v>
      </c>
      <c r="I22" s="7">
        <f t="shared" ref="I22:I56" si="2">F22-H22</f>
        <v>520197.94777000003</v>
      </c>
      <c r="J22" s="1305">
        <f>(RATE(G22*2,-(E22*F22)/2,I22,-F22))*2</f>
        <v>6.0871076051265523E-2</v>
      </c>
      <c r="K22" s="7">
        <f>F22*J22</f>
        <v>31957.314926914398</v>
      </c>
      <c r="L22" s="1317"/>
      <c r="M22" s="8"/>
      <c r="O22" s="1318"/>
    </row>
    <row r="23" spans="1:15">
      <c r="A23" s="1304">
        <f>A22+1</f>
        <v>102</v>
      </c>
      <c r="B23" s="1366" t="s">
        <v>2820</v>
      </c>
      <c r="C23" s="1320">
        <v>38047</v>
      </c>
      <c r="D23" s="1320">
        <v>49461</v>
      </c>
      <c r="E23" s="1321">
        <v>0.05</v>
      </c>
      <c r="F23" s="537">
        <v>144400</v>
      </c>
      <c r="G23" s="1316">
        <f t="shared" ref="G23:G56" si="3">IF(ROUND(($D23-DATE($C$2,12,31))/365.25,0)=0,MONTH($D23)/12,ROUND(($D23-DATE($C$2,12,31))/365.25,0))</f>
        <v>18</v>
      </c>
      <c r="H23" s="7">
        <f t="shared" si="1"/>
        <v>443.34695000000016</v>
      </c>
      <c r="I23" s="7">
        <f t="shared" si="2"/>
        <v>143956.65304999999</v>
      </c>
      <c r="J23" s="1305">
        <f t="shared" ref="J23:J56" si="4">(RATE(G23*2,-(E23*F23)/2,I23,-F23))*2</f>
        <v>5.0261202963690819E-2</v>
      </c>
      <c r="K23" s="7">
        <f t="shared" ref="K23:K56" si="5">F23*J23</f>
        <v>7257.7177079569547</v>
      </c>
      <c r="L23" s="1317"/>
      <c r="M23" s="8"/>
      <c r="N23" s="503"/>
      <c r="O23" s="1318"/>
    </row>
    <row r="24" spans="1:15">
      <c r="A24" s="1304">
        <f t="shared" ref="A24:A57" si="6">A23+1</f>
        <v>103</v>
      </c>
      <c r="B24" s="1366" t="s">
        <v>2821</v>
      </c>
      <c r="C24" s="1320">
        <v>38069</v>
      </c>
      <c r="D24" s="1320">
        <v>49400</v>
      </c>
      <c r="E24" s="1321">
        <v>5.7500000000000002E-2</v>
      </c>
      <c r="F24" s="537">
        <v>350000</v>
      </c>
      <c r="G24" s="1316">
        <f t="shared" si="3"/>
        <v>18</v>
      </c>
      <c r="H24" s="7">
        <f t="shared" si="1"/>
        <v>1919.5899699999989</v>
      </c>
      <c r="I24" s="7">
        <f t="shared" si="2"/>
        <v>348080.41003000003</v>
      </c>
      <c r="J24" s="1305">
        <f t="shared" si="4"/>
        <v>5.7994938343010775E-2</v>
      </c>
      <c r="K24" s="7">
        <f t="shared" si="5"/>
        <v>20298.228420053772</v>
      </c>
      <c r="L24" s="1317"/>
      <c r="M24" s="8"/>
      <c r="O24" s="1318"/>
    </row>
    <row r="25" spans="1:15">
      <c r="A25" s="1304">
        <f t="shared" si="6"/>
        <v>104</v>
      </c>
      <c r="B25" s="1366" t="s">
        <v>2822</v>
      </c>
      <c r="C25" s="1320">
        <v>38371</v>
      </c>
      <c r="D25" s="1320">
        <v>49689</v>
      </c>
      <c r="E25" s="1321">
        <v>5.5500000000000001E-2</v>
      </c>
      <c r="F25" s="537">
        <v>250000</v>
      </c>
      <c r="G25" s="1316">
        <f t="shared" si="3"/>
        <v>19</v>
      </c>
      <c r="H25" s="7">
        <f t="shared" si="1"/>
        <v>1912.2517199999998</v>
      </c>
      <c r="I25" s="7">
        <f t="shared" si="2"/>
        <v>248087.74828</v>
      </c>
      <c r="J25" s="1305">
        <f t="shared" si="4"/>
        <v>5.6159982767957223E-2</v>
      </c>
      <c r="K25" s="7">
        <f t="shared" si="5"/>
        <v>14039.995691989307</v>
      </c>
      <c r="L25" s="1317"/>
      <c r="M25" s="8"/>
      <c r="O25" s="1318"/>
    </row>
    <row r="26" spans="1:15">
      <c r="A26" s="1304">
        <f t="shared" si="6"/>
        <v>105</v>
      </c>
      <c r="B26" s="1366" t="s">
        <v>2823</v>
      </c>
      <c r="C26" s="1320">
        <v>38530</v>
      </c>
      <c r="D26" s="1320">
        <v>49505</v>
      </c>
      <c r="E26" s="1321">
        <v>5.3499999999999999E-2</v>
      </c>
      <c r="F26" s="537">
        <v>350000</v>
      </c>
      <c r="G26" s="1316">
        <f t="shared" si="3"/>
        <v>19</v>
      </c>
      <c r="H26" s="7">
        <f t="shared" si="1"/>
        <v>2025.0067099999992</v>
      </c>
      <c r="I26" s="7">
        <f t="shared" si="2"/>
        <v>347974.99329000001</v>
      </c>
      <c r="J26" s="1305">
        <f t="shared" si="4"/>
        <v>5.3990702355683651E-2</v>
      </c>
      <c r="K26" s="7">
        <f t="shared" si="5"/>
        <v>18896.745824489277</v>
      </c>
      <c r="L26" s="1317"/>
      <c r="M26" s="8"/>
      <c r="O26" s="1318"/>
    </row>
    <row r="27" spans="1:15">
      <c r="A27" s="1304">
        <f t="shared" si="6"/>
        <v>106</v>
      </c>
      <c r="B27" s="1366" t="s">
        <v>2824</v>
      </c>
      <c r="C27" s="1320">
        <v>42095</v>
      </c>
      <c r="D27" s="1320">
        <v>47209</v>
      </c>
      <c r="E27" s="1321">
        <v>1.8749999999999999E-2</v>
      </c>
      <c r="F27" s="537">
        <v>203460</v>
      </c>
      <c r="G27" s="1316">
        <f t="shared" si="3"/>
        <v>12</v>
      </c>
      <c r="H27" s="7">
        <f t="shared" si="1"/>
        <v>2007.5850399999999</v>
      </c>
      <c r="I27" s="7">
        <f t="shared" si="2"/>
        <v>201452.41495999999</v>
      </c>
      <c r="J27" s="1305">
        <f t="shared" si="4"/>
        <v>1.9677184821179149E-2</v>
      </c>
      <c r="K27" s="7">
        <f t="shared" si="5"/>
        <v>4003.5200237171098</v>
      </c>
      <c r="L27" s="1317"/>
      <c r="M27" s="8"/>
      <c r="O27" s="1318"/>
    </row>
    <row r="28" spans="1:15">
      <c r="A28" s="1304">
        <f t="shared" si="6"/>
        <v>107</v>
      </c>
      <c r="B28" s="1366" t="s">
        <v>2825</v>
      </c>
      <c r="C28" s="1320">
        <v>42095</v>
      </c>
      <c r="D28" s="1320">
        <v>48000</v>
      </c>
      <c r="E28" s="1321">
        <v>1.8749999999999999E-2</v>
      </c>
      <c r="F28" s="537">
        <v>75000</v>
      </c>
      <c r="G28" s="1316">
        <f t="shared" si="3"/>
        <v>14</v>
      </c>
      <c r="H28" s="7">
        <f t="shared" si="1"/>
        <v>1107.4930800000006</v>
      </c>
      <c r="I28" s="7">
        <f t="shared" si="2"/>
        <v>73892.50692</v>
      </c>
      <c r="J28" s="1305">
        <f t="shared" si="4"/>
        <v>1.9964236244484301E-2</v>
      </c>
      <c r="K28" s="7">
        <f t="shared" si="5"/>
        <v>1497.3177183363225</v>
      </c>
      <c r="L28" s="1317"/>
      <c r="M28" s="8"/>
      <c r="O28" s="1318"/>
    </row>
    <row r="29" spans="1:15">
      <c r="A29" s="1304">
        <f t="shared" si="6"/>
        <v>108</v>
      </c>
      <c r="B29" s="1366" t="s">
        <v>2826</v>
      </c>
      <c r="C29" s="1320">
        <v>38748</v>
      </c>
      <c r="D29" s="1320">
        <v>49706</v>
      </c>
      <c r="E29" s="1321">
        <v>5.6250000000000001E-2</v>
      </c>
      <c r="F29" s="537">
        <v>350000</v>
      </c>
      <c r="G29" s="1316">
        <f t="shared" si="3"/>
        <v>19</v>
      </c>
      <c r="H29" s="7">
        <f t="shared" si="1"/>
        <v>2732.4542000000019</v>
      </c>
      <c r="I29" s="7">
        <f t="shared" si="2"/>
        <v>347267.54580000002</v>
      </c>
      <c r="J29" s="1305">
        <f t="shared" si="4"/>
        <v>5.692770425396064E-2</v>
      </c>
      <c r="K29" s="7">
        <f t="shared" si="5"/>
        <v>19924.696488886224</v>
      </c>
      <c r="L29" s="1317"/>
      <c r="M29" s="8"/>
      <c r="O29" s="1318"/>
    </row>
    <row r="30" spans="1:15">
      <c r="A30" s="1304">
        <f t="shared" si="6"/>
        <v>109</v>
      </c>
      <c r="B30" s="1348" t="s">
        <v>2827</v>
      </c>
      <c r="C30" s="1320">
        <v>41369</v>
      </c>
      <c r="D30" s="1320">
        <v>46844</v>
      </c>
      <c r="E30" s="1321">
        <v>1.375E-2</v>
      </c>
      <c r="F30" s="537">
        <v>157500</v>
      </c>
      <c r="G30" s="1316">
        <f t="shared" si="3"/>
        <v>11</v>
      </c>
      <c r="H30" s="7">
        <f t="shared" si="1"/>
        <v>742.6312999999999</v>
      </c>
      <c r="I30" s="7">
        <f t="shared" si="2"/>
        <v>156757.36869999999</v>
      </c>
      <c r="J30" s="1305">
        <f t="shared" si="4"/>
        <v>1.4214550197513413E-2</v>
      </c>
      <c r="K30" s="7">
        <f t="shared" si="5"/>
        <v>2238.7916561083625</v>
      </c>
      <c r="L30" s="1317"/>
      <c r="M30" s="8"/>
      <c r="O30" s="1318"/>
    </row>
    <row r="31" spans="1:15">
      <c r="A31" s="1304">
        <f t="shared" si="6"/>
        <v>110</v>
      </c>
      <c r="B31" s="1367" t="s">
        <v>2828</v>
      </c>
      <c r="C31" s="1320">
        <v>41369</v>
      </c>
      <c r="D31" s="1320">
        <v>46844</v>
      </c>
      <c r="E31" s="1321">
        <v>1.9E-2</v>
      </c>
      <c r="F31" s="537">
        <v>38500</v>
      </c>
      <c r="G31" s="1316">
        <f t="shared" si="3"/>
        <v>11</v>
      </c>
      <c r="H31" s="7">
        <f t="shared" si="1"/>
        <v>251.58055000000004</v>
      </c>
      <c r="I31" s="7">
        <f t="shared" si="2"/>
        <v>38248.419450000001</v>
      </c>
      <c r="J31" s="1305">
        <f t="shared" si="4"/>
        <v>1.9663515587006842E-2</v>
      </c>
      <c r="K31" s="7">
        <f t="shared" si="5"/>
        <v>757.04535009976337</v>
      </c>
      <c r="L31" s="1317"/>
      <c r="M31" s="8"/>
      <c r="O31" s="1318"/>
    </row>
    <row r="32" spans="1:15">
      <c r="A32" s="1304">
        <f t="shared" si="6"/>
        <v>111</v>
      </c>
      <c r="B32" s="1366" t="s">
        <v>2829</v>
      </c>
      <c r="C32" s="1320">
        <v>38819</v>
      </c>
      <c r="D32" s="1320">
        <v>48884</v>
      </c>
      <c r="E32" s="1321">
        <v>6.94E-3</v>
      </c>
      <c r="F32" s="537">
        <v>135000</v>
      </c>
      <c r="G32" s="1316">
        <f t="shared" si="3"/>
        <v>17</v>
      </c>
      <c r="H32" s="7">
        <f t="shared" si="1"/>
        <v>925.42413999999928</v>
      </c>
      <c r="I32" s="7">
        <f t="shared" si="2"/>
        <v>134074.57586000001</v>
      </c>
      <c r="J32" s="1305">
        <f t="shared" si="4"/>
        <v>7.3697635857515676E-3</v>
      </c>
      <c r="K32" s="7">
        <f t="shared" si="5"/>
        <v>994.91808407646158</v>
      </c>
      <c r="L32" s="1317">
        <v>1</v>
      </c>
      <c r="M32" s="8"/>
      <c r="O32" s="1318"/>
    </row>
    <row r="33" spans="1:15">
      <c r="A33" s="1304">
        <f t="shared" si="6"/>
        <v>112</v>
      </c>
      <c r="B33" s="1366" t="s">
        <v>2830</v>
      </c>
      <c r="C33" s="1320">
        <v>39062</v>
      </c>
      <c r="D33" s="1320">
        <v>50055</v>
      </c>
      <c r="E33" s="1321">
        <v>5.5500000000000001E-2</v>
      </c>
      <c r="F33" s="537">
        <v>400000</v>
      </c>
      <c r="G33" s="1316">
        <f t="shared" si="3"/>
        <v>20</v>
      </c>
      <c r="H33" s="7">
        <f t="shared" si="1"/>
        <v>4132.72379</v>
      </c>
      <c r="I33" s="7">
        <f t="shared" si="2"/>
        <v>395867.27620999998</v>
      </c>
      <c r="J33" s="1305">
        <f t="shared" si="4"/>
        <v>5.6367903947050928E-2</v>
      </c>
      <c r="K33" s="7">
        <f t="shared" si="5"/>
        <v>22547.161578820371</v>
      </c>
      <c r="L33" s="1317"/>
      <c r="M33" s="8"/>
      <c r="O33" s="1318"/>
    </row>
    <row r="34" spans="1:15">
      <c r="A34" s="1304">
        <f t="shared" si="6"/>
        <v>113</v>
      </c>
      <c r="B34" s="1348" t="s">
        <v>2831</v>
      </c>
      <c r="C34" s="1320">
        <v>39469</v>
      </c>
      <c r="D34" s="1320">
        <v>50437</v>
      </c>
      <c r="E34" s="1321">
        <v>5.9499999999999997E-2</v>
      </c>
      <c r="F34" s="537">
        <v>600000</v>
      </c>
      <c r="G34" s="1316">
        <f t="shared" si="3"/>
        <v>21</v>
      </c>
      <c r="H34" s="7">
        <f t="shared" si="1"/>
        <v>6396.9781600000006</v>
      </c>
      <c r="I34" s="7">
        <f t="shared" si="2"/>
        <v>593603.02183999994</v>
      </c>
      <c r="J34" s="1305">
        <f t="shared" si="4"/>
        <v>6.0402702959041092E-2</v>
      </c>
      <c r="K34" s="7">
        <f t="shared" si="5"/>
        <v>36241.621775424654</v>
      </c>
      <c r="L34" s="1317"/>
      <c r="M34" s="8"/>
      <c r="O34" s="1318"/>
    </row>
    <row r="35" spans="1:15">
      <c r="A35" s="1304">
        <f t="shared" si="6"/>
        <v>114</v>
      </c>
      <c r="B35" s="1348" t="s">
        <v>2832</v>
      </c>
      <c r="C35" s="1320">
        <v>39678</v>
      </c>
      <c r="D35" s="1320">
        <v>43327</v>
      </c>
      <c r="E35" s="1321">
        <v>5.5E-2</v>
      </c>
      <c r="F35" s="537">
        <v>400000</v>
      </c>
      <c r="G35" s="1316">
        <f t="shared" si="3"/>
        <v>2</v>
      </c>
      <c r="H35" s="7">
        <f t="shared" si="1"/>
        <v>895.69692000000089</v>
      </c>
      <c r="I35" s="7">
        <f t="shared" si="2"/>
        <v>399104.30307999998</v>
      </c>
      <c r="J35" s="1305">
        <f t="shared" si="4"/>
        <v>5.6199363221570514E-2</v>
      </c>
      <c r="K35" s="7">
        <f t="shared" si="5"/>
        <v>22479.745288628204</v>
      </c>
      <c r="L35" s="1317"/>
      <c r="M35" s="8"/>
      <c r="O35" s="1318"/>
    </row>
    <row r="36" spans="1:15">
      <c r="A36" s="1304">
        <f t="shared" si="6"/>
        <v>115</v>
      </c>
      <c r="B36" s="1348" t="s">
        <v>2833</v>
      </c>
      <c r="C36" s="1320">
        <v>39892</v>
      </c>
      <c r="D36" s="1320">
        <v>50844</v>
      </c>
      <c r="E36" s="1321">
        <v>6.0499999999999998E-2</v>
      </c>
      <c r="F36" s="537">
        <v>500000</v>
      </c>
      <c r="G36" s="1316">
        <f t="shared" si="3"/>
        <v>22</v>
      </c>
      <c r="H36" s="7">
        <f t="shared" si="1"/>
        <v>6814.7822199999982</v>
      </c>
      <c r="I36" s="7">
        <f t="shared" si="2"/>
        <v>493185.21778000001</v>
      </c>
      <c r="J36" s="1305">
        <f t="shared" si="4"/>
        <v>6.163992597627186E-2</v>
      </c>
      <c r="K36" s="7">
        <f t="shared" si="5"/>
        <v>30819.962988135929</v>
      </c>
      <c r="L36" s="1317"/>
      <c r="M36" s="8"/>
      <c r="O36" s="1318"/>
    </row>
    <row r="37" spans="1:15">
      <c r="A37" s="1304">
        <f t="shared" si="6"/>
        <v>116</v>
      </c>
      <c r="B37" s="1348" t="s">
        <v>2666</v>
      </c>
      <c r="C37" s="1320">
        <v>40248</v>
      </c>
      <c r="D37" s="1320">
        <v>51210</v>
      </c>
      <c r="E37" s="1321">
        <v>5.5E-2</v>
      </c>
      <c r="F37" s="537">
        <v>500000</v>
      </c>
      <c r="G37" s="1316">
        <f t="shared" si="3"/>
        <v>23</v>
      </c>
      <c r="H37" s="7">
        <f t="shared" si="1"/>
        <v>8803.5157899999995</v>
      </c>
      <c r="I37" s="7">
        <f t="shared" si="2"/>
        <v>491196.48421000002</v>
      </c>
      <c r="J37" s="1305">
        <f t="shared" si="4"/>
        <v>5.6375561339218005E-2</v>
      </c>
      <c r="K37" s="7">
        <f t="shared" si="5"/>
        <v>28187.780669609001</v>
      </c>
      <c r="L37" s="1317"/>
      <c r="M37" s="8"/>
      <c r="O37" s="1318"/>
    </row>
    <row r="38" spans="1:15">
      <c r="A38" s="1304">
        <f t="shared" si="6"/>
        <v>117</v>
      </c>
      <c r="B38" s="1348" t="s">
        <v>2667</v>
      </c>
      <c r="C38" s="1320">
        <v>40420</v>
      </c>
      <c r="D38" s="1320">
        <v>51380</v>
      </c>
      <c r="E38" s="1321">
        <v>4.4999999999999998E-2</v>
      </c>
      <c r="F38" s="537">
        <v>500000</v>
      </c>
      <c r="G38" s="1316">
        <f t="shared" si="3"/>
        <v>24</v>
      </c>
      <c r="H38" s="7">
        <f t="shared" si="1"/>
        <v>6708.4006499999987</v>
      </c>
      <c r="I38" s="7">
        <f t="shared" si="2"/>
        <v>493291.59934999997</v>
      </c>
      <c r="J38" s="1305">
        <f t="shared" si="4"/>
        <v>4.5928420042374532E-2</v>
      </c>
      <c r="K38" s="7">
        <f t="shared" si="5"/>
        <v>22964.210021187268</v>
      </c>
      <c r="L38" s="1317"/>
      <c r="M38" s="8"/>
      <c r="O38" s="1318"/>
    </row>
    <row r="39" spans="1:15">
      <c r="A39" s="1304">
        <f t="shared" si="6"/>
        <v>118</v>
      </c>
      <c r="B39" s="1348" t="s">
        <v>2834</v>
      </c>
      <c r="C39" s="1320">
        <v>40442</v>
      </c>
      <c r="D39" s="1320">
        <v>47362</v>
      </c>
      <c r="E39" s="1321">
        <v>4.4999999999999998E-2</v>
      </c>
      <c r="F39" s="537">
        <v>100000</v>
      </c>
      <c r="G39" s="1316">
        <f t="shared" si="3"/>
        <v>13</v>
      </c>
      <c r="H39" s="7">
        <f t="shared" si="1"/>
        <v>1337.2338999999997</v>
      </c>
      <c r="I39" s="7">
        <f t="shared" si="2"/>
        <v>98662.766099999993</v>
      </c>
      <c r="J39" s="1305">
        <f t="shared" si="4"/>
        <v>4.6381263630921522E-2</v>
      </c>
      <c r="K39" s="7">
        <f t="shared" si="5"/>
        <v>4638.1263630921521</v>
      </c>
      <c r="L39" s="1317"/>
      <c r="M39" s="8"/>
      <c r="O39" s="1318"/>
    </row>
    <row r="40" spans="1:15">
      <c r="A40" s="1304">
        <f t="shared" si="6"/>
        <v>119</v>
      </c>
      <c r="B40" s="1348" t="s">
        <v>2835</v>
      </c>
      <c r="C40" s="1320">
        <v>40680</v>
      </c>
      <c r="D40" s="1320">
        <v>44348</v>
      </c>
      <c r="E40" s="1321">
        <v>3.875E-2</v>
      </c>
      <c r="F40" s="537">
        <v>500000</v>
      </c>
      <c r="G40" s="1316">
        <f t="shared" si="3"/>
        <v>4</v>
      </c>
      <c r="H40" s="7">
        <f t="shared" si="1"/>
        <v>3153.5672099999979</v>
      </c>
      <c r="I40" s="7">
        <f t="shared" si="2"/>
        <v>496846.43278999999</v>
      </c>
      <c r="J40" s="1305">
        <f t="shared" si="4"/>
        <v>4.0473729646172303E-2</v>
      </c>
      <c r="K40" s="7">
        <f t="shared" si="5"/>
        <v>20236.864823086151</v>
      </c>
      <c r="L40" s="1317"/>
      <c r="M40" s="8"/>
      <c r="O40" s="1318"/>
    </row>
    <row r="41" spans="1:15">
      <c r="A41" s="1304">
        <f t="shared" si="6"/>
        <v>120</v>
      </c>
      <c r="B41" s="1348" t="s">
        <v>2836</v>
      </c>
      <c r="C41" s="1320">
        <v>40869</v>
      </c>
      <c r="D41" s="1320">
        <v>51836</v>
      </c>
      <c r="E41" s="1321">
        <v>3.9E-2</v>
      </c>
      <c r="F41" s="537">
        <v>250000</v>
      </c>
      <c r="G41" s="1316">
        <f t="shared" si="3"/>
        <v>25</v>
      </c>
      <c r="H41" s="7">
        <f t="shared" si="1"/>
        <v>3405.3656199999987</v>
      </c>
      <c r="I41" s="7">
        <f t="shared" si="2"/>
        <v>246594.63438</v>
      </c>
      <c r="J41" s="1305">
        <f t="shared" si="4"/>
        <v>3.9865734282799999E-2</v>
      </c>
      <c r="K41" s="7">
        <f t="shared" si="5"/>
        <v>9966.4335706999991</v>
      </c>
      <c r="L41" s="1317"/>
      <c r="M41" s="8"/>
      <c r="O41" s="1318"/>
    </row>
    <row r="42" spans="1:15">
      <c r="A42" s="1304">
        <f t="shared" si="6"/>
        <v>121</v>
      </c>
      <c r="B42" s="1348" t="s">
        <v>2837</v>
      </c>
      <c r="C42" s="1320">
        <v>40981</v>
      </c>
      <c r="D42" s="1320">
        <v>51940</v>
      </c>
      <c r="E42" s="1321">
        <v>4.0500000000000001E-2</v>
      </c>
      <c r="F42" s="537">
        <v>400000</v>
      </c>
      <c r="G42" s="1316">
        <f t="shared" si="3"/>
        <v>25</v>
      </c>
      <c r="H42" s="7">
        <f t="shared" si="1"/>
        <v>7581.9876800000029</v>
      </c>
      <c r="I42" s="7">
        <f t="shared" si="2"/>
        <v>392418.01231999998</v>
      </c>
      <c r="J42" s="1305">
        <f t="shared" si="4"/>
        <v>4.1728436673487981E-2</v>
      </c>
      <c r="K42" s="7">
        <f t="shared" si="5"/>
        <v>16691.374669395194</v>
      </c>
      <c r="L42" s="1317"/>
      <c r="M42" s="8"/>
      <c r="O42" s="1318"/>
    </row>
    <row r="43" spans="1:15">
      <c r="A43" s="1304">
        <f t="shared" si="6"/>
        <v>122</v>
      </c>
      <c r="B43" s="1348" t="s">
        <v>2838</v>
      </c>
      <c r="C43" s="1320">
        <v>41340</v>
      </c>
      <c r="D43" s="1320">
        <v>52305</v>
      </c>
      <c r="E43" s="1321">
        <v>3.9E-2</v>
      </c>
      <c r="F43" s="537">
        <v>400000</v>
      </c>
      <c r="G43" s="1316">
        <f t="shared" si="3"/>
        <v>26</v>
      </c>
      <c r="H43" s="7">
        <f t="shared" si="1"/>
        <v>5853.7837200000013</v>
      </c>
      <c r="I43" s="7">
        <f t="shared" si="2"/>
        <v>394146.21627999999</v>
      </c>
      <c r="J43" s="1305">
        <f t="shared" si="4"/>
        <v>3.990963751956008E-2</v>
      </c>
      <c r="K43" s="7">
        <f t="shared" si="5"/>
        <v>15963.855007824031</v>
      </c>
      <c r="L43" s="1317"/>
      <c r="M43" s="8"/>
      <c r="O43" s="1318"/>
    </row>
    <row r="44" spans="1:15">
      <c r="A44" s="1304">
        <f t="shared" si="6"/>
        <v>123</v>
      </c>
      <c r="B44" s="1348" t="s">
        <v>2839</v>
      </c>
      <c r="C44" s="1320">
        <v>41549</v>
      </c>
      <c r="D44" s="1320">
        <v>45200</v>
      </c>
      <c r="E44" s="1321">
        <v>3.5000000000000003E-2</v>
      </c>
      <c r="F44" s="537">
        <v>600000</v>
      </c>
      <c r="G44" s="1316">
        <f t="shared" si="3"/>
        <v>7</v>
      </c>
      <c r="H44" s="7">
        <f t="shared" si="1"/>
        <v>4244.225080000002</v>
      </c>
      <c r="I44" s="7">
        <f t="shared" si="2"/>
        <v>595755.77492</v>
      </c>
      <c r="J44" s="1305">
        <f t="shared" si="4"/>
        <v>3.6152842693972211E-2</v>
      </c>
      <c r="K44" s="7">
        <f t="shared" si="5"/>
        <v>21691.705616383326</v>
      </c>
      <c r="L44" s="1317"/>
      <c r="M44" s="8"/>
      <c r="O44" s="1318"/>
    </row>
    <row r="45" spans="1:15" s="503" customFormat="1">
      <c r="A45" s="1304">
        <f t="shared" si="6"/>
        <v>124</v>
      </c>
      <c r="B45" s="1348" t="s">
        <v>2840</v>
      </c>
      <c r="C45" s="1320">
        <v>41549</v>
      </c>
      <c r="D45" s="1320">
        <v>52505</v>
      </c>
      <c r="E45" s="1321">
        <v>4.65E-2</v>
      </c>
      <c r="F45" s="537">
        <v>800000</v>
      </c>
      <c r="G45" s="1316">
        <f t="shared" si="3"/>
        <v>27</v>
      </c>
      <c r="H45" s="510">
        <f t="shared" si="1"/>
        <v>12708.461879999997</v>
      </c>
      <c r="I45" s="510">
        <f t="shared" si="2"/>
        <v>787291.53812000004</v>
      </c>
      <c r="J45" s="1322">
        <f t="shared" si="4"/>
        <v>4.7550814385356265E-2</v>
      </c>
      <c r="K45" s="510">
        <f t="shared" si="5"/>
        <v>38040.651508285009</v>
      </c>
      <c r="L45" s="1237"/>
      <c r="M45" s="1323"/>
      <c r="O45" s="1318"/>
    </row>
    <row r="46" spans="1:15" s="503" customFormat="1">
      <c r="A46" s="1304">
        <f t="shared" si="6"/>
        <v>125</v>
      </c>
      <c r="B46" s="1348" t="s">
        <v>2841</v>
      </c>
      <c r="C46" s="1320">
        <v>41768</v>
      </c>
      <c r="D46" s="1320">
        <v>42856</v>
      </c>
      <c r="E46" s="1321">
        <v>1.125E-2</v>
      </c>
      <c r="F46" s="537">
        <v>400000</v>
      </c>
      <c r="G46" s="1316">
        <f t="shared" si="3"/>
        <v>0.41666666666666669</v>
      </c>
      <c r="H46" s="510">
        <f t="shared" si="1"/>
        <v>294.29267999999894</v>
      </c>
      <c r="I46" s="510">
        <f t="shared" si="2"/>
        <v>399705.70731999999</v>
      </c>
      <c r="J46" s="1322">
        <f t="shared" si="4"/>
        <v>1.3026296424009464E-2</v>
      </c>
      <c r="K46" s="510">
        <f t="shared" si="5"/>
        <v>5210.5185696037861</v>
      </c>
      <c r="L46" s="1237"/>
      <c r="M46" s="1323"/>
      <c r="O46" s="1318"/>
    </row>
    <row r="47" spans="1:15">
      <c r="A47" s="1304">
        <f t="shared" si="6"/>
        <v>126</v>
      </c>
      <c r="B47" s="1348" t="s">
        <v>2842</v>
      </c>
      <c r="C47" s="1320">
        <v>41950</v>
      </c>
      <c r="D47" s="1320">
        <v>43040</v>
      </c>
      <c r="E47" s="1368" t="s">
        <v>1990</v>
      </c>
      <c r="F47" s="554" t="s">
        <v>1990</v>
      </c>
      <c r="G47" s="7" t="s">
        <v>1990</v>
      </c>
      <c r="H47" s="7" t="s">
        <v>1990</v>
      </c>
      <c r="I47" s="7" t="s">
        <v>1990</v>
      </c>
      <c r="J47" s="1305" t="s">
        <v>1990</v>
      </c>
      <c r="K47" s="7" t="s">
        <v>1990</v>
      </c>
      <c r="L47" s="1317">
        <v>2</v>
      </c>
      <c r="M47" s="8"/>
      <c r="O47" s="1318"/>
    </row>
    <row r="48" spans="1:15">
      <c r="A48" s="1304">
        <f t="shared" si="6"/>
        <v>127</v>
      </c>
      <c r="B48" s="1348" t="s">
        <v>2843</v>
      </c>
      <c r="C48" s="1320">
        <v>42030</v>
      </c>
      <c r="D48" s="1320">
        <v>44593</v>
      </c>
      <c r="E48" s="1321">
        <v>1.8450000000000001E-2</v>
      </c>
      <c r="F48" s="537">
        <v>38741.852854972902</v>
      </c>
      <c r="G48" s="1316">
        <f t="shared" si="3"/>
        <v>5</v>
      </c>
      <c r="H48" s="7">
        <f>(C121+D121)/1000</f>
        <v>291.01005245651999</v>
      </c>
      <c r="I48" s="7">
        <f t="shared" si="2"/>
        <v>38450.842802516381</v>
      </c>
      <c r="J48" s="1305">
        <f t="shared" si="4"/>
        <v>2.0036317450955569E-2</v>
      </c>
      <c r="K48" s="7">
        <f t="shared" si="5"/>
        <v>776.24406244044644</v>
      </c>
      <c r="L48" s="1317">
        <v>3</v>
      </c>
      <c r="M48" s="8"/>
      <c r="O48" s="1318"/>
    </row>
    <row r="49" spans="1:15" ht="13.15" customHeight="1">
      <c r="A49" s="1304">
        <f t="shared" si="6"/>
        <v>128</v>
      </c>
      <c r="B49" s="1348" t="s">
        <v>2844</v>
      </c>
      <c r="C49" s="1320">
        <v>42030</v>
      </c>
      <c r="D49" s="1320">
        <v>44593</v>
      </c>
      <c r="E49" s="1321">
        <v>2.4E-2</v>
      </c>
      <c r="F49" s="537">
        <v>29136.434791756499</v>
      </c>
      <c r="G49" s="1316">
        <f t="shared" si="3"/>
        <v>5</v>
      </c>
      <c r="H49" s="7">
        <f t="shared" ref="H49:H52" si="7">(C122+D122)/1000</f>
        <v>174.45703007730131</v>
      </c>
      <c r="I49" s="7">
        <f t="shared" si="2"/>
        <v>28961.977761679198</v>
      </c>
      <c r="J49" s="1305">
        <f t="shared" si="4"/>
        <v>2.5282345637507544E-2</v>
      </c>
      <c r="K49" s="7">
        <f t="shared" si="5"/>
        <v>736.63741504988798</v>
      </c>
      <c r="L49" s="1317">
        <v>4</v>
      </c>
      <c r="M49" s="8"/>
      <c r="O49" s="1318"/>
    </row>
    <row r="50" spans="1:15">
      <c r="A50" s="1304">
        <f t="shared" si="6"/>
        <v>129</v>
      </c>
      <c r="B50" s="1348" t="s">
        <v>2725</v>
      </c>
      <c r="C50" s="1320">
        <v>42030</v>
      </c>
      <c r="D50" s="1320">
        <v>52994</v>
      </c>
      <c r="E50" s="1321">
        <v>3.5999999999999997E-2</v>
      </c>
      <c r="F50" s="537">
        <v>425000</v>
      </c>
      <c r="G50" s="1316">
        <f t="shared" si="3"/>
        <v>28</v>
      </c>
      <c r="H50" s="7">
        <f t="shared" si="7"/>
        <v>5912.4411000000018</v>
      </c>
      <c r="I50" s="7">
        <f t="shared" si="2"/>
        <v>419087.5589</v>
      </c>
      <c r="J50" s="1305">
        <f t="shared" si="4"/>
        <v>3.6800197807291622E-2</v>
      </c>
      <c r="K50" s="7">
        <f t="shared" si="5"/>
        <v>15640.084068098939</v>
      </c>
      <c r="L50" s="1317"/>
      <c r="M50" s="8"/>
      <c r="O50" s="1318"/>
    </row>
    <row r="51" spans="1:15">
      <c r="A51" s="1304">
        <f t="shared" si="6"/>
        <v>130</v>
      </c>
      <c r="B51" s="1348" t="s">
        <v>2845</v>
      </c>
      <c r="C51" s="1320">
        <v>42095</v>
      </c>
      <c r="D51" s="1320">
        <v>47209</v>
      </c>
      <c r="E51" s="1321">
        <v>1.8749999999999999E-2</v>
      </c>
      <c r="F51" s="537">
        <v>55540</v>
      </c>
      <c r="G51" s="1316">
        <f t="shared" si="3"/>
        <v>12</v>
      </c>
      <c r="H51" s="7">
        <f t="shared" si="7"/>
        <v>798.97200000000021</v>
      </c>
      <c r="I51" s="7">
        <f t="shared" si="2"/>
        <v>54741.027999999998</v>
      </c>
      <c r="J51" s="1305">
        <f t="shared" si="4"/>
        <v>2.0105201363469386E-2</v>
      </c>
      <c r="K51" s="7">
        <f t="shared" si="5"/>
        <v>1116.6428837270896</v>
      </c>
      <c r="L51" s="1317"/>
      <c r="M51" s="8"/>
      <c r="O51" s="1318"/>
    </row>
    <row r="52" spans="1:15">
      <c r="A52" s="1304">
        <f t="shared" si="6"/>
        <v>131</v>
      </c>
      <c r="B52" s="1348" t="s">
        <v>2846</v>
      </c>
      <c r="C52" s="1320">
        <v>36404</v>
      </c>
      <c r="D52" s="1320">
        <v>48092</v>
      </c>
      <c r="E52" s="1368">
        <v>4.0724999999999997E-3</v>
      </c>
      <c r="F52" s="537">
        <v>30000</v>
      </c>
      <c r="G52" s="1316">
        <f t="shared" si="3"/>
        <v>15</v>
      </c>
      <c r="H52" s="7">
        <f t="shared" si="7"/>
        <v>256.66687999999999</v>
      </c>
      <c r="I52" s="510">
        <f t="shared" si="2"/>
        <v>29743.333119999999</v>
      </c>
      <c r="J52" s="1322">
        <f t="shared" si="4"/>
        <v>4.6637182830845929E-3</v>
      </c>
      <c r="K52" s="510">
        <f t="shared" si="5"/>
        <v>139.91154849253778</v>
      </c>
      <c r="L52" s="1237">
        <v>5</v>
      </c>
      <c r="M52" s="8"/>
      <c r="O52" s="1318"/>
    </row>
    <row r="53" spans="1:15">
      <c r="A53" s="1304">
        <f t="shared" si="6"/>
        <v>132</v>
      </c>
      <c r="B53" s="1348" t="s">
        <v>2846</v>
      </c>
      <c r="C53" s="1320">
        <v>40787</v>
      </c>
      <c r="D53" s="1320">
        <v>48092</v>
      </c>
      <c r="E53" s="1368" t="s">
        <v>1990</v>
      </c>
      <c r="F53" s="554" t="s">
        <v>1990</v>
      </c>
      <c r="G53" s="510" t="s">
        <v>1990</v>
      </c>
      <c r="H53" s="510" t="s">
        <v>1990</v>
      </c>
      <c r="I53" s="510" t="s">
        <v>1990</v>
      </c>
      <c r="J53" s="1322" t="s">
        <v>1990</v>
      </c>
      <c r="K53" s="510" t="s">
        <v>1990</v>
      </c>
      <c r="L53" s="1237">
        <v>6</v>
      </c>
      <c r="M53" s="8"/>
      <c r="O53" s="1318"/>
    </row>
    <row r="54" spans="1:15">
      <c r="A54" s="1304">
        <f t="shared" si="6"/>
        <v>133</v>
      </c>
      <c r="B54" s="1348" t="s">
        <v>2829</v>
      </c>
      <c r="C54" s="1320">
        <v>38819</v>
      </c>
      <c r="D54" s="1320">
        <v>48884</v>
      </c>
      <c r="E54" s="1368" t="s">
        <v>1990</v>
      </c>
      <c r="F54" s="554" t="s">
        <v>1990</v>
      </c>
      <c r="G54" s="510" t="s">
        <v>1990</v>
      </c>
      <c r="H54" s="510" t="s">
        <v>1990</v>
      </c>
      <c r="I54" s="510" t="s">
        <v>1990</v>
      </c>
      <c r="J54" s="1322" t="s">
        <v>1990</v>
      </c>
      <c r="K54" s="510" t="s">
        <v>1990</v>
      </c>
      <c r="L54" s="1237">
        <v>7</v>
      </c>
      <c r="M54" s="8"/>
      <c r="O54" s="1318"/>
    </row>
    <row r="55" spans="1:15">
      <c r="A55" s="1304">
        <f t="shared" si="6"/>
        <v>134</v>
      </c>
      <c r="B55" s="1348" t="s">
        <v>2847</v>
      </c>
      <c r="C55" s="1320">
        <v>36251</v>
      </c>
      <c r="D55" s="1320">
        <v>47209</v>
      </c>
      <c r="E55" s="1321">
        <v>6.6500000000000004E-2</v>
      </c>
      <c r="F55" s="537">
        <v>300000</v>
      </c>
      <c r="G55" s="1316">
        <f t="shared" si="3"/>
        <v>12</v>
      </c>
      <c r="H55" s="510">
        <f>(C126+D126)/1000</f>
        <v>2143.1802100000014</v>
      </c>
      <c r="I55" s="510">
        <f t="shared" ref="I55" si="8">F55-H55</f>
        <v>297856.81978999998</v>
      </c>
      <c r="J55" s="1322">
        <f t="shared" ref="J55" si="9">(RATE(G55*2,-(E55*F55)/2,I55,-F55))*2</f>
        <v>6.7377536764996596E-2</v>
      </c>
      <c r="K55" s="510">
        <f t="shared" ref="K55" si="10">F55*J55</f>
        <v>20213.261029498979</v>
      </c>
      <c r="L55" s="1237"/>
      <c r="M55" s="8"/>
      <c r="O55" s="1318"/>
    </row>
    <row r="56" spans="1:15">
      <c r="A56" s="1304">
        <f t="shared" si="6"/>
        <v>135</v>
      </c>
      <c r="B56" s="1348" t="s">
        <v>2848</v>
      </c>
      <c r="C56" s="1320">
        <v>37865</v>
      </c>
      <c r="D56" s="1320">
        <v>56128</v>
      </c>
      <c r="E56" s="1321">
        <v>5.0599999999999999E-2</v>
      </c>
      <c r="F56" s="537">
        <v>6621.5060700000004</v>
      </c>
      <c r="G56" s="1316">
        <f t="shared" si="3"/>
        <v>37</v>
      </c>
      <c r="H56" s="510">
        <f>(C131+D131)/1000</f>
        <v>0</v>
      </c>
      <c r="I56" s="510">
        <f t="shared" si="2"/>
        <v>6621.5060700000004</v>
      </c>
      <c r="J56" s="1322">
        <f t="shared" si="4"/>
        <v>5.0600000000078145E-2</v>
      </c>
      <c r="K56" s="510">
        <f t="shared" si="5"/>
        <v>335.04820714251747</v>
      </c>
      <c r="L56" s="1237">
        <v>8</v>
      </c>
      <c r="M56" s="8"/>
      <c r="O56" s="1318"/>
    </row>
    <row r="57" spans="1:15">
      <c r="A57" s="1304">
        <f t="shared" si="6"/>
        <v>136</v>
      </c>
      <c r="B57" s="1079" t="s">
        <v>513</v>
      </c>
      <c r="C57" s="97"/>
      <c r="D57" s="97"/>
      <c r="E57" s="97"/>
      <c r="F57" s="97"/>
      <c r="G57" s="14"/>
      <c r="L57" s="1324"/>
    </row>
    <row r="58" spans="1:15">
      <c r="A58" s="1304"/>
      <c r="L58" s="1325"/>
    </row>
    <row r="59" spans="1:15">
      <c r="A59" s="1304"/>
      <c r="B59" s="44" t="s">
        <v>2670</v>
      </c>
      <c r="C59" s="14"/>
      <c r="D59" s="14"/>
      <c r="E59" s="14"/>
      <c r="F59" s="14"/>
      <c r="L59" s="1325"/>
    </row>
    <row r="60" spans="1:15">
      <c r="A60" s="1304"/>
      <c r="B60" s="44"/>
      <c r="C60" s="14"/>
      <c r="D60" s="14"/>
      <c r="E60" s="14"/>
      <c r="F60" s="14"/>
      <c r="L60" s="1325"/>
    </row>
    <row r="61" spans="1:15">
      <c r="A61" s="1304"/>
      <c r="B61" s="960" t="s">
        <v>2671</v>
      </c>
      <c r="C61" s="960" t="s">
        <v>2672</v>
      </c>
      <c r="D61" s="14"/>
      <c r="E61" s="14"/>
      <c r="F61" s="14"/>
      <c r="L61" s="1325"/>
    </row>
    <row r="62" spans="1:15">
      <c r="A62" s="1304"/>
      <c r="B62" s="734">
        <v>1</v>
      </c>
      <c r="C62" s="1118" t="s">
        <v>2849</v>
      </c>
      <c r="D62" s="1118"/>
      <c r="E62" s="1118"/>
      <c r="F62" s="1118"/>
      <c r="G62" s="1118"/>
      <c r="H62" s="1118"/>
      <c r="I62" s="97"/>
      <c r="J62" s="97"/>
      <c r="K62" s="97"/>
      <c r="L62" s="1326"/>
    </row>
    <row r="63" spans="1:15">
      <c r="A63" s="1304"/>
      <c r="B63" s="734">
        <v>2</v>
      </c>
      <c r="C63" s="1118" t="s">
        <v>2850</v>
      </c>
      <c r="D63" s="1118"/>
      <c r="E63" s="1118"/>
      <c r="F63" s="1118"/>
      <c r="G63" s="1118"/>
      <c r="H63" s="1118"/>
      <c r="I63" s="97"/>
      <c r="J63" s="97"/>
      <c r="K63" s="97"/>
      <c r="L63" s="1326"/>
    </row>
    <row r="64" spans="1:15">
      <c r="A64" s="1304"/>
      <c r="B64" s="734">
        <v>3</v>
      </c>
      <c r="C64" s="1118" t="s">
        <v>2851</v>
      </c>
      <c r="D64" s="1118"/>
      <c r="E64" s="1118"/>
      <c r="F64" s="1118"/>
      <c r="G64" s="1118"/>
      <c r="H64" s="1118"/>
      <c r="I64" s="97"/>
      <c r="J64" s="97"/>
      <c r="K64" s="97"/>
      <c r="L64" s="1326"/>
    </row>
    <row r="65" spans="1:13">
      <c r="A65" s="1304"/>
      <c r="B65" s="734">
        <v>4</v>
      </c>
      <c r="C65" s="1118" t="s">
        <v>2851</v>
      </c>
      <c r="D65" s="1118"/>
      <c r="E65" s="1118"/>
      <c r="F65" s="1118"/>
      <c r="G65" s="1118"/>
      <c r="H65" s="1118"/>
      <c r="I65" s="97"/>
      <c r="J65" s="97"/>
      <c r="K65" s="97"/>
      <c r="L65" s="1326"/>
    </row>
    <row r="66" spans="1:13">
      <c r="A66" s="1304"/>
      <c r="B66" s="734">
        <v>5</v>
      </c>
      <c r="C66" s="1118" t="s">
        <v>2852</v>
      </c>
      <c r="D66" s="1118"/>
      <c r="E66" s="1118"/>
      <c r="F66" s="1118"/>
      <c r="G66" s="1118"/>
      <c r="H66" s="1118"/>
      <c r="I66" s="97"/>
      <c r="J66" s="97"/>
      <c r="K66" s="97"/>
      <c r="L66" s="1326"/>
    </row>
    <row r="67" spans="1:13">
      <c r="A67" s="1304"/>
      <c r="B67" s="734">
        <v>6</v>
      </c>
      <c r="C67" s="1118" t="s">
        <v>2853</v>
      </c>
      <c r="D67" s="1118"/>
      <c r="E67" s="1118"/>
      <c r="F67" s="1118"/>
      <c r="G67" s="1118"/>
      <c r="H67" s="1118"/>
      <c r="I67" s="97"/>
      <c r="J67" s="97"/>
      <c r="K67" s="97"/>
      <c r="L67" s="1326"/>
    </row>
    <row r="68" spans="1:13">
      <c r="A68" s="1304"/>
      <c r="B68" s="734">
        <v>7</v>
      </c>
      <c r="C68" s="1118" t="s">
        <v>2854</v>
      </c>
      <c r="D68" s="1118"/>
      <c r="E68" s="1118"/>
      <c r="F68" s="1118"/>
      <c r="G68" s="1118"/>
      <c r="H68" s="1118"/>
      <c r="I68" s="97"/>
      <c r="J68" s="97"/>
      <c r="K68" s="97"/>
      <c r="L68" s="1326"/>
    </row>
    <row r="69" spans="1:13">
      <c r="A69" s="1304"/>
      <c r="B69" s="734">
        <v>8</v>
      </c>
      <c r="C69" s="1118" t="s">
        <v>2855</v>
      </c>
      <c r="D69" s="1118"/>
      <c r="E69" s="1118"/>
      <c r="F69" s="1118"/>
      <c r="G69" s="1118"/>
      <c r="H69" s="1118"/>
      <c r="I69" s="97"/>
      <c r="J69" s="97"/>
      <c r="K69" s="97"/>
      <c r="L69" s="1326"/>
    </row>
    <row r="70" spans="1:13">
      <c r="A70" s="1304"/>
      <c r="B70" s="151"/>
      <c r="C70" s="97"/>
      <c r="D70" s="97"/>
      <c r="E70" s="97"/>
      <c r="F70" s="97"/>
      <c r="G70" s="97"/>
      <c r="H70" s="97"/>
      <c r="I70" s="97"/>
      <c r="J70" s="97"/>
      <c r="K70" s="97"/>
      <c r="L70" s="1326"/>
    </row>
    <row r="71" spans="1:13">
      <c r="A71" s="1304"/>
      <c r="L71" s="1325"/>
    </row>
    <row r="72" spans="1:13">
      <c r="A72" s="1304">
        <v>200</v>
      </c>
      <c r="E72" s="68" t="s">
        <v>2673</v>
      </c>
      <c r="F72" s="7">
        <f>SUM(F$22:F$56)*1000</f>
        <v>9813899793.7167282</v>
      </c>
      <c r="J72" s="68" t="s">
        <v>2674</v>
      </c>
      <c r="K72" s="71">
        <f>SUM(K$22:K$57)*1000</f>
        <v>456504133.55725354</v>
      </c>
    </row>
    <row r="73" spans="1:13">
      <c r="A73" s="1304"/>
      <c r="F73" s="63"/>
    </row>
    <row r="74" spans="1:13">
      <c r="A74" s="1304"/>
      <c r="B74" s="1" t="s">
        <v>2675</v>
      </c>
    </row>
    <row r="75" spans="1:13">
      <c r="A75" s="1304"/>
      <c r="B75" s="1"/>
    </row>
    <row r="76" spans="1:13">
      <c r="A76" s="1304"/>
      <c r="B76" s="84" t="s">
        <v>363</v>
      </c>
      <c r="C76" s="84" t="s">
        <v>347</v>
      </c>
      <c r="D76" s="84" t="s">
        <v>348</v>
      </c>
      <c r="E76" s="84" t="s">
        <v>349</v>
      </c>
      <c r="F76" s="84" t="s">
        <v>350</v>
      </c>
      <c r="M76" s="1327"/>
    </row>
    <row r="77" spans="1:13" s="14" customFormat="1" ht="13.5" thickBot="1">
      <c r="A77" s="1304"/>
      <c r="B77" s="505"/>
      <c r="C77" s="505"/>
      <c r="D77" s="505"/>
      <c r="E77" s="505"/>
      <c r="F77" s="517"/>
      <c r="G77" s="1112"/>
      <c r="H77" s="1112"/>
      <c r="I77" s="1112"/>
      <c r="J77" s="1112"/>
      <c r="K77" s="1112"/>
      <c r="L77" s="1112"/>
      <c r="M77" s="984"/>
    </row>
    <row r="78" spans="1:13" s="14" customFormat="1" ht="26.25" thickBot="1">
      <c r="A78" s="1304"/>
      <c r="B78" s="1306" t="s">
        <v>2654</v>
      </c>
      <c r="C78" s="1307" t="s">
        <v>2655</v>
      </c>
      <c r="D78" s="1307" t="s">
        <v>2656</v>
      </c>
      <c r="E78" s="1308" t="s">
        <v>2657</v>
      </c>
      <c r="F78" s="1309" t="s">
        <v>2676</v>
      </c>
      <c r="G78" s="1375" t="s">
        <v>2811</v>
      </c>
      <c r="H78" s="1376"/>
      <c r="I78" s="1112"/>
      <c r="J78" s="1112"/>
      <c r="K78" s="1112"/>
      <c r="L78" s="1112"/>
      <c r="M78" s="984"/>
    </row>
    <row r="79" spans="1:13" s="14" customFormat="1">
      <c r="A79" s="1304">
        <v>201</v>
      </c>
      <c r="B79" s="1319" t="s">
        <v>2668</v>
      </c>
      <c r="C79" s="1320">
        <v>38813</v>
      </c>
      <c r="D79" s="1320">
        <v>48884</v>
      </c>
      <c r="E79" s="1321">
        <v>6.94E-3</v>
      </c>
      <c r="F79" s="537">
        <v>-135000</v>
      </c>
      <c r="G79" s="537"/>
      <c r="H79" s="537"/>
      <c r="I79" s="1112"/>
      <c r="J79" s="1112"/>
      <c r="K79" s="1112"/>
      <c r="L79" s="1112"/>
      <c r="M79" s="984"/>
    </row>
    <row r="80" spans="1:13" s="14" customFormat="1">
      <c r="A80" s="1304">
        <f t="shared" ref="A80:A83" si="11">A79+1</f>
        <v>202</v>
      </c>
      <c r="B80" s="1319" t="s">
        <v>2669</v>
      </c>
      <c r="C80" s="1320">
        <v>40787</v>
      </c>
      <c r="D80" s="1320">
        <v>48092</v>
      </c>
      <c r="E80" s="1321">
        <v>4.0724999999999997E-3</v>
      </c>
      <c r="F80" s="537">
        <v>-30000</v>
      </c>
      <c r="G80" s="537"/>
      <c r="H80" s="537"/>
      <c r="I80" s="1112"/>
      <c r="J80" s="1112"/>
      <c r="K80" s="1112"/>
      <c r="L80" s="1112"/>
      <c r="M80" s="984"/>
    </row>
    <row r="81" spans="1:13" s="14" customFormat="1">
      <c r="A81" s="1304">
        <f t="shared" si="11"/>
        <v>203</v>
      </c>
      <c r="B81" s="1319"/>
      <c r="C81" s="1320"/>
      <c r="D81" s="1320"/>
      <c r="E81" s="1321"/>
      <c r="F81" s="537"/>
      <c r="G81" s="537"/>
      <c r="H81" s="537"/>
      <c r="I81" s="1112"/>
      <c r="J81" s="1112"/>
      <c r="K81" s="1112"/>
      <c r="L81" s="1112"/>
      <c r="M81" s="984"/>
    </row>
    <row r="82" spans="1:13" s="14" customFormat="1">
      <c r="A82" s="1304">
        <f t="shared" si="11"/>
        <v>204</v>
      </c>
      <c r="B82" s="1319" t="s">
        <v>513</v>
      </c>
      <c r="C82" s="1320"/>
      <c r="D82" s="1320"/>
      <c r="E82" s="1321"/>
      <c r="F82" s="537"/>
      <c r="G82" s="537"/>
      <c r="H82" s="537"/>
      <c r="I82" s="1112"/>
      <c r="J82" s="1112"/>
      <c r="K82" s="1112"/>
      <c r="L82" s="1112"/>
      <c r="M82" s="984"/>
    </row>
    <row r="83" spans="1:13" s="14" customFormat="1">
      <c r="A83" s="1304">
        <f t="shared" si="11"/>
        <v>205</v>
      </c>
      <c r="B83" s="505"/>
      <c r="C83" s="505"/>
      <c r="D83" s="505"/>
      <c r="E83" s="68" t="s">
        <v>2677</v>
      </c>
      <c r="F83" s="510">
        <f>+SUM(F79:F82)*1000</f>
        <v>-165000000</v>
      </c>
      <c r="G83" s="505"/>
      <c r="H83" s="505"/>
      <c r="I83" s="505"/>
      <c r="J83" s="505"/>
      <c r="K83" s="505"/>
      <c r="L83" s="505"/>
      <c r="M83" s="984"/>
    </row>
    <row r="84" spans="1:13" s="14" customFormat="1">
      <c r="A84" s="1304"/>
      <c r="B84" s="505"/>
      <c r="C84" s="505"/>
      <c r="D84" s="505"/>
      <c r="E84" s="68"/>
      <c r="F84" s="510"/>
      <c r="G84" s="505"/>
      <c r="H84" s="505"/>
      <c r="I84" s="505"/>
      <c r="J84" s="505"/>
      <c r="K84" s="505"/>
      <c r="L84" s="505"/>
      <c r="M84" s="984"/>
    </row>
    <row r="85" spans="1:13" s="14" customFormat="1">
      <c r="A85" s="1304"/>
      <c r="B85" s="44" t="s">
        <v>2678</v>
      </c>
      <c r="G85" s="1112"/>
      <c r="H85" s="1112"/>
      <c r="I85" s="1112"/>
      <c r="J85" s="1112"/>
      <c r="K85" s="1112"/>
      <c r="L85" s="1325"/>
      <c r="M85" s="984"/>
    </row>
    <row r="86" spans="1:13" s="14" customFormat="1">
      <c r="A86" s="1304"/>
      <c r="B86" s="44"/>
      <c r="G86" s="1112"/>
      <c r="H86" s="1112"/>
      <c r="I86" s="1112"/>
      <c r="J86" s="1112"/>
      <c r="K86" s="1112"/>
      <c r="L86" s="1325"/>
      <c r="M86" s="984"/>
    </row>
    <row r="87" spans="1:13" s="14" customFormat="1">
      <c r="A87" s="1304"/>
      <c r="B87" s="960" t="s">
        <v>2671</v>
      </c>
      <c r="C87" s="960" t="s">
        <v>2672</v>
      </c>
      <c r="G87" s="1112"/>
      <c r="H87" s="1112"/>
      <c r="I87" s="1112"/>
      <c r="J87" s="1112"/>
      <c r="K87" s="1112"/>
      <c r="L87" s="1325"/>
      <c r="M87" s="984"/>
    </row>
    <row r="88" spans="1:13" s="14" customFormat="1">
      <c r="A88" s="1304"/>
      <c r="B88" s="151"/>
      <c r="C88" s="537"/>
      <c r="D88" s="97"/>
      <c r="E88" s="97"/>
      <c r="F88" s="97"/>
      <c r="G88" s="97"/>
      <c r="H88" s="97"/>
      <c r="I88" s="97"/>
      <c r="J88" s="97"/>
      <c r="K88" s="97"/>
      <c r="L88" s="1326"/>
      <c r="M88" s="984"/>
    </row>
    <row r="89" spans="1:13" s="14" customFormat="1">
      <c r="A89" s="1304"/>
      <c r="B89" s="151"/>
      <c r="C89" s="1118"/>
      <c r="D89" s="97"/>
      <c r="E89" s="97"/>
      <c r="F89" s="97"/>
      <c r="G89" s="97"/>
      <c r="H89" s="97"/>
      <c r="I89" s="97"/>
      <c r="J89" s="97"/>
      <c r="K89" s="97"/>
      <c r="L89" s="1326"/>
      <c r="M89" s="984"/>
    </row>
    <row r="90" spans="1:13" s="14" customFormat="1">
      <c r="A90" s="1304"/>
      <c r="B90" s="151"/>
      <c r="C90" s="1118"/>
      <c r="D90" s="97"/>
      <c r="E90" s="97"/>
      <c r="F90" s="97"/>
      <c r="G90" s="97"/>
      <c r="H90" s="97"/>
      <c r="I90" s="97"/>
      <c r="J90" s="97"/>
      <c r="K90" s="97"/>
      <c r="L90" s="1326"/>
      <c r="M90" s="984"/>
    </row>
    <row r="91" spans="1:13" s="14" customFormat="1">
      <c r="A91" s="1304"/>
      <c r="F91" s="63"/>
    </row>
    <row r="92" spans="1:13">
      <c r="B92" s="1328" t="s">
        <v>2679</v>
      </c>
    </row>
    <row r="93" spans="1:13">
      <c r="B93" s="84" t="s">
        <v>363</v>
      </c>
      <c r="C93" s="84" t="s">
        <v>347</v>
      </c>
      <c r="D93" s="84" t="s">
        <v>348</v>
      </c>
    </row>
    <row r="94" spans="1:13" ht="13.5" thickBot="1"/>
    <row r="95" spans="1:13" ht="64.5" thickBot="1">
      <c r="A95" s="3" t="s">
        <v>332</v>
      </c>
      <c r="B95" s="1329" t="s">
        <v>2654</v>
      </c>
      <c r="C95" s="1333" t="s">
        <v>2808</v>
      </c>
      <c r="D95" s="1333" t="s">
        <v>2809</v>
      </c>
    </row>
    <row r="96" spans="1:13">
      <c r="A96" s="1304">
        <v>301</v>
      </c>
      <c r="B96" s="1366" t="s">
        <v>2819</v>
      </c>
      <c r="C96" s="537">
        <v>2831262.1199999992</v>
      </c>
      <c r="D96" s="537">
        <v>1970790.1100000008</v>
      </c>
      <c r="E96" s="63"/>
      <c r="F96" s="1316"/>
    </row>
    <row r="97" spans="1:6">
      <c r="A97" s="1304">
        <f>A96+1</f>
        <v>302</v>
      </c>
      <c r="B97" s="1348" t="s">
        <v>2820</v>
      </c>
      <c r="C97" s="537">
        <v>443346.95000000019</v>
      </c>
      <c r="D97" s="537">
        <v>0</v>
      </c>
      <c r="E97" s="63"/>
      <c r="F97" s="1316"/>
    </row>
    <row r="98" spans="1:6">
      <c r="A98" s="1304">
        <f t="shared" ref="A98:A129" si="12">A97+1</f>
        <v>303</v>
      </c>
      <c r="B98" s="1366" t="s">
        <v>2821</v>
      </c>
      <c r="C98" s="537">
        <v>1828999.0899999989</v>
      </c>
      <c r="D98" s="537">
        <v>90590.879999999946</v>
      </c>
      <c r="E98" s="63"/>
      <c r="F98" s="1316"/>
    </row>
    <row r="99" spans="1:6">
      <c r="A99" s="1304">
        <f t="shared" si="12"/>
        <v>304</v>
      </c>
      <c r="B99" s="1366" t="s">
        <v>2822</v>
      </c>
      <c r="C99" s="537">
        <v>1461699.5599999996</v>
      </c>
      <c r="D99" s="537">
        <v>450552.16000000027</v>
      </c>
      <c r="E99" s="63"/>
      <c r="F99" s="1316"/>
    </row>
    <row r="100" spans="1:6">
      <c r="A100" s="1304">
        <f t="shared" si="12"/>
        <v>305</v>
      </c>
      <c r="B100" s="1366" t="s">
        <v>2823</v>
      </c>
      <c r="C100" s="537">
        <v>1921328.1999999993</v>
      </c>
      <c r="D100" s="537">
        <v>103678.51000000008</v>
      </c>
      <c r="E100" s="63"/>
      <c r="F100" s="1316"/>
    </row>
    <row r="101" spans="1:6">
      <c r="A101" s="1304">
        <f t="shared" si="12"/>
        <v>306</v>
      </c>
      <c r="B101" s="1367" t="s">
        <v>2824</v>
      </c>
      <c r="C101" s="537">
        <v>2007585.04</v>
      </c>
      <c r="D101" s="537">
        <v>0</v>
      </c>
      <c r="E101" s="63"/>
      <c r="F101" s="1316"/>
    </row>
    <row r="102" spans="1:6">
      <c r="A102" s="1304">
        <f t="shared" si="12"/>
        <v>307</v>
      </c>
      <c r="B102" s="1348" t="s">
        <v>2825</v>
      </c>
      <c r="C102" s="537">
        <v>1107493.0800000005</v>
      </c>
      <c r="D102" s="537">
        <v>0</v>
      </c>
      <c r="E102" s="63"/>
      <c r="F102" s="1316"/>
    </row>
    <row r="103" spans="1:6">
      <c r="A103" s="1304">
        <f t="shared" si="12"/>
        <v>308</v>
      </c>
      <c r="B103" s="1366" t="s">
        <v>2826</v>
      </c>
      <c r="C103" s="537">
        <v>2186987.4100000011</v>
      </c>
      <c r="D103" s="537">
        <v>545466.79000000085</v>
      </c>
      <c r="E103" s="63"/>
      <c r="F103" s="1316"/>
    </row>
    <row r="104" spans="1:6">
      <c r="A104" s="1304">
        <f t="shared" si="12"/>
        <v>309</v>
      </c>
      <c r="B104" s="1366" t="s">
        <v>2827</v>
      </c>
      <c r="C104" s="537">
        <v>742631.29999999993</v>
      </c>
      <c r="D104" s="537">
        <v>0</v>
      </c>
      <c r="E104" s="63"/>
      <c r="F104" s="1316"/>
    </row>
    <row r="105" spans="1:6">
      <c r="A105" s="1304">
        <f t="shared" si="12"/>
        <v>310</v>
      </c>
      <c r="B105" s="1366" t="s">
        <v>2828</v>
      </c>
      <c r="C105" s="537">
        <v>251580.55000000005</v>
      </c>
      <c r="D105" s="537">
        <v>0</v>
      </c>
      <c r="E105" s="63"/>
      <c r="F105" s="1316"/>
    </row>
    <row r="106" spans="1:6">
      <c r="A106" s="1304">
        <f t="shared" si="12"/>
        <v>311</v>
      </c>
      <c r="B106" s="1348" t="s">
        <v>2829</v>
      </c>
      <c r="C106" s="537">
        <v>925424.13999999932</v>
      </c>
      <c r="D106" s="537">
        <v>0</v>
      </c>
      <c r="E106" s="63"/>
      <c r="F106" s="1316"/>
    </row>
    <row r="107" spans="1:6">
      <c r="A107" s="1304">
        <f t="shared" si="12"/>
        <v>312</v>
      </c>
      <c r="B107" s="1366" t="s">
        <v>2830</v>
      </c>
      <c r="C107" s="537">
        <v>2683762.1500000004</v>
      </c>
      <c r="D107" s="537">
        <v>1448961.6399999994</v>
      </c>
      <c r="E107" s="63"/>
      <c r="F107" s="1316"/>
    </row>
    <row r="108" spans="1:6">
      <c r="A108" s="1304">
        <f t="shared" si="12"/>
        <v>313</v>
      </c>
      <c r="B108" s="1348" t="s">
        <v>2831</v>
      </c>
      <c r="C108" s="537">
        <v>4458923.3400000008</v>
      </c>
      <c r="D108" s="537">
        <v>1938054.8199999998</v>
      </c>
      <c r="E108" s="63"/>
      <c r="F108" s="1316"/>
    </row>
    <row r="109" spans="1:6">
      <c r="A109" s="1304">
        <f t="shared" si="12"/>
        <v>314</v>
      </c>
      <c r="B109" s="1348" t="s">
        <v>2832</v>
      </c>
      <c r="C109" s="537">
        <v>527166.6100000008</v>
      </c>
      <c r="D109" s="537">
        <v>368530.31000000006</v>
      </c>
      <c r="E109" s="63"/>
      <c r="F109" s="1316"/>
    </row>
    <row r="110" spans="1:6">
      <c r="A110" s="1304">
        <f t="shared" si="12"/>
        <v>315</v>
      </c>
      <c r="B110" s="1348" t="s">
        <v>2833</v>
      </c>
      <c r="C110" s="537">
        <v>3782561.5399999996</v>
      </c>
      <c r="D110" s="537">
        <v>3032220.6799999983</v>
      </c>
      <c r="E110" s="63"/>
      <c r="F110" s="1316"/>
    </row>
    <row r="111" spans="1:6">
      <c r="A111" s="1304">
        <f t="shared" si="12"/>
        <v>316</v>
      </c>
      <c r="B111" s="1348" t="s">
        <v>2666</v>
      </c>
      <c r="C111" s="537">
        <v>4136620.6799999997</v>
      </c>
      <c r="D111" s="537">
        <v>4666895.1100000003</v>
      </c>
      <c r="E111" s="63"/>
      <c r="F111" s="1316"/>
    </row>
    <row r="112" spans="1:6">
      <c r="A112" s="1304">
        <f t="shared" si="12"/>
        <v>317</v>
      </c>
      <c r="B112" s="1348" t="s">
        <v>2667</v>
      </c>
      <c r="C112" s="537">
        <v>4199972.330000001</v>
      </c>
      <c r="D112" s="537">
        <v>2508428.319999998</v>
      </c>
      <c r="E112" s="63"/>
      <c r="F112" s="1316"/>
    </row>
    <row r="113" spans="1:6">
      <c r="A113" s="1304">
        <f t="shared" si="12"/>
        <v>318</v>
      </c>
      <c r="B113" s="1348" t="s">
        <v>2834</v>
      </c>
      <c r="C113" s="537">
        <v>1337233.8999999997</v>
      </c>
      <c r="D113" s="537">
        <v>0</v>
      </c>
      <c r="E113" s="63"/>
      <c r="F113" s="1316"/>
    </row>
    <row r="114" spans="1:6">
      <c r="A114" s="1304">
        <f t="shared" si="12"/>
        <v>319</v>
      </c>
      <c r="B114" s="1348" t="s">
        <v>2835</v>
      </c>
      <c r="C114" s="537">
        <v>1884664.8399999999</v>
      </c>
      <c r="D114" s="537">
        <v>1268902.369999998</v>
      </c>
      <c r="E114" s="63"/>
      <c r="F114" s="1316"/>
    </row>
    <row r="115" spans="1:6">
      <c r="A115" s="1304">
        <f t="shared" si="12"/>
        <v>320</v>
      </c>
      <c r="B115" s="1348" t="s">
        <v>2836</v>
      </c>
      <c r="C115" s="537">
        <v>2243190.88</v>
      </c>
      <c r="D115" s="537">
        <v>1162174.7399999988</v>
      </c>
      <c r="E115" s="63"/>
      <c r="F115" s="1316"/>
    </row>
    <row r="116" spans="1:6">
      <c r="A116" s="1304">
        <f t="shared" si="12"/>
        <v>321</v>
      </c>
      <c r="B116" s="1348" t="s">
        <v>2837</v>
      </c>
      <c r="C116" s="537">
        <v>3610490.5300000007</v>
      </c>
      <c r="D116" s="537">
        <v>3971497.1500000018</v>
      </c>
      <c r="E116" s="63"/>
      <c r="F116" s="1316"/>
    </row>
    <row r="117" spans="1:6">
      <c r="A117" s="1304">
        <f t="shared" si="12"/>
        <v>322</v>
      </c>
      <c r="B117" s="1348" t="s">
        <v>2838</v>
      </c>
      <c r="C117" s="537">
        <v>3769405.63</v>
      </c>
      <c r="D117" s="537">
        <v>2084378.0900000017</v>
      </c>
      <c r="E117" s="63"/>
      <c r="F117" s="1316"/>
    </row>
    <row r="118" spans="1:6">
      <c r="A118" s="1304">
        <f t="shared" si="12"/>
        <v>323</v>
      </c>
      <c r="B118" s="1348" t="s">
        <v>2839</v>
      </c>
      <c r="C118" s="537">
        <v>3531227.9200000009</v>
      </c>
      <c r="D118" s="537">
        <v>712997.16000000073</v>
      </c>
      <c r="E118" s="63"/>
      <c r="F118" s="1316"/>
    </row>
    <row r="119" spans="1:6">
      <c r="A119" s="1304">
        <f t="shared" si="12"/>
        <v>324</v>
      </c>
      <c r="B119" s="1348" t="s">
        <v>2840</v>
      </c>
      <c r="C119" s="537">
        <v>7800285.4699999997</v>
      </c>
      <c r="D119" s="537">
        <v>4908176.4099999974</v>
      </c>
      <c r="E119" s="517"/>
      <c r="F119" s="1331"/>
    </row>
    <row r="120" spans="1:6">
      <c r="A120" s="1304">
        <f t="shared" si="12"/>
        <v>325</v>
      </c>
      <c r="B120" s="1348" t="s">
        <v>2841</v>
      </c>
      <c r="C120" s="537">
        <v>280004.29999999888</v>
      </c>
      <c r="D120" s="537">
        <v>14288.380000000036</v>
      </c>
      <c r="E120" s="517"/>
      <c r="F120" s="1331"/>
    </row>
    <row r="121" spans="1:6">
      <c r="A121" s="1304">
        <f t="shared" si="12"/>
        <v>326</v>
      </c>
      <c r="B121" s="1348" t="s">
        <v>2843</v>
      </c>
      <c r="C121" s="537">
        <v>291010.05245651997</v>
      </c>
      <c r="D121" s="537">
        <v>0</v>
      </c>
      <c r="E121" s="63"/>
      <c r="F121" s="1316"/>
    </row>
    <row r="122" spans="1:6">
      <c r="A122" s="1304">
        <f t="shared" si="12"/>
        <v>327</v>
      </c>
      <c r="B122" s="1348" t="s">
        <v>2844</v>
      </c>
      <c r="C122" s="537">
        <v>172979.117144947</v>
      </c>
      <c r="D122" s="537">
        <v>1477.91293235431</v>
      </c>
      <c r="E122" s="63"/>
      <c r="F122" s="1316"/>
    </row>
    <row r="123" spans="1:6">
      <c r="A123" s="1304">
        <f t="shared" si="12"/>
        <v>328</v>
      </c>
      <c r="B123" s="1348" t="s">
        <v>2725</v>
      </c>
      <c r="C123" s="537">
        <v>4385518.8900000006</v>
      </c>
      <c r="D123" s="537">
        <v>1526922.2100000011</v>
      </c>
      <c r="E123" s="63"/>
      <c r="F123" s="14"/>
    </row>
    <row r="124" spans="1:6">
      <c r="A124" s="1304">
        <f t="shared" si="12"/>
        <v>329</v>
      </c>
      <c r="B124" s="1348" t="s">
        <v>2845</v>
      </c>
      <c r="C124" s="537">
        <v>798972.00000000023</v>
      </c>
      <c r="D124" s="537">
        <v>0</v>
      </c>
      <c r="E124" s="63"/>
      <c r="F124" s="14"/>
    </row>
    <row r="125" spans="1:6">
      <c r="A125" s="1304">
        <f t="shared" si="12"/>
        <v>330</v>
      </c>
      <c r="B125" s="1348" t="s">
        <v>2846</v>
      </c>
      <c r="C125" s="537">
        <v>256666.88</v>
      </c>
      <c r="D125" s="537">
        <v>0</v>
      </c>
      <c r="E125" s="63"/>
      <c r="F125" s="14"/>
    </row>
    <row r="126" spans="1:6">
      <c r="A126" s="1304">
        <f t="shared" si="12"/>
        <v>331</v>
      </c>
      <c r="B126" s="1365" t="s">
        <v>2665</v>
      </c>
      <c r="C126" s="537">
        <v>667050.28</v>
      </c>
      <c r="D126" s="537">
        <v>1476129.9300000013</v>
      </c>
      <c r="E126" s="63"/>
      <c r="F126" s="14"/>
    </row>
    <row r="127" spans="1:6">
      <c r="A127" s="1304">
        <f t="shared" si="12"/>
        <v>332</v>
      </c>
      <c r="B127" s="1366" t="s">
        <v>2848</v>
      </c>
      <c r="C127" s="537">
        <v>0</v>
      </c>
      <c r="D127" s="537">
        <v>0</v>
      </c>
      <c r="E127" s="63"/>
      <c r="F127" s="14"/>
    </row>
    <row r="128" spans="1:6">
      <c r="A128" s="1304">
        <f t="shared" si="12"/>
        <v>333</v>
      </c>
      <c r="B128" s="1319"/>
      <c r="C128" s="1136"/>
      <c r="D128" s="1136"/>
      <c r="E128" s="63"/>
      <c r="F128" s="14"/>
    </row>
    <row r="129" spans="1:8">
      <c r="A129" s="1304">
        <f t="shared" si="12"/>
        <v>334</v>
      </c>
      <c r="B129" s="1332" t="s">
        <v>513</v>
      </c>
      <c r="C129" s="1136"/>
      <c r="D129" s="1136"/>
      <c r="E129" s="63"/>
      <c r="F129" s="14"/>
    </row>
    <row r="130" spans="1:8">
      <c r="A130" s="1304"/>
      <c r="G130" s="63"/>
      <c r="H130" s="14"/>
    </row>
    <row r="131" spans="1:8">
      <c r="B131" s="1328" t="s">
        <v>2680</v>
      </c>
    </row>
    <row r="132" spans="1:8">
      <c r="B132" s="84" t="s">
        <v>363</v>
      </c>
      <c r="C132" s="84" t="s">
        <v>347</v>
      </c>
      <c r="D132" s="84" t="s">
        <v>348</v>
      </c>
    </row>
    <row r="133" spans="1:8" ht="13.5" thickBot="1"/>
    <row r="134" spans="1:8" ht="40.15" customHeight="1" thickBot="1">
      <c r="A134" s="3" t="s">
        <v>332</v>
      </c>
      <c r="B134" s="1329" t="s">
        <v>2654</v>
      </c>
      <c r="C134" s="1330" t="s">
        <v>2810</v>
      </c>
      <c r="D134" s="1333" t="s">
        <v>2681</v>
      </c>
    </row>
    <row r="135" spans="1:8">
      <c r="A135" s="600">
        <v>401</v>
      </c>
      <c r="B135" s="1118" t="s">
        <v>2682</v>
      </c>
      <c r="C135" s="1136">
        <v>-522.05003282253995</v>
      </c>
      <c r="D135" s="1136">
        <v>506.00352000000009</v>
      </c>
    </row>
    <row r="136" spans="1:8">
      <c r="A136" s="1304">
        <f t="shared" ref="A136:A191" si="13">A135+1</f>
        <v>402</v>
      </c>
      <c r="B136" s="1118" t="s">
        <v>2682</v>
      </c>
      <c r="C136" s="1136">
        <v>-50.213056379617917</v>
      </c>
      <c r="D136" s="1136">
        <v>48.66935999999999</v>
      </c>
    </row>
    <row r="137" spans="1:8">
      <c r="A137" s="1304">
        <f t="shared" si="13"/>
        <v>403</v>
      </c>
      <c r="B137" s="1118" t="s">
        <v>2683</v>
      </c>
      <c r="C137" s="1136">
        <v>-1240.0070531094696</v>
      </c>
      <c r="D137" s="1136">
        <v>246.31331999999995</v>
      </c>
    </row>
    <row r="138" spans="1:8">
      <c r="A138" s="1304">
        <f t="shared" si="13"/>
        <v>404</v>
      </c>
      <c r="B138" s="1118" t="s">
        <v>2684</v>
      </c>
      <c r="C138" s="1136">
        <v>-1315.1024287570337</v>
      </c>
      <c r="D138" s="1136">
        <v>261.23015999999996</v>
      </c>
    </row>
    <row r="139" spans="1:8">
      <c r="A139" s="1304">
        <f t="shared" si="13"/>
        <v>405</v>
      </c>
      <c r="B139" s="1118" t="s">
        <v>2685</v>
      </c>
      <c r="C139" s="1136">
        <v>-777.19907218200751</v>
      </c>
      <c r="D139" s="1136">
        <v>202.81415999999996</v>
      </c>
    </row>
    <row r="140" spans="1:8">
      <c r="A140" s="1304">
        <f t="shared" si="13"/>
        <v>406</v>
      </c>
      <c r="B140" s="1118" t="s">
        <v>2686</v>
      </c>
      <c r="C140" s="1136">
        <v>-0.14087886800000143</v>
      </c>
      <c r="D140" s="1136">
        <v>7.8480000000000022E-2</v>
      </c>
    </row>
    <row r="141" spans="1:8">
      <c r="A141" s="1304">
        <f t="shared" si="13"/>
        <v>407</v>
      </c>
      <c r="B141" s="1118" t="s">
        <v>2686</v>
      </c>
      <c r="C141" s="1136">
        <v>-3066.6089337845615</v>
      </c>
      <c r="D141" s="1136">
        <v>567.44831999999997</v>
      </c>
    </row>
    <row r="142" spans="1:8">
      <c r="A142" s="1304">
        <f t="shared" si="13"/>
        <v>408</v>
      </c>
      <c r="B142" s="1118" t="s">
        <v>2683</v>
      </c>
      <c r="C142" s="1136">
        <v>-5125.1483152479304</v>
      </c>
      <c r="D142" s="1136">
        <v>1098.1038000000001</v>
      </c>
    </row>
    <row r="143" spans="1:8">
      <c r="A143" s="1304">
        <f t="shared" si="13"/>
        <v>409</v>
      </c>
      <c r="B143" s="1118" t="s">
        <v>2687</v>
      </c>
      <c r="C143" s="1136">
        <v>-382.27981920485672</v>
      </c>
      <c r="D143" s="1136">
        <v>649.42919999999981</v>
      </c>
    </row>
    <row r="144" spans="1:8">
      <c r="A144" s="1304">
        <f t="shared" si="13"/>
        <v>410</v>
      </c>
      <c r="B144" s="1118" t="s">
        <v>2688</v>
      </c>
      <c r="C144" s="1136">
        <v>-1410.8740325135384</v>
      </c>
      <c r="D144" s="1136">
        <v>1262.5503600000002</v>
      </c>
    </row>
    <row r="145" spans="1:4">
      <c r="A145" s="1304">
        <f t="shared" si="13"/>
        <v>411</v>
      </c>
      <c r="B145" s="1118" t="s">
        <v>2689</v>
      </c>
      <c r="C145" s="1136">
        <v>-638.59830722087008</v>
      </c>
      <c r="D145" s="1136">
        <v>251.00820000000004</v>
      </c>
    </row>
    <row r="146" spans="1:4">
      <c r="A146" s="1304">
        <f t="shared" si="13"/>
        <v>412</v>
      </c>
      <c r="B146" s="1118" t="s">
        <v>2690</v>
      </c>
      <c r="C146" s="1136">
        <v>-680.68306184340884</v>
      </c>
      <c r="D146" s="1136">
        <v>255.04740000000004</v>
      </c>
    </row>
    <row r="147" spans="1:4">
      <c r="A147" s="1304">
        <f t="shared" si="13"/>
        <v>413</v>
      </c>
      <c r="B147" s="1118" t="s">
        <v>2691</v>
      </c>
      <c r="C147" s="1136">
        <v>-349.15827060001499</v>
      </c>
      <c r="D147" s="1136">
        <v>780.27695999999992</v>
      </c>
    </row>
    <row r="148" spans="1:4">
      <c r="A148" s="1304">
        <f t="shared" si="13"/>
        <v>414</v>
      </c>
      <c r="B148" s="1118" t="s">
        <v>2691</v>
      </c>
      <c r="C148" s="1136">
        <v>-555.68601580799907</v>
      </c>
      <c r="D148" s="1136">
        <v>156.89207999999999</v>
      </c>
    </row>
    <row r="149" spans="1:4">
      <c r="A149" s="1304">
        <f t="shared" si="13"/>
        <v>415</v>
      </c>
      <c r="B149" s="1118" t="s">
        <v>2692</v>
      </c>
      <c r="C149" s="1136">
        <v>-0.14919374771697336</v>
      </c>
      <c r="D149" s="1136">
        <v>0.27624000000000004</v>
      </c>
    </row>
    <row r="150" spans="1:4">
      <c r="A150" s="1304">
        <f t="shared" si="13"/>
        <v>416</v>
      </c>
      <c r="B150" s="1118" t="s">
        <v>2692</v>
      </c>
      <c r="C150" s="1136">
        <v>-186.19421189579981</v>
      </c>
      <c r="D150" s="1136">
        <v>341.67215999999996</v>
      </c>
    </row>
    <row r="151" spans="1:4">
      <c r="A151" s="1304">
        <f t="shared" si="13"/>
        <v>417</v>
      </c>
      <c r="B151" s="1118" t="s">
        <v>2692</v>
      </c>
      <c r="C151" s="1136">
        <v>-0.38170419430001135</v>
      </c>
      <c r="D151" s="1136">
        <v>0.70079999999999987</v>
      </c>
    </row>
    <row r="152" spans="1:4">
      <c r="A152" s="1304">
        <f t="shared" si="13"/>
        <v>418</v>
      </c>
      <c r="B152" s="1118" t="s">
        <v>2693</v>
      </c>
      <c r="C152" s="1136">
        <v>-2114.3345319865571</v>
      </c>
      <c r="D152" s="1136">
        <v>561.56088</v>
      </c>
    </row>
    <row r="153" spans="1:4">
      <c r="A153" s="1304">
        <f t="shared" si="13"/>
        <v>419</v>
      </c>
      <c r="B153" s="1118" t="s">
        <v>2694</v>
      </c>
      <c r="C153" s="1136">
        <v>-2405.8897117288188</v>
      </c>
      <c r="D153" s="1136">
        <v>545.66028000000006</v>
      </c>
    </row>
    <row r="154" spans="1:4">
      <c r="A154" s="1304">
        <f t="shared" si="13"/>
        <v>420</v>
      </c>
      <c r="B154" s="1118" t="s">
        <v>2695</v>
      </c>
      <c r="C154" s="1136">
        <v>-3175.0055312883555</v>
      </c>
      <c r="D154" s="1136">
        <v>435.97715999999997</v>
      </c>
    </row>
    <row r="155" spans="1:4">
      <c r="A155" s="1304">
        <f t="shared" si="13"/>
        <v>421</v>
      </c>
      <c r="B155" s="1118" t="s">
        <v>2696</v>
      </c>
      <c r="C155" s="1136">
        <v>-1413.3414719869386</v>
      </c>
      <c r="D155" s="1136">
        <v>187.65251999999992</v>
      </c>
    </row>
    <row r="156" spans="1:4">
      <c r="A156" s="1304">
        <f t="shared" si="13"/>
        <v>422</v>
      </c>
      <c r="B156" s="1118" t="s">
        <v>2697</v>
      </c>
      <c r="C156" s="1136">
        <v>-121.71546511368042</v>
      </c>
      <c r="D156" s="1136">
        <v>11.117039999999999</v>
      </c>
    </row>
    <row r="157" spans="1:4">
      <c r="A157" s="1304">
        <f t="shared" si="13"/>
        <v>423</v>
      </c>
      <c r="B157" s="1118" t="s">
        <v>2698</v>
      </c>
      <c r="C157" s="1136">
        <v>-172.2008426421186</v>
      </c>
      <c r="D157" s="1136">
        <v>20.092079999999999</v>
      </c>
    </row>
    <row r="158" spans="1:4">
      <c r="A158" s="1304">
        <f t="shared" si="13"/>
        <v>424</v>
      </c>
      <c r="B158" s="1118" t="s">
        <v>2699</v>
      </c>
      <c r="C158" s="1136">
        <v>-103.70911971664381</v>
      </c>
      <c r="D158" s="1136">
        <v>12.100679999999999</v>
      </c>
    </row>
    <row r="159" spans="1:4">
      <c r="A159" s="1304">
        <f t="shared" si="13"/>
        <v>425</v>
      </c>
      <c r="B159" s="1118" t="s">
        <v>2700</v>
      </c>
      <c r="C159" s="1136">
        <v>-4013.2136152874828</v>
      </c>
      <c r="D159" s="1136">
        <v>396.18624000000005</v>
      </c>
    </row>
    <row r="160" spans="1:4">
      <c r="A160" s="1304">
        <f t="shared" si="13"/>
        <v>426</v>
      </c>
      <c r="B160" s="1118" t="s">
        <v>2701</v>
      </c>
      <c r="C160" s="1136">
        <v>-3572.2603721817636</v>
      </c>
      <c r="D160" s="1136">
        <v>352.65515999999997</v>
      </c>
    </row>
    <row r="161" spans="1:4">
      <c r="A161" s="1304">
        <f t="shared" si="13"/>
        <v>427</v>
      </c>
      <c r="B161" s="1118" t="s">
        <v>2702</v>
      </c>
      <c r="C161" s="1136">
        <v>-1756.0161473715702</v>
      </c>
      <c r="D161" s="1136">
        <v>173.35476</v>
      </c>
    </row>
    <row r="162" spans="1:4">
      <c r="A162" s="1304">
        <f t="shared" si="13"/>
        <v>428</v>
      </c>
      <c r="B162" s="1118" t="s">
        <v>2703</v>
      </c>
      <c r="C162" s="1136">
        <v>-876.73562445717209</v>
      </c>
      <c r="D162" s="1136">
        <v>80.809319999999985</v>
      </c>
    </row>
    <row r="163" spans="1:4">
      <c r="A163" s="1304">
        <f t="shared" si="13"/>
        <v>429</v>
      </c>
      <c r="B163" s="1118" t="s">
        <v>2704</v>
      </c>
      <c r="C163" s="1136">
        <v>-4.5174469641847777E-7</v>
      </c>
      <c r="D163" s="1136">
        <v>1.464E-2</v>
      </c>
    </row>
    <row r="164" spans="1:4">
      <c r="A164" s="1304">
        <f t="shared" si="13"/>
        <v>430</v>
      </c>
      <c r="B164" s="1118" t="s">
        <v>2705</v>
      </c>
      <c r="C164" s="1136">
        <v>-22406.60385203901</v>
      </c>
      <c r="D164" s="1136">
        <v>1973.6090399999998</v>
      </c>
    </row>
    <row r="165" spans="1:4">
      <c r="A165" s="1304">
        <f t="shared" si="13"/>
        <v>431</v>
      </c>
      <c r="B165" s="1118" t="s">
        <v>2705</v>
      </c>
      <c r="C165" s="1136">
        <v>-7199.8627292582396</v>
      </c>
      <c r="D165" s="1136">
        <v>651.27887999999996</v>
      </c>
    </row>
    <row r="166" spans="1:4">
      <c r="A166" s="1304">
        <f t="shared" si="13"/>
        <v>432</v>
      </c>
      <c r="B166" s="1118" t="s">
        <v>2706</v>
      </c>
      <c r="C166" s="1136">
        <v>-1476.7123013801092</v>
      </c>
      <c r="D166" s="1136">
        <v>133.57920000000004</v>
      </c>
    </row>
    <row r="167" spans="1:4">
      <c r="A167" s="1304">
        <f t="shared" si="13"/>
        <v>433</v>
      </c>
      <c r="B167" s="1118" t="s">
        <v>2707</v>
      </c>
      <c r="C167" s="1136">
        <v>-213.89339752907441</v>
      </c>
      <c r="D167" s="1136">
        <v>19.302119999999999</v>
      </c>
    </row>
    <row r="168" spans="1:4">
      <c r="A168" s="1304">
        <f t="shared" si="13"/>
        <v>434</v>
      </c>
      <c r="B168" s="1118" t="s">
        <v>2708</v>
      </c>
      <c r="C168" s="1136">
        <v>-449.07757941378759</v>
      </c>
      <c r="D168" s="1136">
        <v>40.525800000000011</v>
      </c>
    </row>
    <row r="169" spans="1:4">
      <c r="A169" s="1304">
        <f t="shared" si="13"/>
        <v>435</v>
      </c>
      <c r="B169" s="1118" t="s">
        <v>2709</v>
      </c>
      <c r="C169" s="1136">
        <v>-2013.3996811391391</v>
      </c>
      <c r="D169" s="1136">
        <v>181.69356000000002</v>
      </c>
    </row>
    <row r="170" spans="1:4">
      <c r="A170" s="1304">
        <f t="shared" si="13"/>
        <v>436</v>
      </c>
      <c r="B170" s="1118" t="s">
        <v>2710</v>
      </c>
      <c r="C170" s="1136">
        <v>-47.191002007899918</v>
      </c>
      <c r="D170" s="1136">
        <v>7.0346400000000022</v>
      </c>
    </row>
    <row r="171" spans="1:4">
      <c r="A171" s="1304">
        <f t="shared" si="13"/>
        <v>437</v>
      </c>
      <c r="B171" s="1118" t="s">
        <v>2711</v>
      </c>
      <c r="C171" s="1136">
        <v>-67.691487698830301</v>
      </c>
      <c r="D171" s="1136">
        <v>10.090440000000003</v>
      </c>
    </row>
    <row r="172" spans="1:4">
      <c r="A172" s="1304">
        <f t="shared" si="13"/>
        <v>438</v>
      </c>
      <c r="B172" s="1118" t="s">
        <v>2712</v>
      </c>
      <c r="C172" s="1136">
        <v>-192.63675749539874</v>
      </c>
      <c r="D172" s="1136">
        <v>19.191240000000001</v>
      </c>
    </row>
    <row r="173" spans="1:4">
      <c r="A173" s="1304">
        <f t="shared" si="13"/>
        <v>439</v>
      </c>
      <c r="B173" s="1118" t="s">
        <v>2713</v>
      </c>
      <c r="C173" s="1136">
        <v>-2053.151497346832</v>
      </c>
      <c r="D173" s="1136">
        <v>306.05651999999998</v>
      </c>
    </row>
    <row r="174" spans="1:4">
      <c r="A174" s="1304"/>
    </row>
    <row r="175" spans="1:4">
      <c r="B175" s="1328" t="s">
        <v>2714</v>
      </c>
    </row>
    <row r="176" spans="1:4">
      <c r="B176" s="84" t="s">
        <v>363</v>
      </c>
      <c r="C176" s="84" t="s">
        <v>347</v>
      </c>
      <c r="D176" s="84" t="s">
        <v>348</v>
      </c>
    </row>
    <row r="177" spans="1:4" ht="13.5" thickBot="1"/>
    <row r="178" spans="1:4" ht="39" thickBot="1">
      <c r="A178" s="3" t="s">
        <v>332</v>
      </c>
      <c r="B178" s="1329" t="s">
        <v>2654</v>
      </c>
      <c r="C178" s="1330" t="s">
        <v>2810</v>
      </c>
      <c r="D178" s="1333" t="s">
        <v>2681</v>
      </c>
    </row>
    <row r="179" spans="1:4">
      <c r="A179" s="1304">
        <f>A173+1</f>
        <v>440</v>
      </c>
      <c r="B179" s="1118" t="s">
        <v>2715</v>
      </c>
      <c r="C179" s="1136">
        <v>-3509.5474600710181</v>
      </c>
      <c r="D179" s="1136">
        <v>292.60272000000003</v>
      </c>
    </row>
    <row r="180" spans="1:4">
      <c r="A180" s="1304">
        <f t="shared" si="13"/>
        <v>441</v>
      </c>
      <c r="B180" s="1118" t="s">
        <v>2716</v>
      </c>
      <c r="C180" s="1136">
        <v>-8982.0492686717917</v>
      </c>
      <c r="D180" s="1136">
        <v>711.83892000000026</v>
      </c>
    </row>
    <row r="181" spans="1:4">
      <c r="A181" s="1304">
        <f t="shared" si="13"/>
        <v>442</v>
      </c>
      <c r="B181" s="1118" t="s">
        <v>2717</v>
      </c>
      <c r="C181" s="1136">
        <v>-1107.785086304792</v>
      </c>
      <c r="D181" s="1136">
        <v>1141.9836000000003</v>
      </c>
    </row>
    <row r="182" spans="1:4">
      <c r="A182" s="1304">
        <f t="shared" si="13"/>
        <v>443</v>
      </c>
      <c r="B182" s="1118" t="s">
        <v>2718</v>
      </c>
      <c r="C182" s="1136">
        <v>-111.43778901029614</v>
      </c>
      <c r="D182" s="1136">
        <v>54.534240000000018</v>
      </c>
    </row>
    <row r="183" spans="1:4">
      <c r="A183" s="1304">
        <f t="shared" si="13"/>
        <v>444</v>
      </c>
      <c r="B183" s="1118" t="s">
        <v>2719</v>
      </c>
      <c r="C183" s="1136">
        <v>-4411.7565766427861</v>
      </c>
      <c r="D183" s="1136">
        <v>581.79552000000001</v>
      </c>
    </row>
    <row r="184" spans="1:4">
      <c r="A184" s="1304">
        <f t="shared" si="13"/>
        <v>445</v>
      </c>
      <c r="B184" s="1118" t="s">
        <v>2720</v>
      </c>
      <c r="C184" s="1136">
        <v>-261.3726498271991</v>
      </c>
      <c r="D184" s="1136">
        <v>35.652359999999994</v>
      </c>
    </row>
    <row r="185" spans="1:4">
      <c r="A185" s="1304">
        <f t="shared" si="13"/>
        <v>446</v>
      </c>
      <c r="B185" s="1118" t="s">
        <v>2720</v>
      </c>
      <c r="C185" s="1136">
        <v>-93.450720564799724</v>
      </c>
      <c r="D185" s="1136">
        <v>12.747120000000001</v>
      </c>
    </row>
    <row r="186" spans="1:4">
      <c r="A186" s="1304">
        <f t="shared" si="13"/>
        <v>447</v>
      </c>
      <c r="B186" s="1118" t="s">
        <v>2721</v>
      </c>
      <c r="C186" s="1136">
        <v>-705.70774904400105</v>
      </c>
      <c r="D186" s="1136">
        <v>63.44652</v>
      </c>
    </row>
    <row r="187" spans="1:4">
      <c r="A187" s="1304">
        <f t="shared" si="13"/>
        <v>448</v>
      </c>
      <c r="B187" s="1118" t="s">
        <v>2722</v>
      </c>
      <c r="C187" s="1136">
        <v>-668.07264318680143</v>
      </c>
      <c r="D187" s="1136">
        <v>99.215159999999969</v>
      </c>
    </row>
    <row r="188" spans="1:4">
      <c r="A188" s="1304">
        <f t="shared" si="13"/>
        <v>449</v>
      </c>
      <c r="B188" s="1118" t="s">
        <v>2723</v>
      </c>
      <c r="C188" s="1136">
        <v>-5644.3681342263344</v>
      </c>
      <c r="D188" s="1136">
        <v>352.52940000000007</v>
      </c>
    </row>
    <row r="189" spans="1:4">
      <c r="A189" s="1304">
        <f t="shared" si="13"/>
        <v>450</v>
      </c>
      <c r="B189" s="1118" t="s">
        <v>2724</v>
      </c>
      <c r="C189" s="1136">
        <v>-1884.2143104613251</v>
      </c>
      <c r="D189" s="1136">
        <v>117.68207999999997</v>
      </c>
    </row>
    <row r="190" spans="1:4">
      <c r="A190" s="1304">
        <f t="shared" si="13"/>
        <v>451</v>
      </c>
      <c r="B190" s="1118" t="s">
        <v>2725</v>
      </c>
      <c r="C190" s="1136">
        <v>-9964.9718760000069</v>
      </c>
      <c r="D190" s="1136">
        <v>591.09480000000019</v>
      </c>
    </row>
    <row r="191" spans="1:4">
      <c r="A191" s="1304">
        <f t="shared" si="13"/>
        <v>452</v>
      </c>
      <c r="B191" s="1079" t="s">
        <v>513</v>
      </c>
      <c r="C191" s="97"/>
      <c r="D191" s="97"/>
    </row>
    <row r="193" spans="1:4">
      <c r="A193" s="600">
        <v>500</v>
      </c>
      <c r="B193" s="1334" t="s">
        <v>2726</v>
      </c>
      <c r="C193" s="7">
        <f>(SUM(C135:C173)+SUM(C179:C191))*1000</f>
        <v>-109489851.371712</v>
      </c>
      <c r="D193" s="7">
        <f>(SUM(D135:D173)+SUM(D179:D191))*1000</f>
        <v>16803179.16</v>
      </c>
    </row>
    <row r="195" spans="1:4">
      <c r="B195" s="1" t="s">
        <v>232</v>
      </c>
    </row>
    <row r="196" spans="1:4">
      <c r="B196" s="503" t="s">
        <v>2805</v>
      </c>
    </row>
    <row r="197" spans="1:4">
      <c r="B197" s="388" t="s">
        <v>2804</v>
      </c>
    </row>
    <row r="199" spans="1:4">
      <c r="B199" s="505"/>
    </row>
    <row r="200" spans="1:4">
      <c r="B200" s="505"/>
    </row>
  </sheetData>
  <mergeCells count="1">
    <mergeCell ref="G78:H78"/>
  </mergeCells>
  <pageMargins left="0.7" right="0.7" top="0.75" bottom="0.75" header="0.3" footer="0.3"/>
  <pageSetup scale="65" orientation="landscape" r:id="rId1"/>
  <headerFooter>
    <oddHeader>&amp;CSchedule 5 ROR-3
Return and Capitalization&amp;RExhibit SCE-4
TO2018 Formula Rate Spreadsheet</oddHeader>
    <oddFooter>&amp;R5-ROR-3</oddFooter>
  </headerFooter>
  <rowBreaks count="4" manualBreakCount="4">
    <brk id="57" max="16383" man="1"/>
    <brk id="91" max="16383" man="1"/>
    <brk id="130" max="16383" man="1"/>
    <brk id="174" max="12"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zoomScaleNormal="100" workbookViewId="0"/>
  </sheetViews>
  <sheetFormatPr defaultColWidth="8.85546875" defaultRowHeight="12.75"/>
  <cols>
    <col min="1" max="1" width="4.7109375" style="1112" customWidth="1"/>
    <col min="2" max="2" width="27.7109375" style="1112" customWidth="1"/>
    <col min="3" max="4" width="12.7109375" style="1112" customWidth="1"/>
    <col min="5" max="5" width="14.7109375" style="1112" customWidth="1"/>
    <col min="6" max="12" width="12.7109375" style="1112" customWidth="1"/>
    <col min="13" max="16384" width="8.85546875" style="1112"/>
  </cols>
  <sheetData>
    <row r="1" spans="1:6">
      <c r="A1" s="1" t="s">
        <v>43</v>
      </c>
    </row>
    <row r="2" spans="1:6">
      <c r="B2" s="501" t="s">
        <v>2634</v>
      </c>
      <c r="C2" s="151">
        <v>2016</v>
      </c>
    </row>
    <row r="4" spans="1:6">
      <c r="B4" s="1" t="s">
        <v>2727</v>
      </c>
    </row>
    <row r="5" spans="1:6">
      <c r="A5" s="51" t="s">
        <v>332</v>
      </c>
      <c r="E5" s="3" t="s">
        <v>175</v>
      </c>
      <c r="F5" s="3" t="s">
        <v>205</v>
      </c>
    </row>
    <row r="6" spans="1:6">
      <c r="A6" s="600">
        <v>1</v>
      </c>
      <c r="D6" s="501" t="s">
        <v>2728</v>
      </c>
      <c r="E6" s="7">
        <f>J33</f>
        <v>129238028.81028152</v>
      </c>
      <c r="F6" s="16" t="str">
        <f>"Line "&amp;A33&amp;", Col 9"</f>
        <v>Line 112, Col 9</v>
      </c>
    </row>
    <row r="7" spans="1:6">
      <c r="A7" s="600">
        <f>A6+1</f>
        <v>2</v>
      </c>
      <c r="D7" s="501" t="s">
        <v>2729</v>
      </c>
      <c r="E7" s="91">
        <f>G71</f>
        <v>602688.46215141751</v>
      </c>
      <c r="F7" s="16" t="str">
        <f>"Line "&amp;A71&amp;", Col 6"</f>
        <v>Line 312, Col 6</v>
      </c>
    </row>
    <row r="8" spans="1:6">
      <c r="A8" s="600">
        <f t="shared" ref="A8:A14" si="0">A7+1</f>
        <v>3</v>
      </c>
      <c r="D8" s="501" t="s">
        <v>2730</v>
      </c>
      <c r="E8" s="7">
        <f>SUM(E6:E7)</f>
        <v>129840717.27243294</v>
      </c>
      <c r="F8" s="588" t="s">
        <v>2639</v>
      </c>
    </row>
    <row r="9" spans="1:6">
      <c r="A9" s="600">
        <f t="shared" si="0"/>
        <v>4</v>
      </c>
      <c r="F9" s="65"/>
    </row>
    <row r="10" spans="1:6">
      <c r="A10" s="600">
        <f t="shared" si="0"/>
        <v>5</v>
      </c>
      <c r="D10" s="501" t="s">
        <v>2731</v>
      </c>
      <c r="E10" s="7">
        <f>E33</f>
        <v>2245054950</v>
      </c>
      <c r="F10" s="16" t="str">
        <f>"Line "&amp;A33&amp;", Col 4"</f>
        <v>Line 112, Col 4</v>
      </c>
    </row>
    <row r="11" spans="1:6">
      <c r="A11" s="600">
        <f t="shared" si="0"/>
        <v>6</v>
      </c>
      <c r="D11" s="501" t="s">
        <v>2732</v>
      </c>
      <c r="E11" s="91">
        <f>E71</f>
        <v>7396211.3637954155</v>
      </c>
      <c r="F11" s="16" t="str">
        <f>"Line "&amp;A71&amp;", Col 4"</f>
        <v>Line 312, Col 4</v>
      </c>
    </row>
    <row r="12" spans="1:6">
      <c r="A12" s="600">
        <f t="shared" si="0"/>
        <v>7</v>
      </c>
      <c r="D12" s="501" t="s">
        <v>2733</v>
      </c>
      <c r="E12" s="7">
        <f>E10-E11</f>
        <v>2237658738.6362047</v>
      </c>
      <c r="F12" s="588" t="s">
        <v>2734</v>
      </c>
    </row>
    <row r="13" spans="1:6">
      <c r="A13" s="600">
        <f t="shared" si="0"/>
        <v>8</v>
      </c>
      <c r="F13" s="65"/>
    </row>
    <row r="14" spans="1:6">
      <c r="A14" s="600">
        <f t="shared" si="0"/>
        <v>9</v>
      </c>
      <c r="D14" s="501" t="s">
        <v>2735</v>
      </c>
      <c r="E14" s="1305">
        <f>E8/E12</f>
        <v>5.8025254267130788E-2</v>
      </c>
      <c r="F14" s="588" t="s">
        <v>2645</v>
      </c>
    </row>
    <row r="15" spans="1:6">
      <c r="A15" s="600"/>
    </row>
    <row r="16" spans="1:6">
      <c r="A16" s="600"/>
      <c r="B16" s="1" t="s">
        <v>2736</v>
      </c>
    </row>
    <row r="17" spans="1:12">
      <c r="A17" s="600"/>
    </row>
    <row r="18" spans="1:12">
      <c r="A18" s="600"/>
      <c r="B18" s="84" t="s">
        <v>363</v>
      </c>
      <c r="C18" s="84" t="s">
        <v>347</v>
      </c>
      <c r="D18" s="84" t="s">
        <v>348</v>
      </c>
      <c r="E18" s="84" t="s">
        <v>349</v>
      </c>
      <c r="F18" s="84" t="s">
        <v>350</v>
      </c>
      <c r="G18" s="84" t="s">
        <v>351</v>
      </c>
      <c r="H18" s="84" t="s">
        <v>352</v>
      </c>
      <c r="I18" s="84" t="s">
        <v>544</v>
      </c>
      <c r="J18" s="84" t="s">
        <v>961</v>
      </c>
      <c r="K18" s="84"/>
    </row>
    <row r="19" spans="1:12">
      <c r="A19" s="600"/>
      <c r="B19" s="981" t="s">
        <v>2737</v>
      </c>
      <c r="C19" s="981" t="s">
        <v>33</v>
      </c>
      <c r="D19" s="981" t="s">
        <v>2737</v>
      </c>
      <c r="E19" s="981" t="s">
        <v>2738</v>
      </c>
      <c r="F19" s="981" t="s">
        <v>2739</v>
      </c>
      <c r="G19" s="981" t="s">
        <v>2740</v>
      </c>
      <c r="H19" s="981" t="s">
        <v>2741</v>
      </c>
      <c r="I19" s="981" t="s">
        <v>2742</v>
      </c>
      <c r="J19" s="981" t="s">
        <v>2743</v>
      </c>
      <c r="K19" s="84"/>
    </row>
    <row r="20" spans="1:12" ht="13.5" thickBot="1"/>
    <row r="21" spans="1:12" ht="55.15" customHeight="1" thickBot="1">
      <c r="A21" s="51" t="s">
        <v>332</v>
      </c>
      <c r="B21" s="1335" t="s">
        <v>27</v>
      </c>
      <c r="C21" s="1336" t="s">
        <v>2744</v>
      </c>
      <c r="D21" s="1329" t="s">
        <v>2745</v>
      </c>
      <c r="E21" s="1337" t="s">
        <v>2746</v>
      </c>
      <c r="F21" s="1329" t="s">
        <v>2747</v>
      </c>
      <c r="G21" s="1338" t="s">
        <v>2748</v>
      </c>
      <c r="H21" s="1329" t="s">
        <v>2749</v>
      </c>
      <c r="I21" s="1329" t="s">
        <v>2750</v>
      </c>
      <c r="J21" s="1339" t="s">
        <v>2751</v>
      </c>
      <c r="K21" s="1309" t="s">
        <v>168</v>
      </c>
    </row>
    <row r="22" spans="1:12">
      <c r="A22" s="600">
        <v>101</v>
      </c>
      <c r="B22" s="555" t="s">
        <v>2752</v>
      </c>
      <c r="C22" s="1340">
        <v>17295</v>
      </c>
      <c r="D22" s="1341">
        <v>4.3200000000000002E-2</v>
      </c>
      <c r="E22" s="1342">
        <v>41335.724999999999</v>
      </c>
      <c r="F22" s="63">
        <f>C41</f>
        <v>-763</v>
      </c>
      <c r="G22" s="1343">
        <f>E22-F22</f>
        <v>42098.724999999999</v>
      </c>
      <c r="H22" s="1344">
        <f>G22/E22</f>
        <v>1.0184586093506283</v>
      </c>
      <c r="I22" s="1305">
        <f>(E22/G22)*D22</f>
        <v>4.2417040421057886E-2</v>
      </c>
      <c r="J22" s="1343">
        <f t="shared" ref="J22:J31" si="1">E22*I22</f>
        <v>1753.3391181587328</v>
      </c>
      <c r="K22" s="97"/>
      <c r="L22" s="1345"/>
    </row>
    <row r="23" spans="1:12">
      <c r="A23" s="600">
        <f>A22+1</f>
        <v>102</v>
      </c>
      <c r="B23" s="555" t="s">
        <v>2753</v>
      </c>
      <c r="C23" s="1346">
        <v>18402</v>
      </c>
      <c r="D23" s="1341">
        <v>4.0800000000000003E-2</v>
      </c>
      <c r="E23" s="1342">
        <v>16250</v>
      </c>
      <c r="F23" s="63">
        <f t="shared" ref="F23:F31" si="2">C42</f>
        <v>-40</v>
      </c>
      <c r="G23" s="1343">
        <f t="shared" ref="G23:G31" si="3">E23-F23</f>
        <v>16290</v>
      </c>
      <c r="H23" s="1344">
        <f t="shared" ref="H23:H31" si="4">G23/E23</f>
        <v>1.0024615384615385</v>
      </c>
      <c r="I23" s="1305">
        <f>(E23/G23)*D23</f>
        <v>4.0699815837937386E-2</v>
      </c>
      <c r="J23" s="1343">
        <f t="shared" si="1"/>
        <v>661.37200736648253</v>
      </c>
      <c r="K23" s="97"/>
      <c r="L23" s="1345"/>
    </row>
    <row r="24" spans="1:12">
      <c r="A24" s="600">
        <f t="shared" ref="A24:A33" si="5">A23+1</f>
        <v>103</v>
      </c>
      <c r="B24" s="555" t="s">
        <v>2754</v>
      </c>
      <c r="C24" s="1346">
        <v>20500</v>
      </c>
      <c r="D24" s="1341">
        <v>4.24E-2</v>
      </c>
      <c r="E24" s="1342">
        <v>30000</v>
      </c>
      <c r="F24" s="63">
        <f t="shared" si="2"/>
        <v>-84</v>
      </c>
      <c r="G24" s="1343">
        <f t="shared" si="3"/>
        <v>30084</v>
      </c>
      <c r="H24" s="1344">
        <f t="shared" si="4"/>
        <v>1.0027999999999999</v>
      </c>
      <c r="I24" s="1305">
        <f>(E24/G24)*D24</f>
        <v>4.2281611487834062E-2</v>
      </c>
      <c r="J24" s="1343">
        <f t="shared" si="1"/>
        <v>1268.4483446350218</v>
      </c>
      <c r="K24" s="97"/>
      <c r="L24" s="1345"/>
    </row>
    <row r="25" spans="1:12">
      <c r="A25" s="600">
        <f t="shared" si="5"/>
        <v>104</v>
      </c>
      <c r="B25" s="555" t="s">
        <v>2755</v>
      </c>
      <c r="C25" s="1346">
        <v>21226</v>
      </c>
      <c r="D25" s="1341">
        <v>4.7800000000000002E-2</v>
      </c>
      <c r="E25" s="1342">
        <v>32419.224999999999</v>
      </c>
      <c r="F25" s="63">
        <f t="shared" si="2"/>
        <v>-50</v>
      </c>
      <c r="G25" s="1343">
        <f t="shared" si="3"/>
        <v>32469.224999999999</v>
      </c>
      <c r="H25" s="1344">
        <f t="shared" si="4"/>
        <v>1.001542294734066</v>
      </c>
      <c r="I25" s="1305">
        <f>(E25/G25)*D25</f>
        <v>4.772639183719353E-2</v>
      </c>
      <c r="J25" s="1343">
        <f t="shared" si="1"/>
        <v>1547.2526354081403</v>
      </c>
      <c r="K25" s="97"/>
      <c r="L25" s="1345"/>
    </row>
    <row r="26" spans="1:12">
      <c r="A26" s="600">
        <f t="shared" si="5"/>
        <v>105</v>
      </c>
      <c r="B26" s="555" t="s">
        <v>2756</v>
      </c>
      <c r="C26" s="1346">
        <v>40925</v>
      </c>
      <c r="D26" s="1341">
        <v>6.25E-2</v>
      </c>
      <c r="E26" s="1347">
        <v>350000</v>
      </c>
      <c r="F26" s="63">
        <f t="shared" si="2"/>
        <v>5957.2889999999998</v>
      </c>
      <c r="G26" s="1343">
        <f t="shared" si="3"/>
        <v>344042.71100000001</v>
      </c>
      <c r="H26" s="1344">
        <f t="shared" si="4"/>
        <v>0.98297917428571435</v>
      </c>
      <c r="I26" s="1305">
        <f>+RATE(E45*4,-(D26*E26)/4,G26,-E26)*4</f>
        <v>6.4826262465199791E-2</v>
      </c>
      <c r="J26" s="1343">
        <f t="shared" si="1"/>
        <v>22689.191862819927</v>
      </c>
      <c r="K26" s="97"/>
      <c r="L26" s="1345"/>
    </row>
    <row r="27" spans="1:12">
      <c r="A27" s="600">
        <f t="shared" si="5"/>
        <v>106</v>
      </c>
      <c r="B27" s="555" t="s">
        <v>2757</v>
      </c>
      <c r="C27" s="1346">
        <v>41047</v>
      </c>
      <c r="D27" s="1341">
        <v>5.6250000000000001E-2</v>
      </c>
      <c r="E27" s="1347">
        <v>475010</v>
      </c>
      <c r="F27" s="63">
        <f t="shared" si="2"/>
        <v>15401.698</v>
      </c>
      <c r="G27" s="1343">
        <f t="shared" si="3"/>
        <v>459608.30200000003</v>
      </c>
      <c r="H27" s="1344">
        <f t="shared" si="4"/>
        <v>0.96757605524094237</v>
      </c>
      <c r="I27" s="1305">
        <f t="shared" ref="I27:I31" si="6">+RATE(E46*4,-(D27*E27)/4,G27,-E27)*4</f>
        <v>5.8550746121056339E-2</v>
      </c>
      <c r="J27" s="1343">
        <f t="shared" si="1"/>
        <v>27812.189914962972</v>
      </c>
      <c r="K27" s="97"/>
      <c r="L27" s="1345"/>
    </row>
    <row r="28" spans="1:12">
      <c r="A28" s="600">
        <f t="shared" si="5"/>
        <v>107</v>
      </c>
      <c r="B28" s="555" t="s">
        <v>2758</v>
      </c>
      <c r="C28" s="1346">
        <v>41303</v>
      </c>
      <c r="D28" s="1341">
        <v>5.0999999999999997E-2</v>
      </c>
      <c r="E28" s="1347">
        <v>400010</v>
      </c>
      <c r="F28" s="63">
        <f t="shared" si="2"/>
        <v>12972.286</v>
      </c>
      <c r="G28" s="1343">
        <f t="shared" si="3"/>
        <v>387037.71399999998</v>
      </c>
      <c r="H28" s="1344">
        <f t="shared" si="4"/>
        <v>0.96757009574760622</v>
      </c>
      <c r="I28" s="1305">
        <f t="shared" si="6"/>
        <v>5.3168989814364298E-2</v>
      </c>
      <c r="J28" s="1343">
        <f t="shared" si="1"/>
        <v>21268.127615643862</v>
      </c>
      <c r="K28" s="97"/>
      <c r="L28" s="1345"/>
    </row>
    <row r="29" spans="1:12">
      <c r="A29" s="600">
        <f t="shared" si="5"/>
        <v>108</v>
      </c>
      <c r="B29" s="555" t="s">
        <v>2759</v>
      </c>
      <c r="C29" s="1346">
        <v>41704</v>
      </c>
      <c r="D29" s="1341">
        <v>5.7500000000000002E-2</v>
      </c>
      <c r="E29" s="1347">
        <v>275010</v>
      </c>
      <c r="F29" s="63">
        <f t="shared" si="2"/>
        <v>6272.3580000000002</v>
      </c>
      <c r="G29" s="1343">
        <f t="shared" si="3"/>
        <v>268737.64199999999</v>
      </c>
      <c r="H29" s="1344">
        <f t="shared" si="4"/>
        <v>0.97719225482709715</v>
      </c>
      <c r="I29" s="1305">
        <f t="shared" si="6"/>
        <v>6.0557349317951155E-2</v>
      </c>
      <c r="J29" s="1343">
        <f t="shared" si="1"/>
        <v>16653.876635929748</v>
      </c>
      <c r="K29" s="97"/>
      <c r="L29" s="1345"/>
    </row>
    <row r="30" spans="1:12">
      <c r="A30" s="600">
        <f t="shared" si="5"/>
        <v>109</v>
      </c>
      <c r="B30" s="555" t="s">
        <v>2760</v>
      </c>
      <c r="C30" s="1346">
        <v>42240</v>
      </c>
      <c r="D30" s="1341">
        <v>5.3749999999999999E-2</v>
      </c>
      <c r="E30" s="1347">
        <v>325010</v>
      </c>
      <c r="F30" s="63">
        <f t="shared" si="2"/>
        <v>6419.5780000000004</v>
      </c>
      <c r="G30" s="1343">
        <f t="shared" si="3"/>
        <v>318590.42200000002</v>
      </c>
      <c r="H30" s="1344">
        <f t="shared" si="4"/>
        <v>0.98024806005969056</v>
      </c>
      <c r="I30" s="1305">
        <f t="shared" si="6"/>
        <v>5.6347183692221123E-2</v>
      </c>
      <c r="J30" s="1343">
        <f t="shared" si="1"/>
        <v>18313.398171808789</v>
      </c>
      <c r="K30" s="97"/>
      <c r="L30" s="1345"/>
    </row>
    <row r="31" spans="1:12">
      <c r="A31" s="600">
        <f t="shared" si="5"/>
        <v>110</v>
      </c>
      <c r="B31" s="1348" t="s">
        <v>2761</v>
      </c>
      <c r="C31" s="1349">
        <v>42437</v>
      </c>
      <c r="D31" s="1350">
        <v>5.45E-2</v>
      </c>
      <c r="E31" s="1347">
        <v>300010</v>
      </c>
      <c r="F31" s="63">
        <f t="shared" si="2"/>
        <v>6959.81</v>
      </c>
      <c r="G31" s="1343">
        <f t="shared" si="3"/>
        <v>293050.19</v>
      </c>
      <c r="H31" s="1344">
        <f t="shared" si="4"/>
        <v>0.97680140661977932</v>
      </c>
      <c r="I31" s="1305">
        <f t="shared" si="6"/>
        <v>5.7567522761067455E-2</v>
      </c>
      <c r="J31" s="1343">
        <f t="shared" si="1"/>
        <v>17270.832503547848</v>
      </c>
      <c r="K31" s="97"/>
      <c r="L31" s="1345"/>
    </row>
    <row r="32" spans="1:12">
      <c r="A32" s="600">
        <f t="shared" si="5"/>
        <v>111</v>
      </c>
      <c r="B32" s="1079" t="s">
        <v>513</v>
      </c>
      <c r="C32" s="97"/>
      <c r="D32" s="97"/>
      <c r="E32" s="97"/>
      <c r="F32" s="63"/>
      <c r="K32" s="97"/>
    </row>
    <row r="33" spans="1:10">
      <c r="A33" s="600">
        <f t="shared" si="5"/>
        <v>112</v>
      </c>
      <c r="D33" s="68" t="s">
        <v>2762</v>
      </c>
      <c r="E33" s="1343">
        <f>SUM(E22:E32)*1000</f>
        <v>2245054950</v>
      </c>
      <c r="I33" s="68" t="s">
        <v>2674</v>
      </c>
      <c r="J33" s="1343">
        <f>SUM(J22:J32)*1000</f>
        <v>129238028.81028152</v>
      </c>
    </row>
    <row r="35" spans="1:10">
      <c r="B35" s="1" t="s">
        <v>2763</v>
      </c>
    </row>
    <row r="36" spans="1:10">
      <c r="B36" s="1"/>
    </row>
    <row r="37" spans="1:10">
      <c r="B37" s="84" t="s">
        <v>363</v>
      </c>
      <c r="C37" s="84" t="s">
        <v>347</v>
      </c>
      <c r="D37" s="84" t="s">
        <v>348</v>
      </c>
      <c r="E37" s="84" t="s">
        <v>349</v>
      </c>
      <c r="F37" s="84" t="s">
        <v>350</v>
      </c>
    </row>
    <row r="38" spans="1:10">
      <c r="A38" s="14"/>
      <c r="B38" s="111" t="s">
        <v>2764</v>
      </c>
      <c r="C38" s="111" t="s">
        <v>33</v>
      </c>
      <c r="D38" s="111" t="s">
        <v>33</v>
      </c>
      <c r="E38" s="111" t="s">
        <v>33</v>
      </c>
    </row>
    <row r="39" spans="1:10" ht="13.5" thickBot="1"/>
    <row r="40" spans="1:10" ht="55.15" customHeight="1" thickBot="1">
      <c r="A40" s="51" t="s">
        <v>332</v>
      </c>
      <c r="B40" s="1335" t="s">
        <v>27</v>
      </c>
      <c r="C40" s="1351" t="s">
        <v>2747</v>
      </c>
      <c r="D40" s="1352" t="s">
        <v>2765</v>
      </c>
      <c r="E40" s="1329" t="s">
        <v>2766</v>
      </c>
      <c r="F40" s="1377" t="s">
        <v>168</v>
      </c>
      <c r="G40" s="1378"/>
    </row>
    <row r="41" spans="1:10">
      <c r="A41" s="600">
        <v>201</v>
      </c>
      <c r="B41" s="555" t="s">
        <v>2752</v>
      </c>
      <c r="C41" s="1353">
        <v>-763</v>
      </c>
      <c r="D41" s="568" t="s">
        <v>76</v>
      </c>
      <c r="E41" s="151">
        <v>30</v>
      </c>
      <c r="F41" s="1354" t="s">
        <v>2466</v>
      </c>
      <c r="G41" s="97"/>
    </row>
    <row r="42" spans="1:10">
      <c r="A42" s="600">
        <f>A41+1</f>
        <v>202</v>
      </c>
      <c r="B42" s="555" t="s">
        <v>2753</v>
      </c>
      <c r="C42" s="1353">
        <v>-40</v>
      </c>
      <c r="D42" s="568" t="s">
        <v>76</v>
      </c>
      <c r="E42" s="151">
        <v>30</v>
      </c>
      <c r="F42" s="1348" t="s">
        <v>2466</v>
      </c>
      <c r="G42" s="97"/>
    </row>
    <row r="43" spans="1:10">
      <c r="A43" s="600">
        <f t="shared" ref="A43:A51" si="7">A42+1</f>
        <v>203</v>
      </c>
      <c r="B43" s="555" t="s">
        <v>2754</v>
      </c>
      <c r="C43" s="1353">
        <v>-84</v>
      </c>
      <c r="D43" s="568" t="s">
        <v>76</v>
      </c>
      <c r="E43" s="151">
        <v>30</v>
      </c>
      <c r="F43" s="1348" t="s">
        <v>2466</v>
      </c>
      <c r="G43" s="97"/>
    </row>
    <row r="44" spans="1:10">
      <c r="A44" s="600">
        <f t="shared" si="7"/>
        <v>204</v>
      </c>
      <c r="B44" s="555" t="s">
        <v>2755</v>
      </c>
      <c r="C44" s="1353">
        <v>-50</v>
      </c>
      <c r="D44" s="568" t="s">
        <v>76</v>
      </c>
      <c r="E44" s="151">
        <v>30</v>
      </c>
      <c r="F44" s="1348" t="s">
        <v>2466</v>
      </c>
      <c r="G44" s="97"/>
    </row>
    <row r="45" spans="1:10">
      <c r="A45" s="600">
        <f t="shared" si="7"/>
        <v>205</v>
      </c>
      <c r="B45" s="555" t="s">
        <v>2756</v>
      </c>
      <c r="C45" s="1353">
        <v>5957.2889999999998</v>
      </c>
      <c r="D45" s="1353">
        <v>3028.28857499999</v>
      </c>
      <c r="E45" s="151">
        <v>10</v>
      </c>
      <c r="F45" s="1348"/>
      <c r="G45" s="97"/>
    </row>
    <row r="46" spans="1:10">
      <c r="A46" s="600">
        <f t="shared" si="7"/>
        <v>206</v>
      </c>
      <c r="B46" s="555" t="s">
        <v>2757</v>
      </c>
      <c r="C46" s="1353">
        <v>15401.698</v>
      </c>
      <c r="D46" s="1353">
        <v>13048.660805555601</v>
      </c>
      <c r="E46" s="151">
        <v>30</v>
      </c>
      <c r="F46" s="1348"/>
      <c r="G46" s="97"/>
    </row>
    <row r="47" spans="1:10">
      <c r="A47" s="600">
        <f t="shared" si="7"/>
        <v>207</v>
      </c>
      <c r="B47" s="555" t="s">
        <v>2758</v>
      </c>
      <c r="C47" s="1353">
        <v>12972.286</v>
      </c>
      <c r="D47" s="1353">
        <v>11278.6828638889</v>
      </c>
      <c r="E47" s="151">
        <v>30</v>
      </c>
      <c r="F47" s="1348" t="s">
        <v>2767</v>
      </c>
      <c r="G47" s="97"/>
    </row>
    <row r="48" spans="1:10">
      <c r="A48" s="600">
        <f t="shared" si="7"/>
        <v>208</v>
      </c>
      <c r="B48" s="555" t="s">
        <v>2759</v>
      </c>
      <c r="C48" s="1353">
        <v>6272.3580000000002</v>
      </c>
      <c r="D48" s="1353">
        <v>4547.4595499999896</v>
      </c>
      <c r="E48" s="151">
        <v>10</v>
      </c>
      <c r="F48" s="1348"/>
      <c r="G48" s="97"/>
    </row>
    <row r="49" spans="1:12">
      <c r="A49" s="600">
        <f t="shared" si="7"/>
        <v>209</v>
      </c>
      <c r="B49" s="555" t="s">
        <v>2760</v>
      </c>
      <c r="C49" s="1353">
        <v>6419.5780000000004</v>
      </c>
      <c r="D49" s="1353">
        <v>5563.6342666666696</v>
      </c>
      <c r="E49" s="151">
        <v>10</v>
      </c>
      <c r="F49" s="1348"/>
      <c r="G49" s="97"/>
    </row>
    <row r="50" spans="1:12">
      <c r="A50" s="600">
        <f t="shared" si="7"/>
        <v>210</v>
      </c>
      <c r="B50" s="1348" t="s">
        <v>2761</v>
      </c>
      <c r="C50" s="1353">
        <v>6959.81</v>
      </c>
      <c r="D50" s="1353">
        <v>6437.8242499999997</v>
      </c>
      <c r="E50" s="151">
        <v>10</v>
      </c>
      <c r="F50" s="1348" t="s">
        <v>2768</v>
      </c>
      <c r="G50" s="97"/>
    </row>
    <row r="51" spans="1:12">
      <c r="A51" s="600">
        <f t="shared" si="7"/>
        <v>211</v>
      </c>
      <c r="B51" s="1079" t="s">
        <v>513</v>
      </c>
      <c r="C51" s="97"/>
      <c r="D51" s="97"/>
      <c r="E51" s="97"/>
      <c r="F51" s="97"/>
      <c r="G51" s="97"/>
    </row>
    <row r="54" spans="1:12">
      <c r="B54" s="1" t="s">
        <v>2769</v>
      </c>
    </row>
    <row r="55" spans="1:12">
      <c r="B55" s="1"/>
    </row>
    <row r="56" spans="1:12">
      <c r="B56" s="84" t="s">
        <v>363</v>
      </c>
      <c r="C56" s="84" t="s">
        <v>347</v>
      </c>
      <c r="D56" s="84" t="s">
        <v>348</v>
      </c>
      <c r="E56" s="84" t="s">
        <v>349</v>
      </c>
      <c r="F56" s="84" t="s">
        <v>350</v>
      </c>
      <c r="G56" s="84" t="s">
        <v>351</v>
      </c>
    </row>
    <row r="57" spans="1:12">
      <c r="B57" s="111" t="s">
        <v>33</v>
      </c>
      <c r="C57" s="111" t="s">
        <v>33</v>
      </c>
      <c r="D57" s="111" t="s">
        <v>33</v>
      </c>
      <c r="E57" s="111" t="s">
        <v>33</v>
      </c>
      <c r="F57" s="111" t="s">
        <v>33</v>
      </c>
      <c r="G57" s="111" t="s">
        <v>33</v>
      </c>
    </row>
    <row r="58" spans="1:12" ht="13.5" thickBot="1"/>
    <row r="59" spans="1:12" ht="39" thickBot="1">
      <c r="A59" s="51" t="s">
        <v>332</v>
      </c>
      <c r="B59" s="1335" t="s">
        <v>27</v>
      </c>
      <c r="C59" s="1336" t="s">
        <v>2770</v>
      </c>
      <c r="D59" s="1352" t="s">
        <v>2771</v>
      </c>
      <c r="E59" s="1352" t="s">
        <v>2765</v>
      </c>
      <c r="F59" s="1352" t="s">
        <v>2772</v>
      </c>
      <c r="G59" s="1352" t="s">
        <v>2773</v>
      </c>
      <c r="H59" s="1377" t="s">
        <v>168</v>
      </c>
      <c r="I59" s="1378"/>
    </row>
    <row r="60" spans="1:12">
      <c r="A60" s="600">
        <v>301</v>
      </c>
      <c r="B60" s="1355" t="s">
        <v>2460</v>
      </c>
      <c r="C60" s="1315">
        <v>31352</v>
      </c>
      <c r="D60" s="1136">
        <v>-286.60000000000002</v>
      </c>
      <c r="E60" s="1136">
        <v>-23.883333333333301</v>
      </c>
      <c r="F60" s="734">
        <v>34</v>
      </c>
      <c r="G60" s="1136">
        <f>D60/F60</f>
        <v>-8.4294117647058826</v>
      </c>
      <c r="H60" s="555" t="s">
        <v>2461</v>
      </c>
      <c r="I60" s="97"/>
      <c r="J60" s="97"/>
      <c r="K60" s="97"/>
      <c r="L60" s="97"/>
    </row>
    <row r="61" spans="1:12">
      <c r="A61" s="600">
        <f>A60+1</f>
        <v>302</v>
      </c>
      <c r="B61" s="1355" t="s">
        <v>2462</v>
      </c>
      <c r="C61" s="1315">
        <v>31444</v>
      </c>
      <c r="D61" s="1136">
        <v>6247.5</v>
      </c>
      <c r="E61" s="1136">
        <v>566.5625</v>
      </c>
      <c r="F61" s="734">
        <v>34</v>
      </c>
      <c r="G61" s="1136">
        <f t="shared" ref="G61:G66" si="8">D61/F61</f>
        <v>183.75</v>
      </c>
      <c r="H61" s="555" t="s">
        <v>2463</v>
      </c>
      <c r="I61" s="97"/>
      <c r="J61" s="97"/>
      <c r="K61" s="97"/>
      <c r="L61" s="97"/>
    </row>
    <row r="62" spans="1:12">
      <c r="A62" s="600">
        <f t="shared" ref="A62:A71" si="9">A61+1</f>
        <v>303</v>
      </c>
      <c r="B62" s="1355" t="s">
        <v>2462</v>
      </c>
      <c r="C62" s="1315">
        <v>31444</v>
      </c>
      <c r="D62" s="1136">
        <v>1025</v>
      </c>
      <c r="E62" s="1136">
        <v>92.953431372549105</v>
      </c>
      <c r="F62" s="734">
        <v>34</v>
      </c>
      <c r="G62" s="1136">
        <f t="shared" si="8"/>
        <v>30.147058823529413</v>
      </c>
      <c r="H62" s="555" t="s">
        <v>2464</v>
      </c>
      <c r="I62" s="97"/>
      <c r="J62" s="97"/>
      <c r="K62" s="97"/>
      <c r="L62" s="97"/>
    </row>
    <row r="63" spans="1:12">
      <c r="A63" s="600">
        <f t="shared" si="9"/>
        <v>304</v>
      </c>
      <c r="B63" s="555" t="s">
        <v>2465</v>
      </c>
      <c r="C63" s="1315">
        <v>41076</v>
      </c>
      <c r="D63" s="1136">
        <v>0</v>
      </c>
      <c r="E63" s="1136">
        <v>0</v>
      </c>
      <c r="F63" s="734">
        <v>5</v>
      </c>
      <c r="G63" s="1136">
        <f t="shared" si="8"/>
        <v>0</v>
      </c>
      <c r="H63" s="555" t="s">
        <v>2466</v>
      </c>
      <c r="I63" s="97"/>
      <c r="J63" s="97"/>
      <c r="K63" s="97"/>
      <c r="L63" s="97"/>
    </row>
    <row r="64" spans="1:12">
      <c r="A64" s="600">
        <f t="shared" si="9"/>
        <v>305</v>
      </c>
      <c r="B64" s="555" t="s">
        <v>2467</v>
      </c>
      <c r="C64" s="1315">
        <v>41333</v>
      </c>
      <c r="D64" s="1136">
        <v>2586.35098055555</v>
      </c>
      <c r="E64" s="1136">
        <v>2255.8727997067899</v>
      </c>
      <c r="F64" s="734">
        <v>30</v>
      </c>
      <c r="G64" s="1136">
        <f t="shared" si="8"/>
        <v>86.211699351851664</v>
      </c>
      <c r="H64" s="555" t="s">
        <v>2468</v>
      </c>
      <c r="I64" s="97"/>
      <c r="J64" s="97"/>
      <c r="K64" s="97"/>
      <c r="L64" s="97"/>
    </row>
    <row r="65" spans="1:12">
      <c r="A65" s="600">
        <f t="shared" si="9"/>
        <v>306</v>
      </c>
      <c r="B65" s="555" t="s">
        <v>2469</v>
      </c>
      <c r="C65" s="1315">
        <v>41333</v>
      </c>
      <c r="D65" s="1136">
        <v>2886.8659722222401</v>
      </c>
      <c r="E65" s="1136">
        <v>2517.9886535494002</v>
      </c>
      <c r="F65" s="734">
        <v>30</v>
      </c>
      <c r="G65" s="1136">
        <f t="shared" si="8"/>
        <v>96.228865740741341</v>
      </c>
      <c r="H65" s="555" t="s">
        <v>2468</v>
      </c>
      <c r="I65" s="97"/>
      <c r="J65" s="97"/>
      <c r="K65" s="97"/>
      <c r="L65" s="97"/>
    </row>
    <row r="66" spans="1:12">
      <c r="A66" s="600">
        <f t="shared" si="9"/>
        <v>307</v>
      </c>
      <c r="B66" s="555" t="s">
        <v>2470</v>
      </c>
      <c r="C66" s="1315">
        <v>42460</v>
      </c>
      <c r="D66" s="1136">
        <v>2147.8025000000098</v>
      </c>
      <c r="E66" s="1136">
        <v>1986.7173125000099</v>
      </c>
      <c r="F66" s="734">
        <v>10</v>
      </c>
      <c r="G66" s="1136">
        <f t="shared" si="8"/>
        <v>214.78025000000099</v>
      </c>
      <c r="H66" s="555" t="s">
        <v>2774</v>
      </c>
      <c r="I66" s="97"/>
      <c r="J66" s="97"/>
      <c r="K66" s="97"/>
      <c r="L66" s="97"/>
    </row>
    <row r="67" spans="1:12">
      <c r="A67" s="600">
        <f t="shared" si="9"/>
        <v>308</v>
      </c>
      <c r="B67" s="97"/>
      <c r="C67" s="1315"/>
      <c r="D67" s="1136"/>
      <c r="E67" s="1136"/>
      <c r="F67" s="97"/>
      <c r="G67" s="1136"/>
      <c r="H67" s="402"/>
      <c r="I67" s="97"/>
      <c r="J67" s="97"/>
      <c r="K67" s="97"/>
      <c r="L67" s="97"/>
    </row>
    <row r="68" spans="1:12">
      <c r="A68" s="600">
        <f t="shared" si="9"/>
        <v>309</v>
      </c>
      <c r="B68" s="97"/>
      <c r="C68" s="1315"/>
      <c r="D68" s="1136"/>
      <c r="E68" s="1136"/>
      <c r="F68" s="97"/>
      <c r="G68" s="1136"/>
      <c r="H68" s="402"/>
      <c r="I68" s="97"/>
      <c r="J68" s="97"/>
      <c r="K68" s="97"/>
      <c r="L68" s="97"/>
    </row>
    <row r="69" spans="1:12">
      <c r="A69" s="600">
        <f t="shared" si="9"/>
        <v>310</v>
      </c>
      <c r="B69" s="97"/>
      <c r="C69" s="1315"/>
      <c r="D69" s="1136"/>
      <c r="E69" s="1136"/>
      <c r="F69" s="97"/>
      <c r="G69" s="1136"/>
      <c r="H69" s="402"/>
      <c r="I69" s="97"/>
      <c r="J69" s="97"/>
      <c r="K69" s="97"/>
      <c r="L69" s="97"/>
    </row>
    <row r="70" spans="1:12">
      <c r="A70" s="600">
        <f t="shared" si="9"/>
        <v>311</v>
      </c>
      <c r="B70" s="1079" t="s">
        <v>513</v>
      </c>
      <c r="C70" s="1315"/>
      <c r="D70" s="1136"/>
      <c r="E70" s="1136"/>
      <c r="F70" s="97"/>
      <c r="G70" s="97"/>
      <c r="H70" s="405"/>
      <c r="I70" s="97"/>
      <c r="J70" s="97"/>
      <c r="K70" s="97"/>
      <c r="L70" s="97"/>
    </row>
    <row r="71" spans="1:12">
      <c r="A71" s="600">
        <f t="shared" si="9"/>
        <v>312</v>
      </c>
      <c r="D71" s="68" t="s">
        <v>2674</v>
      </c>
      <c r="E71" s="7">
        <f>SUM(E60:E70)*1000</f>
        <v>7396211.3637954155</v>
      </c>
      <c r="G71" s="7">
        <f>SUM(G60:G70)*1000</f>
        <v>602688.46215141751</v>
      </c>
    </row>
    <row r="74" spans="1:12">
      <c r="B74" s="1"/>
    </row>
    <row r="75" spans="1:12">
      <c r="B75" s="503"/>
    </row>
    <row r="76" spans="1:12">
      <c r="B76" s="503"/>
    </row>
    <row r="78" spans="1:12">
      <c r="B78" s="505"/>
    </row>
  </sheetData>
  <mergeCells count="2">
    <mergeCell ref="F40:G40"/>
    <mergeCell ref="H59:I59"/>
  </mergeCells>
  <pageMargins left="0.7" right="0.7" top="0.75" bottom="0.75" header="0.3" footer="0.3"/>
  <pageSetup scale="70" orientation="landscape" r:id="rId1"/>
  <headerFooter>
    <oddHeader>&amp;CSchedule 5 ROR-4
Return and Capitalization&amp;RExhibit SCE-4
TO2018 Formula Rate Spreadsheet</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5"/>
  <sheetViews>
    <sheetView zoomScaleNormal="100" workbookViewId="0"/>
  </sheetViews>
  <sheetFormatPr defaultColWidth="8.85546875" defaultRowHeight="12.75"/>
  <cols>
    <col min="1" max="1" width="4.7109375" style="1112" customWidth="1"/>
    <col min="2" max="2" width="10.7109375" style="1112" customWidth="1"/>
    <col min="3" max="12" width="13.7109375" style="1112" customWidth="1"/>
    <col min="13" max="13" width="15.7109375" style="1112" customWidth="1"/>
    <col min="14" max="14" width="8.85546875" style="1112"/>
    <col min="15" max="15" width="14.42578125" style="1112" customWidth="1"/>
    <col min="16" max="16" width="15.140625" style="1112" customWidth="1"/>
    <col min="17" max="16384" width="8.85546875" style="1112"/>
  </cols>
  <sheetData>
    <row r="1" spans="1:13">
      <c r="A1" s="416" t="s">
        <v>1202</v>
      </c>
      <c r="B1" s="234"/>
      <c r="C1" s="234"/>
      <c r="D1" s="234"/>
      <c r="E1" s="234"/>
      <c r="F1" s="234"/>
      <c r="G1" s="234"/>
      <c r="H1" s="234"/>
      <c r="I1" s="1118" t="s">
        <v>17</v>
      </c>
      <c r="J1" s="1115"/>
      <c r="K1" s="234"/>
      <c r="L1" s="234"/>
    </row>
    <row r="2" spans="1:13">
      <c r="A2" s="416"/>
      <c r="B2" s="234"/>
      <c r="C2" s="234"/>
      <c r="D2" s="234"/>
      <c r="E2" s="234"/>
      <c r="F2" s="234"/>
      <c r="G2" s="234"/>
      <c r="H2" s="234"/>
      <c r="I2" s="234"/>
      <c r="J2" s="234"/>
      <c r="K2" s="234"/>
      <c r="L2" s="234"/>
    </row>
    <row r="3" spans="1:13">
      <c r="A3" s="416"/>
      <c r="B3" s="416" t="s">
        <v>323</v>
      </c>
      <c r="C3" s="234"/>
      <c r="D3" s="234"/>
      <c r="E3" s="234"/>
      <c r="F3" s="234"/>
      <c r="G3" s="234"/>
      <c r="H3" s="234"/>
      <c r="I3" s="234"/>
      <c r="J3" s="234"/>
      <c r="K3" s="234"/>
      <c r="L3" s="234"/>
    </row>
    <row r="4" spans="1:13">
      <c r="A4" s="416"/>
      <c r="B4" s="416"/>
      <c r="C4" s="234"/>
      <c r="D4" s="234"/>
      <c r="E4" s="234"/>
      <c r="F4" s="234"/>
      <c r="G4" s="234"/>
      <c r="H4" s="234"/>
      <c r="I4" s="234"/>
      <c r="J4" s="234"/>
      <c r="K4" s="234"/>
      <c r="L4" s="234"/>
    </row>
    <row r="5" spans="1:13">
      <c r="A5" s="416"/>
      <c r="B5" s="503" t="s">
        <v>1550</v>
      </c>
      <c r="C5" s="234"/>
      <c r="D5" s="234"/>
      <c r="E5" s="234"/>
      <c r="F5" s="234"/>
      <c r="G5" s="234"/>
      <c r="H5" s="503"/>
      <c r="I5" s="986" t="s">
        <v>1746</v>
      </c>
      <c r="J5" s="985">
        <v>2016</v>
      </c>
      <c r="K5" s="234"/>
      <c r="L5" s="234"/>
    </row>
    <row r="6" spans="1:13">
      <c r="A6" s="416"/>
      <c r="B6" s="503"/>
      <c r="C6" s="234"/>
      <c r="D6" s="234"/>
      <c r="E6" s="234"/>
      <c r="F6" s="234"/>
      <c r="G6" s="234"/>
      <c r="H6" s="234"/>
      <c r="I6" s="234"/>
      <c r="J6" s="234"/>
      <c r="K6" s="234"/>
      <c r="L6" s="234"/>
    </row>
    <row r="7" spans="1:13">
      <c r="A7" s="416"/>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4"/>
      <c r="B8" s="476"/>
      <c r="C8" s="234"/>
      <c r="D8" s="234"/>
      <c r="E8" s="234"/>
      <c r="F8" s="234"/>
      <c r="G8" s="234"/>
      <c r="H8" s="234"/>
      <c r="I8" s="234"/>
      <c r="J8" s="234"/>
      <c r="K8" s="234"/>
      <c r="M8" s="251" t="s">
        <v>1238</v>
      </c>
    </row>
    <row r="9" spans="1:13">
      <c r="A9" s="234"/>
      <c r="B9" s="111"/>
      <c r="C9" s="84"/>
      <c r="D9" s="84"/>
      <c r="E9" s="234"/>
      <c r="F9" s="234"/>
      <c r="G9" s="234"/>
      <c r="H9" s="234"/>
      <c r="I9" s="234"/>
      <c r="J9" s="234"/>
      <c r="K9" s="234"/>
      <c r="L9" s="234"/>
    </row>
    <row r="10" spans="1:13">
      <c r="A10" s="51" t="s">
        <v>332</v>
      </c>
      <c r="B10" s="125" t="s">
        <v>1782</v>
      </c>
      <c r="C10" s="84">
        <v>350.1</v>
      </c>
      <c r="D10" s="84">
        <v>350.2</v>
      </c>
      <c r="E10" s="84">
        <v>352</v>
      </c>
      <c r="F10" s="84">
        <v>353</v>
      </c>
      <c r="G10" s="84">
        <v>354</v>
      </c>
      <c r="H10" s="84">
        <v>355</v>
      </c>
      <c r="I10" s="84">
        <v>356</v>
      </c>
      <c r="J10" s="84">
        <v>357</v>
      </c>
      <c r="K10" s="84">
        <v>358</v>
      </c>
      <c r="L10" s="84">
        <v>359</v>
      </c>
      <c r="M10" s="3" t="s">
        <v>196</v>
      </c>
    </row>
    <row r="11" spans="1:13">
      <c r="A11" s="600">
        <v>1</v>
      </c>
      <c r="B11" s="1072" t="s">
        <v>2471</v>
      </c>
      <c r="C11" s="537">
        <v>77976654.562520087</v>
      </c>
      <c r="D11" s="597">
        <v>163072480.04595727</v>
      </c>
      <c r="E11" s="1120">
        <v>470458375.70606768</v>
      </c>
      <c r="F11" s="537">
        <v>3030177246.8036795</v>
      </c>
      <c r="G11" s="537">
        <v>2164622762.8245416</v>
      </c>
      <c r="H11" s="537">
        <v>310678566.28323245</v>
      </c>
      <c r="I11" s="537">
        <v>1239646180.7050807</v>
      </c>
      <c r="J11" s="537">
        <v>221416.38459709552</v>
      </c>
      <c r="K11" s="537">
        <v>13011928.174370928</v>
      </c>
      <c r="L11" s="537">
        <v>187087540.77399367</v>
      </c>
      <c r="M11" s="236">
        <f t="shared" ref="M11:M23" si="0">SUM(C11:L11)</f>
        <v>7656953152.2640409</v>
      </c>
    </row>
    <row r="12" spans="1:13">
      <c r="A12" s="600">
        <f>A11+1</f>
        <v>2</v>
      </c>
      <c r="B12" s="768" t="s">
        <v>2472</v>
      </c>
      <c r="C12" s="238">
        <f>C130+C197 +C11</f>
        <v>77366105.920756206</v>
      </c>
      <c r="D12" s="238">
        <f>D130+D197 +D11</f>
        <v>163089424.98509225</v>
      </c>
      <c r="E12" s="238">
        <f t="shared" ref="E12:L12" si="1">E130+E197 +E11</f>
        <v>477787636.76367897</v>
      </c>
      <c r="F12" s="238">
        <f t="shared" si="1"/>
        <v>3038238129.4965858</v>
      </c>
      <c r="G12" s="238">
        <f t="shared" si="1"/>
        <v>2149854075.4226894</v>
      </c>
      <c r="H12" s="238">
        <f t="shared" si="1"/>
        <v>312467578.99467111</v>
      </c>
      <c r="I12" s="238">
        <f t="shared" si="1"/>
        <v>1241589579.006793</v>
      </c>
      <c r="J12" s="238">
        <f t="shared" si="1"/>
        <v>221418.79555946231</v>
      </c>
      <c r="K12" s="238">
        <f t="shared" si="1"/>
        <v>13016282.411001131</v>
      </c>
      <c r="L12" s="238">
        <f t="shared" si="1"/>
        <v>187350498.21426925</v>
      </c>
      <c r="M12" s="236">
        <f t="shared" si="0"/>
        <v>7660980730.011097</v>
      </c>
    </row>
    <row r="13" spans="1:13">
      <c r="A13" s="600">
        <f t="shared" ref="A13:A24" si="2">A12+1</f>
        <v>3</v>
      </c>
      <c r="B13" s="767" t="s">
        <v>2473</v>
      </c>
      <c r="C13" s="238">
        <f t="shared" ref="C13:D22" si="3">C131+C198 +C12</f>
        <v>77365695.692265838</v>
      </c>
      <c r="D13" s="238">
        <f t="shared" si="3"/>
        <v>163086101.86980206</v>
      </c>
      <c r="E13" s="238">
        <f t="shared" ref="E13:E22" si="4">E131+E198 +E12</f>
        <v>470257228.66222346</v>
      </c>
      <c r="F13" s="238">
        <f t="shared" ref="F13:F22" si="5">F131+F198 +F12</f>
        <v>3058743183.1241899</v>
      </c>
      <c r="G13" s="238">
        <f t="shared" ref="G13:G22" si="6">G131+G198 +G12</f>
        <v>2152015903.4512615</v>
      </c>
      <c r="H13" s="238">
        <f t="shared" ref="H13:H22" si="7">H131+H198 +H12</f>
        <v>313580382.27082932</v>
      </c>
      <c r="I13" s="238">
        <f t="shared" ref="I13:I22" si="8">I131+I198 +I12</f>
        <v>1242505439.2727523</v>
      </c>
      <c r="J13" s="238">
        <f t="shared" ref="J13:J22" si="9">J131+J198 +J12</f>
        <v>221418.7314081146</v>
      </c>
      <c r="K13" s="238">
        <f t="shared" ref="K13:K22" si="10">K131+K198 +K12</f>
        <v>13016546.704568366</v>
      </c>
      <c r="L13" s="238">
        <f t="shared" ref="L13:L22" si="11">L131+L198 +L12</f>
        <v>187651223.48926169</v>
      </c>
      <c r="M13" s="236">
        <f t="shared" si="0"/>
        <v>7678443123.2685623</v>
      </c>
    </row>
    <row r="14" spans="1:13">
      <c r="A14" s="600">
        <f t="shared" si="2"/>
        <v>4</v>
      </c>
      <c r="B14" s="767" t="s">
        <v>2474</v>
      </c>
      <c r="C14" s="238">
        <f t="shared" si="3"/>
        <v>87298556.972211495</v>
      </c>
      <c r="D14" s="238">
        <f t="shared" si="3"/>
        <v>163152629.64478576</v>
      </c>
      <c r="E14" s="238">
        <f t="shared" si="4"/>
        <v>476439567.91679418</v>
      </c>
      <c r="F14" s="238">
        <f t="shared" si="5"/>
        <v>3076643566.7201924</v>
      </c>
      <c r="G14" s="238">
        <f t="shared" si="6"/>
        <v>2150669452.918088</v>
      </c>
      <c r="H14" s="238">
        <f t="shared" si="7"/>
        <v>315593552.71820909</v>
      </c>
      <c r="I14" s="238">
        <f t="shared" si="8"/>
        <v>1245422772.2587121</v>
      </c>
      <c r="J14" s="238">
        <f t="shared" si="9"/>
        <v>221418.80131375283</v>
      </c>
      <c r="K14" s="238">
        <f t="shared" si="10"/>
        <v>13020184.442469927</v>
      </c>
      <c r="L14" s="238">
        <f t="shared" si="11"/>
        <v>190200198.58978724</v>
      </c>
      <c r="M14" s="236">
        <f t="shared" si="0"/>
        <v>7718661900.982563</v>
      </c>
    </row>
    <row r="15" spans="1:13">
      <c r="A15" s="600">
        <f t="shared" si="2"/>
        <v>5</v>
      </c>
      <c r="B15" s="768" t="s">
        <v>2475</v>
      </c>
      <c r="C15" s="238">
        <f t="shared" si="3"/>
        <v>87309334.695010051</v>
      </c>
      <c r="D15" s="238">
        <f t="shared" si="3"/>
        <v>163197608.62657893</v>
      </c>
      <c r="E15" s="238">
        <f t="shared" si="4"/>
        <v>491408710.10338807</v>
      </c>
      <c r="F15" s="238">
        <f t="shared" si="5"/>
        <v>3089452188.1863966</v>
      </c>
      <c r="G15" s="238">
        <f t="shared" si="6"/>
        <v>2155881434.0841064</v>
      </c>
      <c r="H15" s="238">
        <f t="shared" si="7"/>
        <v>316787446.86551559</v>
      </c>
      <c r="I15" s="238">
        <f t="shared" si="8"/>
        <v>1245937740.934953</v>
      </c>
      <c r="J15" s="238">
        <f t="shared" si="9"/>
        <v>221424.77976607962</v>
      </c>
      <c r="K15" s="238">
        <f t="shared" si="10"/>
        <v>14735209.524758596</v>
      </c>
      <c r="L15" s="238">
        <f t="shared" si="11"/>
        <v>190592879.66058707</v>
      </c>
      <c r="M15" s="236">
        <f t="shared" si="0"/>
        <v>7755523977.4610605</v>
      </c>
    </row>
    <row r="16" spans="1:13">
      <c r="A16" s="600">
        <f t="shared" si="2"/>
        <v>6</v>
      </c>
      <c r="B16" s="767" t="s">
        <v>2476</v>
      </c>
      <c r="C16" s="238">
        <f t="shared" si="3"/>
        <v>87317064.559089109</v>
      </c>
      <c r="D16" s="238">
        <f t="shared" si="3"/>
        <v>163204896.01935875</v>
      </c>
      <c r="E16" s="238">
        <f t="shared" si="4"/>
        <v>491870167.20857477</v>
      </c>
      <c r="F16" s="238">
        <f t="shared" si="5"/>
        <v>3090721159.1595273</v>
      </c>
      <c r="G16" s="238">
        <f t="shared" si="6"/>
        <v>2149317763.7040763</v>
      </c>
      <c r="H16" s="238">
        <f t="shared" si="7"/>
        <v>317533976.09647954</v>
      </c>
      <c r="I16" s="238">
        <f t="shared" si="8"/>
        <v>1246282242.7515957</v>
      </c>
      <c r="J16" s="238">
        <f t="shared" si="9"/>
        <v>221425.39641335516</v>
      </c>
      <c r="K16" s="238">
        <f t="shared" si="10"/>
        <v>15083340.179385828</v>
      </c>
      <c r="L16" s="238">
        <f t="shared" si="11"/>
        <v>191019612.6532428</v>
      </c>
      <c r="M16" s="236">
        <f t="shared" si="0"/>
        <v>7752571647.7277441</v>
      </c>
    </row>
    <row r="17" spans="1:15">
      <c r="A17" s="600">
        <f t="shared" si="2"/>
        <v>7</v>
      </c>
      <c r="B17" s="767" t="s">
        <v>2477</v>
      </c>
      <c r="C17" s="238">
        <f t="shared" si="3"/>
        <v>86794533.452252254</v>
      </c>
      <c r="D17" s="238">
        <f t="shared" si="3"/>
        <v>162983298.15184397</v>
      </c>
      <c r="E17" s="238">
        <f t="shared" si="4"/>
        <v>496064460.63903189</v>
      </c>
      <c r="F17" s="238">
        <f t="shared" si="5"/>
        <v>3120246532.2894578</v>
      </c>
      <c r="G17" s="238">
        <f t="shared" si="6"/>
        <v>2210512876.8160768</v>
      </c>
      <c r="H17" s="238">
        <f t="shared" si="7"/>
        <v>318450055.48245621</v>
      </c>
      <c r="I17" s="238">
        <f t="shared" si="8"/>
        <v>1247245617.2742162</v>
      </c>
      <c r="J17" s="238">
        <f t="shared" si="9"/>
        <v>221433.7484034512</v>
      </c>
      <c r="K17" s="238">
        <f t="shared" si="10"/>
        <v>15146686.808536716</v>
      </c>
      <c r="L17" s="238">
        <f t="shared" si="11"/>
        <v>192180088.88538799</v>
      </c>
      <c r="M17" s="236">
        <f t="shared" si="0"/>
        <v>7849845583.5476637</v>
      </c>
    </row>
    <row r="18" spans="1:15">
      <c r="A18" s="600">
        <f t="shared" si="2"/>
        <v>8</v>
      </c>
      <c r="B18" s="768" t="s">
        <v>2478</v>
      </c>
      <c r="C18" s="238">
        <f t="shared" si="3"/>
        <v>86801874.153581992</v>
      </c>
      <c r="D18" s="238">
        <f t="shared" si="3"/>
        <v>162990136.80559924</v>
      </c>
      <c r="E18" s="238">
        <f t="shared" si="4"/>
        <v>501268131.69438076</v>
      </c>
      <c r="F18" s="238">
        <f t="shared" si="5"/>
        <v>3170862943.2358661</v>
      </c>
      <c r="G18" s="238">
        <f t="shared" si="6"/>
        <v>2212689387.4658561</v>
      </c>
      <c r="H18" s="238">
        <f t="shared" si="7"/>
        <v>319127827.92367125</v>
      </c>
      <c r="I18" s="238">
        <f t="shared" si="8"/>
        <v>1247320275.4718237</v>
      </c>
      <c r="J18" s="238">
        <f t="shared" si="9"/>
        <v>221435.31043919784</v>
      </c>
      <c r="K18" s="238">
        <f t="shared" si="10"/>
        <v>15149825.277675817</v>
      </c>
      <c r="L18" s="238">
        <f t="shared" si="11"/>
        <v>192445154.97929978</v>
      </c>
      <c r="M18" s="236">
        <f t="shared" si="0"/>
        <v>7908876992.3181934</v>
      </c>
    </row>
    <row r="19" spans="1:15">
      <c r="A19" s="600">
        <f t="shared" si="2"/>
        <v>9</v>
      </c>
      <c r="B19" s="767" t="s">
        <v>2479</v>
      </c>
      <c r="C19" s="238">
        <f t="shared" si="3"/>
        <v>86799925.561732322</v>
      </c>
      <c r="D19" s="238">
        <f t="shared" si="3"/>
        <v>163006399.12982112</v>
      </c>
      <c r="E19" s="238">
        <f t="shared" si="4"/>
        <v>501046195.10621768</v>
      </c>
      <c r="F19" s="238">
        <f t="shared" si="5"/>
        <v>3171072527.4458294</v>
      </c>
      <c r="G19" s="238">
        <f t="shared" si="6"/>
        <v>2228283811.4142423</v>
      </c>
      <c r="H19" s="238">
        <f t="shared" si="7"/>
        <v>319715188.55151832</v>
      </c>
      <c r="I19" s="238">
        <f t="shared" si="8"/>
        <v>1241488154.0594299</v>
      </c>
      <c r="J19" s="238">
        <f t="shared" si="9"/>
        <v>221437.01124565469</v>
      </c>
      <c r="K19" s="238">
        <f t="shared" si="10"/>
        <v>15146092.306163164</v>
      </c>
      <c r="L19" s="238">
        <f t="shared" si="11"/>
        <v>178450653.71980661</v>
      </c>
      <c r="M19" s="236">
        <f t="shared" si="0"/>
        <v>7905230384.3060064</v>
      </c>
    </row>
    <row r="20" spans="1:15">
      <c r="A20" s="600">
        <f t="shared" si="2"/>
        <v>10</v>
      </c>
      <c r="B20" s="767" t="s">
        <v>2480</v>
      </c>
      <c r="C20" s="238">
        <f t="shared" si="3"/>
        <v>86814703.794480577</v>
      </c>
      <c r="D20" s="238">
        <f t="shared" si="3"/>
        <v>165199256.83283538</v>
      </c>
      <c r="E20" s="238">
        <f t="shared" si="4"/>
        <v>502725446.31547678</v>
      </c>
      <c r="F20" s="238">
        <f t="shared" si="5"/>
        <v>3174643081.8659549</v>
      </c>
      <c r="G20" s="238">
        <f t="shared" si="6"/>
        <v>2227591399.5001597</v>
      </c>
      <c r="H20" s="238">
        <f t="shared" si="7"/>
        <v>320439815.92619103</v>
      </c>
      <c r="I20" s="238">
        <f t="shared" si="8"/>
        <v>1245055135.6351149</v>
      </c>
      <c r="J20" s="238">
        <f t="shared" si="9"/>
        <v>178517523.39752224</v>
      </c>
      <c r="K20" s="238">
        <f t="shared" si="10"/>
        <v>77483574.966586709</v>
      </c>
      <c r="L20" s="238">
        <f t="shared" si="11"/>
        <v>178430166.24676564</v>
      </c>
      <c r="M20" s="236">
        <f t="shared" si="0"/>
        <v>8156900104.4810877</v>
      </c>
    </row>
    <row r="21" spans="1:15">
      <c r="A21" s="600">
        <f t="shared" si="2"/>
        <v>11</v>
      </c>
      <c r="B21" s="768" t="s">
        <v>2481</v>
      </c>
      <c r="C21" s="238">
        <f t="shared" si="3"/>
        <v>86813903.174480587</v>
      </c>
      <c r="D21" s="238">
        <f t="shared" si="3"/>
        <v>165297497.49586365</v>
      </c>
      <c r="E21" s="238">
        <f t="shared" si="4"/>
        <v>517665601.98983687</v>
      </c>
      <c r="F21" s="238">
        <f t="shared" si="5"/>
        <v>3188871201.80125</v>
      </c>
      <c r="G21" s="238">
        <f t="shared" si="6"/>
        <v>2231665227.0662451</v>
      </c>
      <c r="H21" s="238">
        <f t="shared" si="7"/>
        <v>321310132.43241912</v>
      </c>
      <c r="I21" s="238">
        <f t="shared" si="8"/>
        <v>1251456010.4862823</v>
      </c>
      <c r="J21" s="238">
        <f t="shared" si="9"/>
        <v>180892151.29278865</v>
      </c>
      <c r="K21" s="238">
        <f t="shared" si="10"/>
        <v>80351534.418137401</v>
      </c>
      <c r="L21" s="238">
        <f t="shared" si="11"/>
        <v>179079774.01582778</v>
      </c>
      <c r="M21" s="236">
        <f t="shared" si="0"/>
        <v>8203403034.173131</v>
      </c>
    </row>
    <row r="22" spans="1:15">
      <c r="A22" s="600">
        <f t="shared" si="2"/>
        <v>12</v>
      </c>
      <c r="B22" s="768" t="s">
        <v>2482</v>
      </c>
      <c r="C22" s="238">
        <f t="shared" si="3"/>
        <v>86821376.924480587</v>
      </c>
      <c r="D22" s="238">
        <f t="shared" si="3"/>
        <v>165325104.26987207</v>
      </c>
      <c r="E22" s="238">
        <f t="shared" si="4"/>
        <v>520661331.25752884</v>
      </c>
      <c r="F22" s="238">
        <f t="shared" si="5"/>
        <v>3201337814.1615868</v>
      </c>
      <c r="G22" s="238">
        <f t="shared" si="6"/>
        <v>2220025051.9682417</v>
      </c>
      <c r="H22" s="238">
        <f t="shared" si="7"/>
        <v>322121103.06521958</v>
      </c>
      <c r="I22" s="238">
        <f t="shared" si="8"/>
        <v>1251410453.1164365</v>
      </c>
      <c r="J22" s="238">
        <f t="shared" si="9"/>
        <v>184358840.71159336</v>
      </c>
      <c r="K22" s="238">
        <f t="shared" si="10"/>
        <v>81550529.758004189</v>
      </c>
      <c r="L22" s="238">
        <f t="shared" si="11"/>
        <v>179287045.11759129</v>
      </c>
      <c r="M22" s="236">
        <f t="shared" si="0"/>
        <v>8212898650.3505554</v>
      </c>
    </row>
    <row r="23" spans="1:15">
      <c r="A23" s="600">
        <f t="shared" si="2"/>
        <v>13</v>
      </c>
      <c r="B23" s="767" t="s">
        <v>2483</v>
      </c>
      <c r="C23" s="117">
        <v>86845703.104480594</v>
      </c>
      <c r="D23" s="117">
        <v>165326927.2768119</v>
      </c>
      <c r="E23" s="483">
        <f>'7-PlantStudy'!E10</f>
        <v>531582610.71770966</v>
      </c>
      <c r="F23" s="483">
        <f>'7-PlantStudy'!E11</f>
        <v>3249175449.0339036</v>
      </c>
      <c r="G23" s="483">
        <f>'7-PlantStudy'!E20</f>
        <v>2233991232.3950157</v>
      </c>
      <c r="H23" s="483">
        <f>'7-PlantStudy'!E21</f>
        <v>324258227.67707634</v>
      </c>
      <c r="I23" s="483">
        <f>'7-PlantStudy'!E22</f>
        <v>1235903789.8920355</v>
      </c>
      <c r="J23" s="483">
        <f>'7-PlantStudy'!E23</f>
        <v>185508196.51391283</v>
      </c>
      <c r="K23" s="483">
        <f>'7-PlantStudy'!E24</f>
        <v>81951071.959831506</v>
      </c>
      <c r="L23" s="483">
        <f>'7-PlantStudy'!E25</f>
        <v>182027086.53564012</v>
      </c>
      <c r="M23" s="372">
        <f t="shared" si="0"/>
        <v>8276570295.1064177</v>
      </c>
      <c r="O23" s="1"/>
    </row>
    <row r="24" spans="1:15">
      <c r="A24" s="600">
        <f t="shared" si="2"/>
        <v>14</v>
      </c>
      <c r="B24" s="1241" t="s">
        <v>1203</v>
      </c>
      <c r="C24" s="236">
        <f t="shared" ref="C24:M24" si="12">AVERAGE(C11:C23)</f>
        <v>84794264.043641657</v>
      </c>
      <c r="D24" s="236">
        <f t="shared" si="12"/>
        <v>163763981.62724787</v>
      </c>
      <c r="E24" s="236">
        <f t="shared" si="12"/>
        <v>496095035.69853145</v>
      </c>
      <c r="F24" s="236">
        <f t="shared" si="12"/>
        <v>3127706540.2557244</v>
      </c>
      <c r="G24" s="236">
        <f t="shared" si="12"/>
        <v>2191316952.2331233</v>
      </c>
      <c r="H24" s="236">
        <f t="shared" si="12"/>
        <v>317851065.71442223</v>
      </c>
      <c r="I24" s="236">
        <f t="shared" si="12"/>
        <v>1244712568.5280941</v>
      </c>
      <c r="J24" s="236">
        <f t="shared" si="12"/>
        <v>56251503.144227944</v>
      </c>
      <c r="K24" s="236">
        <f t="shared" si="12"/>
        <v>34512523.610114641</v>
      </c>
      <c r="L24" s="236">
        <f t="shared" si="12"/>
        <v>185830917.14472777</v>
      </c>
      <c r="M24" s="236">
        <f t="shared" si="12"/>
        <v>7902835351.999856</v>
      </c>
    </row>
    <row r="25" spans="1:15">
      <c r="A25" s="503"/>
      <c r="B25" s="503"/>
      <c r="C25" s="503"/>
      <c r="D25" s="503"/>
      <c r="E25" s="503"/>
      <c r="F25" s="503"/>
      <c r="G25" s="503"/>
      <c r="H25" s="503"/>
      <c r="I25" s="503"/>
      <c r="J25" s="503"/>
      <c r="K25" s="503"/>
      <c r="L25" s="503"/>
    </row>
    <row r="26" spans="1:15">
      <c r="A26" s="503"/>
      <c r="B26" s="416" t="s">
        <v>324</v>
      </c>
      <c r="C26" s="503"/>
      <c r="D26" s="503"/>
      <c r="E26" s="503"/>
      <c r="F26" s="503"/>
      <c r="G26" s="503"/>
      <c r="H26" s="503"/>
      <c r="I26" s="503"/>
      <c r="J26" s="503"/>
      <c r="K26" s="503"/>
      <c r="L26" s="503"/>
    </row>
    <row r="27" spans="1:15">
      <c r="A27" s="503"/>
      <c r="B27" s="416"/>
      <c r="C27" s="503"/>
      <c r="D27" s="503"/>
      <c r="E27" s="503"/>
      <c r="F27" s="503"/>
      <c r="G27" s="503"/>
      <c r="H27" s="503"/>
      <c r="I27" s="503"/>
      <c r="J27" s="503"/>
      <c r="K27" s="503"/>
      <c r="L27" s="503"/>
    </row>
    <row r="28" spans="1:15">
      <c r="A28" s="503"/>
      <c r="B28" s="243" t="s">
        <v>1747</v>
      </c>
      <c r="C28" s="505"/>
      <c r="D28" s="505"/>
      <c r="E28" s="505"/>
      <c r="F28" s="505"/>
      <c r="G28" s="505"/>
      <c r="H28" s="505"/>
      <c r="I28" s="503"/>
      <c r="J28" s="503"/>
      <c r="K28" s="503"/>
      <c r="L28" s="503"/>
    </row>
    <row r="29" spans="1:15">
      <c r="A29" s="503"/>
      <c r="B29" s="416"/>
      <c r="C29" s="503"/>
      <c r="D29" s="503"/>
      <c r="E29" s="503"/>
      <c r="F29" s="503"/>
      <c r="G29" s="503"/>
      <c r="H29" s="503"/>
      <c r="I29" s="503"/>
      <c r="J29" s="503"/>
      <c r="K29" s="503"/>
      <c r="L29" s="503"/>
    </row>
    <row r="30" spans="1:15">
      <c r="A30" s="416"/>
      <c r="B30" s="84" t="s">
        <v>363</v>
      </c>
      <c r="C30" s="84" t="s">
        <v>347</v>
      </c>
      <c r="D30" s="84" t="s">
        <v>348</v>
      </c>
      <c r="E30" s="84" t="s">
        <v>349</v>
      </c>
      <c r="F30" s="84" t="s">
        <v>350</v>
      </c>
      <c r="G30" s="503"/>
      <c r="H30" s="503"/>
      <c r="I30" s="503"/>
      <c r="J30" s="503"/>
      <c r="K30" s="503"/>
      <c r="L30" s="503"/>
    </row>
    <row r="31" spans="1:15">
      <c r="A31" s="234"/>
      <c r="B31" s="251"/>
      <c r="C31" s="234"/>
      <c r="D31" s="234"/>
      <c r="E31" s="234"/>
      <c r="F31" s="251" t="s">
        <v>1204</v>
      </c>
      <c r="G31" s="503"/>
      <c r="H31" s="503"/>
      <c r="K31" s="503"/>
      <c r="L31" s="503"/>
    </row>
    <row r="32" spans="1:15">
      <c r="A32" s="234"/>
      <c r="B32" s="111"/>
      <c r="C32" s="84"/>
      <c r="D32" s="84"/>
      <c r="E32" s="234"/>
      <c r="F32" s="234"/>
      <c r="G32" s="503"/>
      <c r="H32" s="503"/>
      <c r="K32" s="503"/>
      <c r="L32" s="503"/>
    </row>
    <row r="33" spans="1:12" ht="12.75" customHeight="1">
      <c r="A33" s="51" t="s">
        <v>332</v>
      </c>
      <c r="B33" s="125" t="s">
        <v>1782</v>
      </c>
      <c r="C33" s="373">
        <v>360</v>
      </c>
      <c r="D33" s="373">
        <v>361</v>
      </c>
      <c r="E33" s="373">
        <v>362</v>
      </c>
      <c r="F33" s="3" t="s">
        <v>196</v>
      </c>
      <c r="G33" s="503"/>
      <c r="H33" s="503"/>
      <c r="K33" s="503"/>
      <c r="L33" s="503"/>
    </row>
    <row r="34" spans="1:12" ht="12.75" customHeight="1">
      <c r="A34" s="600">
        <f>A24+1</f>
        <v>15</v>
      </c>
      <c r="B34" s="767" t="s">
        <v>2471</v>
      </c>
      <c r="C34" s="1120">
        <v>0</v>
      </c>
      <c r="D34" s="1120">
        <v>0</v>
      </c>
      <c r="E34" s="1120">
        <v>0</v>
      </c>
      <c r="F34" s="236">
        <f>SUM(C34:E34)</f>
        <v>0</v>
      </c>
      <c r="G34" s="503"/>
      <c r="H34" s="503"/>
      <c r="K34" s="503"/>
      <c r="L34" s="503"/>
    </row>
    <row r="35" spans="1:12" ht="12.75" customHeight="1">
      <c r="A35" s="600">
        <f>A34+1</f>
        <v>16</v>
      </c>
      <c r="B35" s="767" t="s">
        <v>2483</v>
      </c>
      <c r="C35" s="418">
        <v>0</v>
      </c>
      <c r="D35" s="418">
        <v>0</v>
      </c>
      <c r="E35" s="418">
        <v>0</v>
      </c>
      <c r="F35" s="372">
        <f>SUM(C35:E35)</f>
        <v>0</v>
      </c>
      <c r="G35" s="503"/>
      <c r="H35" s="503"/>
      <c r="K35" s="503"/>
      <c r="L35" s="503"/>
    </row>
    <row r="36" spans="1:12" ht="12.75" customHeight="1">
      <c r="A36" s="600">
        <f>A35+1</f>
        <v>17</v>
      </c>
      <c r="B36" s="1241" t="s">
        <v>1205</v>
      </c>
      <c r="C36" s="236">
        <f>AVERAGE(C34:C35)</f>
        <v>0</v>
      </c>
      <c r="D36" s="236">
        <f>AVERAGE(D34:D35)</f>
        <v>0</v>
      </c>
      <c r="E36" s="236">
        <f>AVERAGE(E34:E35)</f>
        <v>0</v>
      </c>
      <c r="F36" s="236">
        <f>AVERAGE(F34:F35)</f>
        <v>0</v>
      </c>
      <c r="G36" s="503"/>
      <c r="H36" s="503"/>
      <c r="K36" s="503"/>
      <c r="L36" s="503"/>
    </row>
    <row r="37" spans="1:12" ht="12.75" customHeight="1">
      <c r="A37" s="503"/>
      <c r="B37" s="503"/>
      <c r="C37" s="503"/>
      <c r="D37" s="503"/>
      <c r="E37" s="503"/>
      <c r="F37" s="503"/>
      <c r="G37" s="503"/>
      <c r="H37" s="503"/>
      <c r="K37" s="503"/>
      <c r="L37" s="503"/>
    </row>
    <row r="38" spans="1:12">
      <c r="A38" s="503"/>
      <c r="B38" s="1" t="s">
        <v>1057</v>
      </c>
      <c r="C38" s="670"/>
      <c r="D38" s="670"/>
      <c r="E38" s="1242"/>
      <c r="F38" s="1243"/>
      <c r="G38" s="1244"/>
      <c r="H38" s="503"/>
      <c r="K38" s="503"/>
      <c r="L38" s="503"/>
    </row>
    <row r="39" spans="1:12">
      <c r="A39" s="503"/>
      <c r="B39" s="503" t="s">
        <v>1058</v>
      </c>
      <c r="C39" s="670"/>
      <c r="D39" s="670"/>
      <c r="E39" s="1242"/>
      <c r="F39" s="1243"/>
      <c r="G39" s="1244"/>
      <c r="H39" s="503"/>
      <c r="K39" s="503"/>
      <c r="L39" s="503"/>
    </row>
    <row r="40" spans="1:12">
      <c r="A40" s="503"/>
      <c r="B40" s="503"/>
      <c r="C40" s="670"/>
      <c r="D40" s="670"/>
      <c r="E40" s="1242"/>
      <c r="F40" s="1243"/>
      <c r="G40" s="1244"/>
      <c r="H40" s="503"/>
      <c r="K40" s="503"/>
      <c r="L40" s="503"/>
    </row>
    <row r="41" spans="1:12">
      <c r="A41" s="503"/>
      <c r="B41" s="503"/>
      <c r="C41" s="670"/>
      <c r="D41" s="1245" t="s">
        <v>175</v>
      </c>
      <c r="E41" s="1246" t="s">
        <v>179</v>
      </c>
      <c r="F41" s="1243"/>
      <c r="G41" s="1244"/>
      <c r="H41" s="503"/>
      <c r="K41" s="503"/>
      <c r="L41" s="503"/>
    </row>
    <row r="42" spans="1:12">
      <c r="A42" s="600">
        <f>A36+1</f>
        <v>18</v>
      </c>
      <c r="B42" s="503"/>
      <c r="C42" s="1242" t="s">
        <v>325</v>
      </c>
      <c r="D42" s="1243">
        <f>M24+F36</f>
        <v>7902835351.999856</v>
      </c>
      <c r="E42" s="1247" t="str">
        <f>"Sum of Line "&amp;A24&amp;", "&amp;M7&amp;" and Line "&amp;A36&amp;", "&amp;F30&amp;""</f>
        <v>Sum of Line 14, Col 12 and Line 17, Col 5</v>
      </c>
      <c r="F42" s="503"/>
      <c r="G42" s="503"/>
      <c r="H42" s="503"/>
      <c r="K42" s="503"/>
      <c r="L42" s="503"/>
    </row>
    <row r="43" spans="1:12">
      <c r="A43" s="600">
        <f>A42+1</f>
        <v>19</v>
      </c>
      <c r="B43" s="503"/>
      <c r="C43" s="1242" t="s">
        <v>156</v>
      </c>
      <c r="D43" s="1243">
        <f>M23+F35</f>
        <v>8276570295.1064177</v>
      </c>
      <c r="E43" s="1247" t="str">
        <f>"Sum of Line "&amp;A23&amp;", "&amp;M7&amp;" and Line "&amp;A35&amp;", "&amp;F30&amp;""</f>
        <v>Sum of Line 13, Col 12 and Line 16, Col 5</v>
      </c>
      <c r="F43" s="503"/>
      <c r="G43" s="503"/>
      <c r="H43" s="503"/>
      <c r="I43" s="503"/>
      <c r="J43" s="503"/>
      <c r="K43" s="503"/>
      <c r="L43" s="503"/>
    </row>
    <row r="44" spans="1:12">
      <c r="A44" s="503"/>
      <c r="B44" s="503"/>
      <c r="C44" s="670"/>
      <c r="D44" s="670"/>
      <c r="E44" s="1248"/>
      <c r="F44" s="1249"/>
      <c r="G44" s="1250"/>
      <c r="H44" s="503"/>
      <c r="I44" s="503"/>
      <c r="J44" s="503"/>
      <c r="K44" s="503"/>
      <c r="L44" s="503"/>
    </row>
    <row r="45" spans="1:12">
      <c r="A45" s="503"/>
      <c r="B45" s="1" t="s">
        <v>1748</v>
      </c>
      <c r="C45" s="503"/>
      <c r="D45" s="503"/>
      <c r="E45" s="1248"/>
      <c r="F45" s="1249"/>
      <c r="G45" s="1250"/>
      <c r="H45" s="503"/>
      <c r="I45" s="503"/>
      <c r="J45" s="503"/>
      <c r="K45" s="503"/>
      <c r="L45" s="503"/>
    </row>
    <row r="46" spans="1:12">
      <c r="A46" s="503"/>
      <c r="B46" s="507" t="s">
        <v>306</v>
      </c>
      <c r="C46" s="503"/>
      <c r="D46" s="503"/>
      <c r="E46" s="1248"/>
      <c r="F46" s="1249"/>
      <c r="G46" s="1250"/>
      <c r="H46" s="503"/>
      <c r="I46" s="503"/>
      <c r="J46" s="503"/>
      <c r="K46" s="503"/>
      <c r="L46" s="503"/>
    </row>
    <row r="47" spans="1:12" ht="12.75" customHeight="1">
      <c r="A47" s="503"/>
      <c r="B47" s="507"/>
      <c r="C47" s="503"/>
      <c r="D47" s="503"/>
      <c r="E47" s="1248"/>
      <c r="F47" s="1249"/>
      <c r="G47" s="1250"/>
      <c r="H47" s="503"/>
      <c r="I47" s="503"/>
      <c r="J47" s="503"/>
      <c r="K47" s="503"/>
      <c r="L47" s="503"/>
    </row>
    <row r="48" spans="1:12">
      <c r="A48" s="503"/>
      <c r="B48" s="1"/>
      <c r="C48" s="251" t="s">
        <v>364</v>
      </c>
      <c r="D48" s="503"/>
      <c r="E48" s="1248"/>
      <c r="F48" s="84" t="s">
        <v>363</v>
      </c>
      <c r="G48" s="84" t="s">
        <v>347</v>
      </c>
      <c r="H48" s="84" t="s">
        <v>348</v>
      </c>
      <c r="I48" s="503"/>
      <c r="J48" s="503"/>
      <c r="K48" s="503"/>
      <c r="L48" s="503"/>
    </row>
    <row r="49" spans="1:12">
      <c r="A49" s="503"/>
      <c r="B49" s="1"/>
      <c r="C49" s="600" t="s">
        <v>407</v>
      </c>
      <c r="D49" s="1248"/>
      <c r="F49" s="600" t="s">
        <v>1224</v>
      </c>
      <c r="G49" s="600" t="s">
        <v>1225</v>
      </c>
      <c r="H49" s="1224" t="s">
        <v>196</v>
      </c>
      <c r="I49" s="1250"/>
      <c r="J49" s="503"/>
      <c r="K49" s="503"/>
      <c r="L49" s="503"/>
    </row>
    <row r="50" spans="1:12">
      <c r="A50" s="503"/>
      <c r="B50" s="503"/>
      <c r="C50" s="600" t="s">
        <v>193</v>
      </c>
      <c r="D50" s="678" t="s">
        <v>194</v>
      </c>
      <c r="F50" s="678" t="s">
        <v>376</v>
      </c>
      <c r="G50" s="678" t="s">
        <v>376</v>
      </c>
      <c r="H50" s="678" t="s">
        <v>1206</v>
      </c>
      <c r="I50" s="678"/>
      <c r="J50" s="503"/>
      <c r="K50" s="503"/>
      <c r="L50" s="503"/>
    </row>
    <row r="51" spans="1:12">
      <c r="A51" s="503"/>
      <c r="B51" s="503"/>
      <c r="C51" s="3" t="s">
        <v>192</v>
      </c>
      <c r="D51" s="661" t="s">
        <v>179</v>
      </c>
      <c r="F51" s="674" t="s">
        <v>2</v>
      </c>
      <c r="G51" s="674" t="s">
        <v>2</v>
      </c>
      <c r="H51" s="674" t="s">
        <v>2</v>
      </c>
      <c r="I51" s="1251" t="s">
        <v>168</v>
      </c>
      <c r="J51" s="503"/>
      <c r="K51" s="503"/>
      <c r="L51" s="503"/>
    </row>
    <row r="52" spans="1:12">
      <c r="A52" s="600">
        <f>A43+1</f>
        <v>20</v>
      </c>
      <c r="B52" s="503"/>
      <c r="C52" s="656" t="s">
        <v>180</v>
      </c>
      <c r="D52" s="1223" t="s">
        <v>1226</v>
      </c>
      <c r="F52" s="1136">
        <v>2810955447</v>
      </c>
      <c r="G52" s="537">
        <v>1597954444</v>
      </c>
      <c r="H52" s="1243">
        <f>SUM(F52:G52)</f>
        <v>4408909891</v>
      </c>
      <c r="I52" s="1223" t="s">
        <v>1749</v>
      </c>
      <c r="J52" s="505"/>
      <c r="K52" s="503"/>
      <c r="L52" s="503"/>
    </row>
    <row r="53" spans="1:12" ht="12.75" customHeight="1">
      <c r="A53" s="600">
        <f>A52+1</f>
        <v>21</v>
      </c>
      <c r="B53" s="503"/>
      <c r="C53" s="665" t="s">
        <v>180</v>
      </c>
      <c r="D53" s="1223" t="s">
        <v>1777</v>
      </c>
      <c r="E53" s="14"/>
      <c r="F53" s="1136">
        <v>2941903413</v>
      </c>
      <c r="G53" s="537">
        <v>1588136353</v>
      </c>
      <c r="H53" s="1243">
        <f>SUM(F53:G53)</f>
        <v>4530039766</v>
      </c>
      <c r="I53" s="502" t="s">
        <v>1750</v>
      </c>
      <c r="J53" s="505"/>
      <c r="K53" s="503"/>
      <c r="L53" s="503"/>
    </row>
    <row r="54" spans="1:12" ht="12.75" customHeight="1">
      <c r="A54" s="503"/>
      <c r="B54" s="503"/>
      <c r="C54" s="665"/>
      <c r="D54" s="1252"/>
      <c r="E54" s="1253"/>
      <c r="F54" s="1243"/>
      <c r="G54" s="507"/>
      <c r="H54" s="503"/>
      <c r="I54" s="503"/>
      <c r="J54" s="503"/>
      <c r="K54" s="503"/>
      <c r="L54" s="503"/>
    </row>
    <row r="55" spans="1:12" ht="12.75" customHeight="1">
      <c r="A55" s="503"/>
      <c r="B55" s="503"/>
      <c r="C55" s="670" t="s">
        <v>1228</v>
      </c>
      <c r="D55" s="670"/>
      <c r="E55" s="1248"/>
      <c r="F55" s="1246" t="s">
        <v>175</v>
      </c>
      <c r="G55" s="1254" t="s">
        <v>179</v>
      </c>
      <c r="H55" s="503"/>
      <c r="I55" s="503"/>
      <c r="J55" s="503"/>
      <c r="K55" s="503"/>
      <c r="L55" s="503"/>
    </row>
    <row r="56" spans="1:12">
      <c r="A56" s="600">
        <f>A53+1</f>
        <v>22</v>
      </c>
      <c r="B56" s="503"/>
      <c r="C56" s="670"/>
      <c r="D56" s="670"/>
      <c r="E56" s="1242" t="s">
        <v>84</v>
      </c>
      <c r="F56" s="1243">
        <f>(H52+H53)/2</f>
        <v>4469474828.5</v>
      </c>
      <c r="G56" s="543" t="str">
        <f>"Average of Line "&amp;A52&amp;" and "&amp;A53&amp;"."</f>
        <v>Average of Line 20 and 21.</v>
      </c>
      <c r="H56" s="503"/>
      <c r="I56" s="503"/>
      <c r="J56" s="503"/>
      <c r="K56" s="503"/>
      <c r="L56" s="503"/>
    </row>
    <row r="57" spans="1:12">
      <c r="A57" s="600">
        <f>A56+1</f>
        <v>23</v>
      </c>
      <c r="B57" s="503"/>
      <c r="C57" s="670"/>
      <c r="D57" s="670"/>
      <c r="E57" s="637" t="s">
        <v>241</v>
      </c>
      <c r="F57" s="1255">
        <f>'27-Allocators'!G14</f>
        <v>6.1650013139118928E-2</v>
      </c>
      <c r="G57" s="543" t="str">
        <f>"27-Allocators, Line "&amp;'27-Allocators'!A14&amp;""</f>
        <v>27-Allocators, Line 9</v>
      </c>
      <c r="H57" s="503"/>
      <c r="I57" s="503"/>
      <c r="J57" s="503"/>
      <c r="K57" s="503"/>
      <c r="L57" s="503"/>
    </row>
    <row r="58" spans="1:12">
      <c r="A58" s="600">
        <f>A57+1</f>
        <v>24</v>
      </c>
      <c r="B58" s="503"/>
      <c r="C58" s="670"/>
      <c r="D58" s="670"/>
      <c r="E58" s="637" t="s">
        <v>307</v>
      </c>
      <c r="F58" s="1243">
        <f>F56*F57</f>
        <v>275543181.9019863</v>
      </c>
      <c r="G58" s="543" t="str">
        <f>"Line "&amp;A56&amp;" * Line "&amp;A57&amp;"."</f>
        <v>Line 22 * Line 23.</v>
      </c>
      <c r="H58" s="503"/>
      <c r="I58" s="503"/>
      <c r="J58" s="503"/>
      <c r="K58" s="503"/>
      <c r="L58" s="503"/>
    </row>
    <row r="59" spans="1:12">
      <c r="A59" s="503"/>
      <c r="B59" s="503"/>
      <c r="C59" s="670"/>
      <c r="D59" s="670"/>
      <c r="E59" s="637"/>
      <c r="F59" s="1243"/>
      <c r="G59" s="1244"/>
      <c r="H59" s="503"/>
      <c r="I59" s="503"/>
      <c r="J59" s="503"/>
      <c r="K59" s="503"/>
      <c r="L59" s="503"/>
    </row>
    <row r="60" spans="1:12">
      <c r="A60" s="503"/>
      <c r="B60" s="503"/>
      <c r="C60" s="670" t="s">
        <v>1227</v>
      </c>
      <c r="D60" s="670"/>
      <c r="E60" s="1248"/>
      <c r="F60" s="1246" t="s">
        <v>175</v>
      </c>
      <c r="G60" s="1254" t="s">
        <v>179</v>
      </c>
      <c r="H60" s="503"/>
      <c r="I60" s="503"/>
      <c r="J60" s="503"/>
      <c r="K60" s="503"/>
      <c r="L60" s="503"/>
    </row>
    <row r="61" spans="1:12">
      <c r="A61" s="600">
        <f>A58+1</f>
        <v>25</v>
      </c>
      <c r="B61" s="503"/>
      <c r="C61" s="670"/>
      <c r="D61" s="670"/>
      <c r="E61" s="1242" t="s">
        <v>156</v>
      </c>
      <c r="F61" s="1243">
        <f>H53</f>
        <v>4530039766</v>
      </c>
      <c r="G61" s="543" t="str">
        <f>"Line "&amp;A53&amp;"."</f>
        <v>Line 21.</v>
      </c>
      <c r="H61" s="503"/>
      <c r="I61" s="503"/>
      <c r="J61" s="503"/>
      <c r="K61" s="503"/>
      <c r="L61" s="503"/>
    </row>
    <row r="62" spans="1:12">
      <c r="A62" s="600">
        <f>A61+1</f>
        <v>26</v>
      </c>
      <c r="B62" s="503"/>
      <c r="C62" s="670"/>
      <c r="D62" s="670"/>
      <c r="E62" s="637" t="s">
        <v>241</v>
      </c>
      <c r="F62" s="1255">
        <f>'27-Allocators'!G14</f>
        <v>6.1650013139118928E-2</v>
      </c>
      <c r="G62" s="543" t="str">
        <f>"27-Allocators, Line "&amp;'27-Allocators'!A14&amp;""</f>
        <v>27-Allocators, Line 9</v>
      </c>
      <c r="H62" s="503"/>
      <c r="I62" s="503"/>
      <c r="J62" s="503"/>
      <c r="K62" s="503"/>
      <c r="L62" s="503"/>
    </row>
    <row r="63" spans="1:12">
      <c r="A63" s="600">
        <f>A62+1</f>
        <v>27</v>
      </c>
      <c r="B63" s="503"/>
      <c r="C63" s="670"/>
      <c r="D63" s="670"/>
      <c r="E63" s="637" t="s">
        <v>307</v>
      </c>
      <c r="F63" s="1243">
        <f>F61*F62</f>
        <v>279277011.09463125</v>
      </c>
      <c r="G63" s="543" t="str">
        <f>"Line "&amp;A61&amp;" * Line "&amp;A62&amp;"."</f>
        <v>Line 25 * Line 26.</v>
      </c>
      <c r="H63" s="503"/>
      <c r="I63" s="503"/>
      <c r="J63" s="503"/>
      <c r="K63" s="503"/>
      <c r="L63" s="503"/>
    </row>
    <row r="64" spans="1:12">
      <c r="A64" s="503"/>
      <c r="B64" s="503"/>
      <c r="C64" s="503"/>
      <c r="D64" s="503"/>
      <c r="E64" s="503"/>
      <c r="F64" s="503"/>
      <c r="G64" s="503"/>
      <c r="H64" s="503"/>
      <c r="I64" s="503"/>
      <c r="J64" s="503"/>
      <c r="K64" s="503"/>
      <c r="L64" s="503"/>
    </row>
    <row r="65" spans="1:13">
      <c r="A65" s="503"/>
      <c r="B65" s="503"/>
      <c r="C65" s="503"/>
      <c r="D65" s="503"/>
      <c r="E65" s="503"/>
      <c r="F65" s="503"/>
      <c r="G65" s="503"/>
      <c r="H65" s="503"/>
      <c r="I65" s="503"/>
      <c r="J65" s="503"/>
      <c r="K65" s="503"/>
      <c r="L65" s="503"/>
    </row>
    <row r="66" spans="1:13">
      <c r="A66" s="503"/>
      <c r="B66" s="1" t="s">
        <v>1551</v>
      </c>
      <c r="C66" s="503"/>
      <c r="D66" s="503"/>
      <c r="E66" s="503"/>
      <c r="F66" s="503"/>
      <c r="G66" s="503"/>
      <c r="H66" s="503"/>
      <c r="I66" s="503"/>
      <c r="J66" s="503"/>
      <c r="K66" s="503"/>
      <c r="L66" s="503"/>
    </row>
    <row r="67" spans="1:13">
      <c r="A67" s="503"/>
      <c r="C67" s="503"/>
      <c r="D67" s="503"/>
      <c r="E67" s="503"/>
      <c r="F67" s="503"/>
      <c r="G67" s="503"/>
      <c r="H67" s="503"/>
      <c r="I67" s="503"/>
      <c r="J67" s="503"/>
      <c r="K67" s="503"/>
      <c r="L67" s="503"/>
    </row>
    <row r="68" spans="1:13">
      <c r="B68" s="1" t="s">
        <v>2530</v>
      </c>
      <c r="C68" s="503"/>
      <c r="D68" s="503"/>
      <c r="E68" s="503"/>
      <c r="F68" s="503"/>
      <c r="G68" s="503"/>
      <c r="H68" s="503"/>
      <c r="I68" s="503"/>
      <c r="J68" s="503"/>
      <c r="K68" s="503"/>
      <c r="L68" s="503"/>
    </row>
    <row r="69" spans="1:13">
      <c r="A69" s="503"/>
      <c r="C69" s="503"/>
      <c r="D69" s="503"/>
      <c r="E69" s="503"/>
      <c r="F69" s="503"/>
      <c r="G69" s="503"/>
      <c r="H69" s="503"/>
      <c r="I69" s="503"/>
      <c r="J69" s="503"/>
      <c r="K69" s="503"/>
      <c r="L69" s="503"/>
    </row>
    <row r="70" spans="1:13">
      <c r="A70" s="416"/>
      <c r="B70" s="84" t="s">
        <v>363</v>
      </c>
      <c r="C70" s="84" t="s">
        <v>347</v>
      </c>
      <c r="D70" s="84" t="s">
        <v>348</v>
      </c>
      <c r="E70" s="84" t="s">
        <v>349</v>
      </c>
      <c r="F70" s="84" t="s">
        <v>350</v>
      </c>
      <c r="G70" s="84" t="s">
        <v>351</v>
      </c>
      <c r="H70" s="84" t="s">
        <v>352</v>
      </c>
      <c r="I70" s="84" t="s">
        <v>544</v>
      </c>
      <c r="J70" s="84" t="s">
        <v>961</v>
      </c>
      <c r="K70" s="84" t="s">
        <v>974</v>
      </c>
      <c r="L70" s="84" t="s">
        <v>977</v>
      </c>
      <c r="M70" s="84" t="s">
        <v>995</v>
      </c>
    </row>
    <row r="71" spans="1:13">
      <c r="A71" s="234"/>
      <c r="B71" s="251"/>
      <c r="C71" s="234"/>
      <c r="D71" s="234"/>
      <c r="E71" s="234"/>
      <c r="F71" s="234"/>
      <c r="G71" s="234"/>
      <c r="H71" s="234"/>
      <c r="I71" s="234"/>
      <c r="J71" s="234"/>
      <c r="K71" s="234"/>
      <c r="M71" s="251" t="s">
        <v>1238</v>
      </c>
    </row>
    <row r="72" spans="1:13">
      <c r="A72" s="51"/>
      <c r="B72" s="125" t="s">
        <v>1782</v>
      </c>
      <c r="C72" s="84">
        <v>350.1</v>
      </c>
      <c r="D72" s="84">
        <v>350.2</v>
      </c>
      <c r="E72" s="84">
        <v>352</v>
      </c>
      <c r="F72" s="84">
        <v>353</v>
      </c>
      <c r="G72" s="84">
        <v>354</v>
      </c>
      <c r="H72" s="84">
        <v>355</v>
      </c>
      <c r="I72" s="84">
        <v>356</v>
      </c>
      <c r="J72" s="84">
        <v>357</v>
      </c>
      <c r="K72" s="84">
        <v>358</v>
      </c>
      <c r="L72" s="84">
        <v>359</v>
      </c>
      <c r="M72" s="3" t="s">
        <v>196</v>
      </c>
    </row>
    <row r="73" spans="1:13">
      <c r="A73" s="600">
        <f>A63+1</f>
        <v>28</v>
      </c>
      <c r="B73" s="1072" t="s">
        <v>2471</v>
      </c>
      <c r="C73" s="537">
        <v>121657931.75999999</v>
      </c>
      <c r="D73" s="537">
        <v>206772795.96000001</v>
      </c>
      <c r="E73" s="1120">
        <v>686827403.82000017</v>
      </c>
      <c r="F73" s="1120">
        <v>5247711807.04</v>
      </c>
      <c r="G73" s="1120">
        <v>2259972825.6399999</v>
      </c>
      <c r="H73" s="1120">
        <v>1008567359.33</v>
      </c>
      <c r="I73" s="1120">
        <v>1482107623.72</v>
      </c>
      <c r="J73" s="1120">
        <v>61087062.369999997</v>
      </c>
      <c r="K73" s="1120">
        <v>268612322.58999997</v>
      </c>
      <c r="L73" s="1120">
        <v>194018040.61000001</v>
      </c>
      <c r="M73" s="236">
        <f t="shared" ref="M73:M84" si="13">SUM(C73:L73)</f>
        <v>11537335172.84</v>
      </c>
    </row>
    <row r="74" spans="1:13">
      <c r="A74" s="600">
        <f t="shared" ref="A74:A85" si="14">A73+1</f>
        <v>29</v>
      </c>
      <c r="B74" s="768" t="s">
        <v>2472</v>
      </c>
      <c r="C74" s="537">
        <v>120041816.67</v>
      </c>
      <c r="D74" s="537">
        <v>206793884.87</v>
      </c>
      <c r="E74" s="1120">
        <v>703336512.34000015</v>
      </c>
      <c r="F74" s="1120">
        <v>5261334181.5800009</v>
      </c>
      <c r="G74" s="1120">
        <v>2267078142.29</v>
      </c>
      <c r="H74" s="1120">
        <v>1019274095.3199999</v>
      </c>
      <c r="I74" s="1120">
        <v>1490923946.2900002</v>
      </c>
      <c r="J74" s="1120">
        <v>62025505.340000004</v>
      </c>
      <c r="K74" s="1120">
        <v>270314277.77999997</v>
      </c>
      <c r="L74" s="1120">
        <v>194248888.61000001</v>
      </c>
      <c r="M74" s="236">
        <f t="shared" si="13"/>
        <v>11595371251.090004</v>
      </c>
    </row>
    <row r="75" spans="1:13">
      <c r="A75" s="600">
        <f t="shared" si="14"/>
        <v>30</v>
      </c>
      <c r="B75" s="767" t="s">
        <v>2473</v>
      </c>
      <c r="C75" s="537">
        <v>120040730.8</v>
      </c>
      <c r="D75" s="537">
        <v>206789749.06999999</v>
      </c>
      <c r="E75" s="1120">
        <v>697204660.2900002</v>
      </c>
      <c r="F75" s="1120">
        <v>5284584037.1800003</v>
      </c>
      <c r="G75" s="1120">
        <v>2269281263.71</v>
      </c>
      <c r="H75" s="1120">
        <v>1030145033.83</v>
      </c>
      <c r="I75" s="1120">
        <v>1492010547.1100001</v>
      </c>
      <c r="J75" s="1120">
        <v>62000535.07</v>
      </c>
      <c r="K75" s="1120">
        <v>270417583.10000002</v>
      </c>
      <c r="L75" s="1120">
        <v>194553636.47</v>
      </c>
      <c r="M75" s="236">
        <f t="shared" si="13"/>
        <v>11627027776.630001</v>
      </c>
    </row>
    <row r="76" spans="1:13">
      <c r="A76" s="600">
        <f t="shared" si="14"/>
        <v>31</v>
      </c>
      <c r="B76" s="767" t="s">
        <v>2474</v>
      </c>
      <c r="C76" s="537">
        <v>129974728.36999999</v>
      </c>
      <c r="D76" s="537">
        <v>206872546.55000001</v>
      </c>
      <c r="E76" s="1120">
        <v>711236846.82000005</v>
      </c>
      <c r="F76" s="1120">
        <v>5314778263.039999</v>
      </c>
      <c r="G76" s="1120">
        <v>2270538592.0600004</v>
      </c>
      <c r="H76" s="1120">
        <v>1055295896.53</v>
      </c>
      <c r="I76" s="1120">
        <v>1501940680.5899999</v>
      </c>
      <c r="J76" s="1120">
        <v>62027745.140000001</v>
      </c>
      <c r="K76" s="1120">
        <v>271839478.00999999</v>
      </c>
      <c r="L76" s="1120">
        <v>203547851.90000001</v>
      </c>
      <c r="M76" s="236">
        <f t="shared" si="13"/>
        <v>11728052629.01</v>
      </c>
    </row>
    <row r="77" spans="1:13">
      <c r="A77" s="600">
        <f t="shared" si="14"/>
        <v>32</v>
      </c>
      <c r="B77" s="768" t="s">
        <v>2475</v>
      </c>
      <c r="C77" s="537">
        <v>129984882.63</v>
      </c>
      <c r="D77" s="537">
        <v>206918508.47000003</v>
      </c>
      <c r="E77" s="1120">
        <v>747798349.69000006</v>
      </c>
      <c r="F77" s="1120">
        <v>5334716093.5899992</v>
      </c>
      <c r="G77" s="1120">
        <v>2271061822.5799999</v>
      </c>
      <c r="H77" s="1120">
        <v>1068519519.35</v>
      </c>
      <c r="I77" s="1120">
        <v>1502283884.8499999</v>
      </c>
      <c r="J77" s="1120">
        <v>64354797.869999997</v>
      </c>
      <c r="K77" s="1120">
        <v>281803117.47000003</v>
      </c>
      <c r="L77" s="1120">
        <v>204247360.43000001</v>
      </c>
      <c r="M77" s="236">
        <f t="shared" si="13"/>
        <v>11811688336.93</v>
      </c>
    </row>
    <row r="78" spans="1:13">
      <c r="A78" s="600">
        <f t="shared" si="14"/>
        <v>33</v>
      </c>
      <c r="B78" s="767" t="s">
        <v>2476</v>
      </c>
      <c r="C78" s="537">
        <v>129993235.25999999</v>
      </c>
      <c r="D78" s="537">
        <v>206927466.27000001</v>
      </c>
      <c r="E78" s="1120">
        <v>748915252.89999986</v>
      </c>
      <c r="F78" s="1120">
        <v>5336971167.4200001</v>
      </c>
      <c r="G78" s="1120">
        <v>2274749703.0899997</v>
      </c>
      <c r="H78" s="1120">
        <v>1077180001.55</v>
      </c>
      <c r="I78" s="1120">
        <v>1502976156.2799997</v>
      </c>
      <c r="J78" s="1120">
        <v>64594821.649999999</v>
      </c>
      <c r="K78" s="1120">
        <v>283742241.31999999</v>
      </c>
      <c r="L78" s="1120">
        <v>205412539.66</v>
      </c>
      <c r="M78" s="236">
        <f t="shared" si="13"/>
        <v>11831462585.4</v>
      </c>
    </row>
    <row r="79" spans="1:13">
      <c r="A79" s="600">
        <f t="shared" si="14"/>
        <v>34</v>
      </c>
      <c r="B79" s="767" t="s">
        <v>2477</v>
      </c>
      <c r="C79" s="537">
        <v>129471531.20999999</v>
      </c>
      <c r="D79" s="537">
        <v>206521860.64999998</v>
      </c>
      <c r="E79" s="1120">
        <v>758346667.17000008</v>
      </c>
      <c r="F79" s="1120">
        <v>5386916234.0199995</v>
      </c>
      <c r="G79" s="1120">
        <v>2255499745.8399997</v>
      </c>
      <c r="H79" s="1120">
        <v>1095086004.6800001</v>
      </c>
      <c r="I79" s="1120">
        <v>1505142343.9800003</v>
      </c>
      <c r="J79" s="1120">
        <v>67845750.200000003</v>
      </c>
      <c r="K79" s="1120">
        <v>307996466.71000004</v>
      </c>
      <c r="L79" s="1120">
        <v>208722402.01999998</v>
      </c>
      <c r="M79" s="236">
        <f t="shared" si="13"/>
        <v>11921549006.48</v>
      </c>
    </row>
    <row r="80" spans="1:13">
      <c r="A80" s="600">
        <f t="shared" si="14"/>
        <v>35</v>
      </c>
      <c r="B80" s="768" t="s">
        <v>2478</v>
      </c>
      <c r="C80" s="537">
        <v>129475315.44</v>
      </c>
      <c r="D80" s="537">
        <v>206529507.86000001</v>
      </c>
      <c r="E80" s="1120">
        <v>770153636.69000018</v>
      </c>
      <c r="F80" s="1120">
        <v>5472385653.0100002</v>
      </c>
      <c r="G80" s="1120">
        <v>2255378798.7400002</v>
      </c>
      <c r="H80" s="1120">
        <v>1103011205.6200001</v>
      </c>
      <c r="I80" s="1120">
        <v>1504634373.78</v>
      </c>
      <c r="J80" s="1120">
        <v>68453756.980000004</v>
      </c>
      <c r="K80" s="1120">
        <v>308991820.90000004</v>
      </c>
      <c r="L80" s="1120">
        <v>209245602.04000002</v>
      </c>
      <c r="M80" s="236">
        <f t="shared" si="13"/>
        <v>12028259671.060001</v>
      </c>
    </row>
    <row r="81" spans="1:13">
      <c r="A81" s="600">
        <f t="shared" si="14"/>
        <v>36</v>
      </c>
      <c r="B81" s="767" t="s">
        <v>2479</v>
      </c>
      <c r="C81" s="537">
        <v>129472250.22</v>
      </c>
      <c r="D81" s="537">
        <v>206549342.12</v>
      </c>
      <c r="E81" s="1120">
        <v>769327742.98000002</v>
      </c>
      <c r="F81" s="1120">
        <v>5472858382.5599995</v>
      </c>
      <c r="G81" s="1120">
        <v>2275896336.4900002</v>
      </c>
      <c r="H81" s="1120">
        <v>1113130924.3100002</v>
      </c>
      <c r="I81" s="1120">
        <v>1499109784.7699997</v>
      </c>
      <c r="J81" s="1120">
        <v>69115778.870000005</v>
      </c>
      <c r="K81" s="1120">
        <v>307862522.88999999</v>
      </c>
      <c r="L81" s="1120">
        <v>195235924.28000003</v>
      </c>
      <c r="M81" s="236">
        <f t="shared" si="13"/>
        <v>12038558989.49</v>
      </c>
    </row>
    <row r="82" spans="1:13">
      <c r="A82" s="600">
        <f t="shared" si="14"/>
        <v>37</v>
      </c>
      <c r="B82" s="767" t="s">
        <v>2480</v>
      </c>
      <c r="C82" s="537">
        <v>129486154.72999999</v>
      </c>
      <c r="D82" s="537">
        <v>209278478.73000002</v>
      </c>
      <c r="E82" s="1120">
        <v>771511220.88</v>
      </c>
      <c r="F82" s="1120">
        <v>5478846799.5299997</v>
      </c>
      <c r="G82" s="1120">
        <v>2277142361.3200002</v>
      </c>
      <c r="H82" s="1120">
        <v>1123636140.9800003</v>
      </c>
      <c r="I82" s="1120">
        <v>1508232675.4299998</v>
      </c>
      <c r="J82" s="1120">
        <v>248255064.56</v>
      </c>
      <c r="K82" s="1120">
        <v>370623766.88999999</v>
      </c>
      <c r="L82" s="1120">
        <v>195222055.22999999</v>
      </c>
      <c r="M82" s="236">
        <f t="shared" si="13"/>
        <v>12312234718.279999</v>
      </c>
    </row>
    <row r="83" spans="1:13">
      <c r="A83" s="600">
        <f t="shared" si="14"/>
        <v>38</v>
      </c>
      <c r="B83" s="768" t="s">
        <v>2481</v>
      </c>
      <c r="C83" s="537">
        <v>129485354.11</v>
      </c>
      <c r="D83" s="537">
        <v>209396750.44999999</v>
      </c>
      <c r="E83" s="1120">
        <v>805401883.48000002</v>
      </c>
      <c r="F83" s="1120">
        <v>5503702708.6100006</v>
      </c>
      <c r="G83" s="1120">
        <v>2286042052.0300002</v>
      </c>
      <c r="H83" s="1120">
        <v>1133087097.1400001</v>
      </c>
      <c r="I83" s="1120">
        <v>1515768066.8400002</v>
      </c>
      <c r="J83" s="1120">
        <v>244462304.34</v>
      </c>
      <c r="K83" s="1120">
        <v>372715446.16000003</v>
      </c>
      <c r="L83" s="1120">
        <v>195800867.90000001</v>
      </c>
      <c r="M83" s="236">
        <f t="shared" si="13"/>
        <v>12395862531.059999</v>
      </c>
    </row>
    <row r="84" spans="1:13">
      <c r="A84" s="600">
        <f t="shared" si="14"/>
        <v>39</v>
      </c>
      <c r="B84" s="768" t="s">
        <v>2482</v>
      </c>
      <c r="C84" s="537">
        <v>129492827.86</v>
      </c>
      <c r="D84" s="537">
        <v>209426561.17000002</v>
      </c>
      <c r="E84" s="1120">
        <v>812167139.08000004</v>
      </c>
      <c r="F84" s="1120">
        <v>5524691107.1199989</v>
      </c>
      <c r="G84" s="1120">
        <v>2291044950.3899999</v>
      </c>
      <c r="H84" s="1120">
        <v>1143622430.5599999</v>
      </c>
      <c r="I84" s="1120">
        <v>1513544439.74</v>
      </c>
      <c r="J84" s="1120">
        <v>252813477.84</v>
      </c>
      <c r="K84" s="1120">
        <v>368838527.86000001</v>
      </c>
      <c r="L84" s="1120">
        <v>196000837.64000002</v>
      </c>
      <c r="M84" s="372">
        <f t="shared" si="13"/>
        <v>12441642299.259998</v>
      </c>
    </row>
    <row r="85" spans="1:13">
      <c r="A85" s="600">
        <f t="shared" si="14"/>
        <v>40</v>
      </c>
      <c r="B85" s="767" t="s">
        <v>2483</v>
      </c>
      <c r="C85" s="1264">
        <v>129517154.03999999</v>
      </c>
      <c r="D85" s="1264">
        <v>209428812.59999999</v>
      </c>
      <c r="E85" s="517">
        <f>'7-PlantStudy'!C10</f>
        <v>825778508</v>
      </c>
      <c r="F85" s="517">
        <f>'7-PlantStudy'!C11</f>
        <v>5586246880</v>
      </c>
      <c r="G85" s="517">
        <f>'7-PlantStudy'!C20</f>
        <v>2305498226</v>
      </c>
      <c r="H85" s="517">
        <f>'7-PlantStudy'!C21</f>
        <v>1158164968</v>
      </c>
      <c r="I85" s="517">
        <f>'7-PlantStudy'!C22</f>
        <v>1499811260</v>
      </c>
      <c r="J85" s="517">
        <f>'7-PlantStudy'!C23</f>
        <v>253220290</v>
      </c>
      <c r="K85" s="517">
        <f>'7-PlantStudy'!C24</f>
        <v>368734329</v>
      </c>
      <c r="L85" s="517">
        <f>'7-PlantStudy'!C25</f>
        <v>200535234</v>
      </c>
      <c r="M85" s="236">
        <f>SUM(C85:L85)</f>
        <v>12536935661.639999</v>
      </c>
    </row>
    <row r="87" spans="1:13">
      <c r="B87" s="44" t="s">
        <v>2531</v>
      </c>
      <c r="C87" s="14"/>
      <c r="D87" s="14"/>
      <c r="E87" s="14"/>
    </row>
    <row r="88" spans="1:13">
      <c r="B88" s="14"/>
      <c r="C88" s="14"/>
      <c r="D88" s="14"/>
    </row>
    <row r="89" spans="1:13">
      <c r="A89" s="416"/>
      <c r="B89" s="363" t="s">
        <v>363</v>
      </c>
      <c r="C89" s="363" t="s">
        <v>347</v>
      </c>
      <c r="D89" s="363" t="s">
        <v>348</v>
      </c>
      <c r="E89" s="84" t="s">
        <v>349</v>
      </c>
      <c r="F89" s="84" t="s">
        <v>350</v>
      </c>
      <c r="G89" s="84" t="s">
        <v>351</v>
      </c>
      <c r="H89" s="84" t="s">
        <v>352</v>
      </c>
      <c r="I89" s="84" t="s">
        <v>544</v>
      </c>
      <c r="J89" s="84" t="s">
        <v>961</v>
      </c>
      <c r="K89" s="84" t="s">
        <v>974</v>
      </c>
      <c r="L89" s="84" t="s">
        <v>977</v>
      </c>
      <c r="M89" s="84" t="s">
        <v>995</v>
      </c>
    </row>
    <row r="90" spans="1:13">
      <c r="A90" s="234"/>
      <c r="B90" s="478"/>
      <c r="C90" s="243"/>
      <c r="D90" s="243"/>
      <c r="E90" s="234"/>
      <c r="F90" s="234"/>
      <c r="G90" s="234"/>
      <c r="H90" s="234"/>
      <c r="I90" s="234"/>
      <c r="J90" s="234"/>
      <c r="K90" s="234"/>
      <c r="M90" s="251" t="s">
        <v>1238</v>
      </c>
    </row>
    <row r="91" spans="1:13">
      <c r="A91" s="51"/>
      <c r="B91" s="125" t="s">
        <v>1782</v>
      </c>
      <c r="C91" s="363">
        <v>350.1</v>
      </c>
      <c r="D91" s="363">
        <v>350.2</v>
      </c>
      <c r="E91" s="84">
        <v>352</v>
      </c>
      <c r="F91" s="84">
        <v>353</v>
      </c>
      <c r="G91" s="84">
        <v>354</v>
      </c>
      <c r="H91" s="84">
        <v>355</v>
      </c>
      <c r="I91" s="84">
        <v>356</v>
      </c>
      <c r="J91" s="84">
        <v>357</v>
      </c>
      <c r="K91" s="84">
        <v>358</v>
      </c>
      <c r="L91" s="84">
        <v>359</v>
      </c>
      <c r="M91" s="3" t="s">
        <v>196</v>
      </c>
    </row>
    <row r="92" spans="1:13">
      <c r="A92" s="600">
        <f>A85+1</f>
        <v>41</v>
      </c>
      <c r="B92" s="768" t="s">
        <v>2472</v>
      </c>
      <c r="C92" s="517">
        <f>C74-C73</f>
        <v>-1616115.0899999887</v>
      </c>
      <c r="D92" s="517">
        <f>D74-D73</f>
        <v>21088.909999996424</v>
      </c>
      <c r="E92" s="517">
        <f t="shared" ref="E92:L92" si="15">E74-E73</f>
        <v>16509108.519999981</v>
      </c>
      <c r="F92" s="517">
        <f t="shared" si="15"/>
        <v>13622374.540000916</v>
      </c>
      <c r="G92" s="517">
        <f t="shared" si="15"/>
        <v>7105316.6500000954</v>
      </c>
      <c r="H92" s="517">
        <f t="shared" si="15"/>
        <v>10706735.98999989</v>
      </c>
      <c r="I92" s="517">
        <f t="shared" si="15"/>
        <v>8816322.5700001717</v>
      </c>
      <c r="J92" s="517">
        <f t="shared" si="15"/>
        <v>938442.97000000626</v>
      </c>
      <c r="K92" s="517">
        <f t="shared" si="15"/>
        <v>1701955.1899999976</v>
      </c>
      <c r="L92" s="517">
        <f t="shared" si="15"/>
        <v>230848</v>
      </c>
      <c r="M92" s="236">
        <f t="shared" ref="M92:M103" si="16">SUM(C92:L92)</f>
        <v>58036078.250001065</v>
      </c>
    </row>
    <row r="93" spans="1:13">
      <c r="A93" s="600">
        <f t="shared" ref="A93:A104" si="17">A92+1</f>
        <v>42</v>
      </c>
      <c r="B93" s="767" t="s">
        <v>2473</v>
      </c>
      <c r="C93" s="517">
        <f t="shared" ref="C93:L103" si="18">C75-C74</f>
        <v>-1085.8700000047684</v>
      </c>
      <c r="D93" s="517">
        <f t="shared" si="18"/>
        <v>-4135.8000000119209</v>
      </c>
      <c r="E93" s="517">
        <f t="shared" si="18"/>
        <v>-6131852.0499999523</v>
      </c>
      <c r="F93" s="517">
        <f t="shared" si="18"/>
        <v>23249855.599999428</v>
      </c>
      <c r="G93" s="517">
        <f t="shared" si="18"/>
        <v>2203121.4200000763</v>
      </c>
      <c r="H93" s="517">
        <f t="shared" si="18"/>
        <v>10870938.51000011</v>
      </c>
      <c r="I93" s="517">
        <f t="shared" si="18"/>
        <v>1086600.8199999332</v>
      </c>
      <c r="J93" s="517">
        <f t="shared" si="18"/>
        <v>-24970.270000003278</v>
      </c>
      <c r="K93" s="517">
        <f t="shared" si="18"/>
        <v>103305.32000005245</v>
      </c>
      <c r="L93" s="517">
        <f t="shared" si="18"/>
        <v>304747.8599999845</v>
      </c>
      <c r="M93" s="236">
        <f t="shared" si="16"/>
        <v>31656525.539999612</v>
      </c>
    </row>
    <row r="94" spans="1:13">
      <c r="A94" s="600">
        <f t="shared" si="17"/>
        <v>43</v>
      </c>
      <c r="B94" s="767" t="s">
        <v>2474</v>
      </c>
      <c r="C94" s="517">
        <f t="shared" si="18"/>
        <v>9933997.5699999928</v>
      </c>
      <c r="D94" s="517">
        <f t="shared" si="18"/>
        <v>82797.480000019073</v>
      </c>
      <c r="E94" s="517">
        <f t="shared" si="18"/>
        <v>14032186.529999852</v>
      </c>
      <c r="F94" s="517">
        <f t="shared" si="18"/>
        <v>30194225.859998703</v>
      </c>
      <c r="G94" s="517">
        <f t="shared" si="18"/>
        <v>1257328.3500003815</v>
      </c>
      <c r="H94" s="517">
        <f t="shared" si="18"/>
        <v>25150862.699999928</v>
      </c>
      <c r="I94" s="517">
        <f t="shared" si="18"/>
        <v>9930133.4799997807</v>
      </c>
      <c r="J94" s="517">
        <f t="shared" si="18"/>
        <v>27210.070000000298</v>
      </c>
      <c r="K94" s="517">
        <f t="shared" si="18"/>
        <v>1421894.9099999666</v>
      </c>
      <c r="L94" s="517">
        <f t="shared" si="18"/>
        <v>8994215.4300000072</v>
      </c>
      <c r="M94" s="236">
        <f t="shared" si="16"/>
        <v>101024852.37999862</v>
      </c>
    </row>
    <row r="95" spans="1:13">
      <c r="A95" s="600">
        <f t="shared" si="17"/>
        <v>44</v>
      </c>
      <c r="B95" s="768" t="s">
        <v>2475</v>
      </c>
      <c r="C95" s="517">
        <f t="shared" si="18"/>
        <v>10154.260000005364</v>
      </c>
      <c r="D95" s="517">
        <f t="shared" si="18"/>
        <v>45961.920000016689</v>
      </c>
      <c r="E95" s="517">
        <f t="shared" si="18"/>
        <v>36561502.870000005</v>
      </c>
      <c r="F95" s="517">
        <f t="shared" si="18"/>
        <v>19937830.550000191</v>
      </c>
      <c r="G95" s="517">
        <f t="shared" si="18"/>
        <v>523230.51999950409</v>
      </c>
      <c r="H95" s="517">
        <f t="shared" si="18"/>
        <v>13223622.820000052</v>
      </c>
      <c r="I95" s="517">
        <f t="shared" si="18"/>
        <v>343204.25999999046</v>
      </c>
      <c r="J95" s="517">
        <f t="shared" si="18"/>
        <v>2327052.7299999967</v>
      </c>
      <c r="K95" s="517">
        <f t="shared" si="18"/>
        <v>9963639.4600000381</v>
      </c>
      <c r="L95" s="517">
        <f t="shared" si="18"/>
        <v>699508.53000000119</v>
      </c>
      <c r="M95" s="236">
        <f t="shared" si="16"/>
        <v>83635707.919999808</v>
      </c>
    </row>
    <row r="96" spans="1:13">
      <c r="A96" s="600">
        <f t="shared" si="17"/>
        <v>45</v>
      </c>
      <c r="B96" s="767" t="s">
        <v>2476</v>
      </c>
      <c r="C96" s="517">
        <f t="shared" si="18"/>
        <v>8352.6299999952316</v>
      </c>
      <c r="D96" s="517">
        <f t="shared" si="18"/>
        <v>8957.7999999821186</v>
      </c>
      <c r="E96" s="517">
        <f t="shared" si="18"/>
        <v>1116903.2099997997</v>
      </c>
      <c r="F96" s="517">
        <f t="shared" si="18"/>
        <v>2255073.8300008774</v>
      </c>
      <c r="G96" s="517">
        <f t="shared" si="18"/>
        <v>3687880.509999752</v>
      </c>
      <c r="H96" s="517">
        <f t="shared" si="18"/>
        <v>8660482.1999999285</v>
      </c>
      <c r="I96" s="517">
        <f t="shared" si="18"/>
        <v>692271.42999982834</v>
      </c>
      <c r="J96" s="517">
        <f t="shared" si="18"/>
        <v>240023.78000000119</v>
      </c>
      <c r="K96" s="517">
        <f t="shared" si="18"/>
        <v>1939123.8499999642</v>
      </c>
      <c r="L96" s="517">
        <f t="shared" si="18"/>
        <v>1165179.2299999893</v>
      </c>
      <c r="M96" s="236">
        <f t="shared" si="16"/>
        <v>19774248.470000118</v>
      </c>
    </row>
    <row r="97" spans="1:13">
      <c r="A97" s="600">
        <f t="shared" si="17"/>
        <v>46</v>
      </c>
      <c r="B97" s="767" t="s">
        <v>2477</v>
      </c>
      <c r="C97" s="517">
        <f t="shared" si="18"/>
        <v>-521704.04999999702</v>
      </c>
      <c r="D97" s="517">
        <f t="shared" si="18"/>
        <v>-405605.62000003457</v>
      </c>
      <c r="E97" s="517">
        <f t="shared" si="18"/>
        <v>9431414.2700002193</v>
      </c>
      <c r="F97" s="517">
        <f t="shared" si="18"/>
        <v>49945066.599999428</v>
      </c>
      <c r="G97" s="517">
        <f t="shared" si="18"/>
        <v>-19249957.25</v>
      </c>
      <c r="H97" s="517">
        <f t="shared" si="18"/>
        <v>17906003.130000114</v>
      </c>
      <c r="I97" s="517">
        <f t="shared" si="18"/>
        <v>2166187.7000005245</v>
      </c>
      <c r="J97" s="517">
        <f t="shared" si="18"/>
        <v>3250928.5500000045</v>
      </c>
      <c r="K97" s="517">
        <f t="shared" si="18"/>
        <v>24254225.390000045</v>
      </c>
      <c r="L97" s="517">
        <f t="shared" si="18"/>
        <v>3309862.3599999845</v>
      </c>
      <c r="M97" s="236">
        <f t="shared" si="16"/>
        <v>90086421.080000281</v>
      </c>
    </row>
    <row r="98" spans="1:13">
      <c r="A98" s="600">
        <f t="shared" si="17"/>
        <v>47</v>
      </c>
      <c r="B98" s="768" t="s">
        <v>2478</v>
      </c>
      <c r="C98" s="517">
        <f t="shared" si="18"/>
        <v>3784.2300000041723</v>
      </c>
      <c r="D98" s="517">
        <f t="shared" si="18"/>
        <v>7647.210000038147</v>
      </c>
      <c r="E98" s="517">
        <f t="shared" si="18"/>
        <v>11806969.5200001</v>
      </c>
      <c r="F98" s="517">
        <f t="shared" si="18"/>
        <v>85469418.990000725</v>
      </c>
      <c r="G98" s="517">
        <f t="shared" si="18"/>
        <v>-120947.0999994278</v>
      </c>
      <c r="H98" s="517">
        <f t="shared" si="18"/>
        <v>7925200.9400000572</v>
      </c>
      <c r="I98" s="517">
        <f t="shared" si="18"/>
        <v>-507970.2000002861</v>
      </c>
      <c r="J98" s="517">
        <f t="shared" si="18"/>
        <v>608006.78000000119</v>
      </c>
      <c r="K98" s="517">
        <f t="shared" si="18"/>
        <v>995354.18999999762</v>
      </c>
      <c r="L98" s="517">
        <f t="shared" si="18"/>
        <v>523200.02000004053</v>
      </c>
      <c r="M98" s="236">
        <f t="shared" si="16"/>
        <v>106710664.58000125</v>
      </c>
    </row>
    <row r="99" spans="1:13">
      <c r="A99" s="600">
        <f t="shared" si="17"/>
        <v>48</v>
      </c>
      <c r="B99" s="767" t="s">
        <v>2479</v>
      </c>
      <c r="C99" s="517">
        <f t="shared" si="18"/>
        <v>-3065.2199999988079</v>
      </c>
      <c r="D99" s="517">
        <f t="shared" si="18"/>
        <v>19834.259999990463</v>
      </c>
      <c r="E99" s="517">
        <f t="shared" si="18"/>
        <v>-825893.71000015736</v>
      </c>
      <c r="F99" s="517">
        <f t="shared" si="18"/>
        <v>472729.54999923706</v>
      </c>
      <c r="G99" s="517">
        <f t="shared" si="18"/>
        <v>20517537.75</v>
      </c>
      <c r="H99" s="517">
        <f t="shared" si="18"/>
        <v>10119718.690000057</v>
      </c>
      <c r="I99" s="517">
        <f t="shared" si="18"/>
        <v>-5524589.0100002289</v>
      </c>
      <c r="J99" s="517">
        <f t="shared" si="18"/>
        <v>662021.8900000006</v>
      </c>
      <c r="K99" s="517">
        <f t="shared" si="18"/>
        <v>-1129298.0100000501</v>
      </c>
      <c r="L99" s="517">
        <f t="shared" si="18"/>
        <v>-14009677.75999999</v>
      </c>
      <c r="M99" s="236">
        <f t="shared" si="16"/>
        <v>10299318.42999886</v>
      </c>
    </row>
    <row r="100" spans="1:13">
      <c r="A100" s="600">
        <f t="shared" si="17"/>
        <v>49</v>
      </c>
      <c r="B100" s="767" t="s">
        <v>2480</v>
      </c>
      <c r="C100" s="517">
        <f t="shared" si="18"/>
        <v>13904.509999990463</v>
      </c>
      <c r="D100" s="517">
        <f t="shared" si="18"/>
        <v>2729136.6100000143</v>
      </c>
      <c r="E100" s="517">
        <f t="shared" si="18"/>
        <v>2183477.8999999762</v>
      </c>
      <c r="F100" s="517">
        <f t="shared" si="18"/>
        <v>5988416.970000267</v>
      </c>
      <c r="G100" s="517">
        <f t="shared" si="18"/>
        <v>1246024.8299999237</v>
      </c>
      <c r="H100" s="517">
        <f t="shared" si="18"/>
        <v>10505216.670000076</v>
      </c>
      <c r="I100" s="517">
        <f t="shared" si="18"/>
        <v>9122890.6600000858</v>
      </c>
      <c r="J100" s="517">
        <f t="shared" si="18"/>
        <v>179139285.69</v>
      </c>
      <c r="K100" s="517">
        <f t="shared" si="18"/>
        <v>62761244</v>
      </c>
      <c r="L100" s="517">
        <f t="shared" si="18"/>
        <v>-13869.050000041723</v>
      </c>
      <c r="M100" s="236">
        <f t="shared" si="16"/>
        <v>273675728.79000032</v>
      </c>
    </row>
    <row r="101" spans="1:13">
      <c r="A101" s="600">
        <f t="shared" si="17"/>
        <v>50</v>
      </c>
      <c r="B101" s="768" t="s">
        <v>2481</v>
      </c>
      <c r="C101" s="517">
        <f t="shared" si="18"/>
        <v>-800.61999998986721</v>
      </c>
      <c r="D101" s="517">
        <f t="shared" si="18"/>
        <v>118271.71999996901</v>
      </c>
      <c r="E101" s="517">
        <f t="shared" si="18"/>
        <v>33890662.600000024</v>
      </c>
      <c r="F101" s="517">
        <f t="shared" si="18"/>
        <v>24855909.080000877</v>
      </c>
      <c r="G101" s="517">
        <f t="shared" si="18"/>
        <v>8899690.7100000381</v>
      </c>
      <c r="H101" s="517">
        <f t="shared" si="18"/>
        <v>9450956.1599998474</v>
      </c>
      <c r="I101" s="517">
        <f t="shared" si="18"/>
        <v>7535391.4100003242</v>
      </c>
      <c r="J101" s="517">
        <f t="shared" si="18"/>
        <v>-3792760.2199999988</v>
      </c>
      <c r="K101" s="517">
        <f t="shared" si="18"/>
        <v>2091679.2700000405</v>
      </c>
      <c r="L101" s="517">
        <f t="shared" si="18"/>
        <v>578812.67000001669</v>
      </c>
      <c r="M101" s="236">
        <f t="shared" si="16"/>
        <v>83627812.780001149</v>
      </c>
    </row>
    <row r="102" spans="1:13">
      <c r="A102" s="600">
        <f t="shared" si="17"/>
        <v>51</v>
      </c>
      <c r="B102" s="768" t="s">
        <v>2482</v>
      </c>
      <c r="C102" s="517">
        <f t="shared" si="18"/>
        <v>7473.75</v>
      </c>
      <c r="D102" s="517">
        <f t="shared" si="18"/>
        <v>29810.72000002861</v>
      </c>
      <c r="E102" s="517">
        <f t="shared" si="18"/>
        <v>6765255.6000000238</v>
      </c>
      <c r="F102" s="517">
        <f t="shared" si="18"/>
        <v>20988398.509998322</v>
      </c>
      <c r="G102" s="517">
        <f t="shared" si="18"/>
        <v>5002898.3599996567</v>
      </c>
      <c r="H102" s="517">
        <f t="shared" si="18"/>
        <v>10535333.419999838</v>
      </c>
      <c r="I102" s="517">
        <f t="shared" si="18"/>
        <v>-2223627.1000001431</v>
      </c>
      <c r="J102" s="517">
        <f t="shared" si="18"/>
        <v>8351173.5</v>
      </c>
      <c r="K102" s="517">
        <f t="shared" si="18"/>
        <v>-3876918.3000000119</v>
      </c>
      <c r="L102" s="517">
        <f t="shared" si="18"/>
        <v>199969.74000000954</v>
      </c>
      <c r="M102" s="236">
        <f t="shared" si="16"/>
        <v>45779768.199997723</v>
      </c>
    </row>
    <row r="103" spans="1:13">
      <c r="A103" s="600">
        <f t="shared" si="17"/>
        <v>52</v>
      </c>
      <c r="B103" s="767" t="s">
        <v>2483</v>
      </c>
      <c r="C103" s="517">
        <f t="shared" si="18"/>
        <v>24326.179999992251</v>
      </c>
      <c r="D103" s="517">
        <f t="shared" si="18"/>
        <v>2251.4299999773502</v>
      </c>
      <c r="E103" s="517">
        <f t="shared" si="18"/>
        <v>13611368.919999957</v>
      </c>
      <c r="F103" s="517">
        <f t="shared" si="18"/>
        <v>61555772.880001068</v>
      </c>
      <c r="G103" s="517">
        <f t="shared" si="18"/>
        <v>14453275.610000134</v>
      </c>
      <c r="H103" s="517">
        <f t="shared" si="18"/>
        <v>14542537.440000057</v>
      </c>
      <c r="I103" s="517">
        <f t="shared" si="18"/>
        <v>-13733179.74000001</v>
      </c>
      <c r="J103" s="517">
        <f t="shared" si="18"/>
        <v>406812.15999999642</v>
      </c>
      <c r="K103" s="517">
        <f t="shared" si="18"/>
        <v>-104198.86000001431</v>
      </c>
      <c r="L103" s="517">
        <f t="shared" si="18"/>
        <v>4534396.3599999845</v>
      </c>
      <c r="M103" s="372">
        <f t="shared" si="16"/>
        <v>95293362.380001143</v>
      </c>
    </row>
    <row r="104" spans="1:13">
      <c r="A104" s="600">
        <f t="shared" si="17"/>
        <v>53</v>
      </c>
      <c r="B104" s="1241" t="s">
        <v>4</v>
      </c>
      <c r="C104" s="236">
        <f>SUM(C92:C103)</f>
        <v>7859222.2800000012</v>
      </c>
      <c r="D104" s="236">
        <f t="shared" ref="D104:L104" si="19">SUM(D92:D103)</f>
        <v>2656016.6399999857</v>
      </c>
      <c r="E104" s="236">
        <f t="shared" si="19"/>
        <v>138951104.17999983</v>
      </c>
      <c r="F104" s="236">
        <f t="shared" si="19"/>
        <v>338535072.96000004</v>
      </c>
      <c r="G104" s="236">
        <f t="shared" si="19"/>
        <v>45525400.360000134</v>
      </c>
      <c r="H104" s="236">
        <f t="shared" si="19"/>
        <v>149597608.66999996</v>
      </c>
      <c r="I104" s="236">
        <f t="shared" si="19"/>
        <v>17703636.279999971</v>
      </c>
      <c r="J104" s="236">
        <f t="shared" si="19"/>
        <v>192133227.63</v>
      </c>
      <c r="K104" s="236">
        <f t="shared" si="19"/>
        <v>100122006.41000003</v>
      </c>
      <c r="L104" s="236">
        <f t="shared" si="19"/>
        <v>6517193.3899999857</v>
      </c>
      <c r="M104" s="236">
        <f>SUM(C104:L104)</f>
        <v>999600488.79999983</v>
      </c>
    </row>
    <row r="105" spans="1:13">
      <c r="A105" s="600"/>
      <c r="B105" s="1241"/>
      <c r="C105" s="236"/>
      <c r="D105" s="236"/>
      <c r="E105" s="236"/>
      <c r="F105" s="236"/>
      <c r="G105" s="236"/>
      <c r="H105" s="236"/>
      <c r="I105" s="236"/>
      <c r="J105" s="236"/>
      <c r="K105" s="236"/>
      <c r="L105" s="236"/>
      <c r="M105" s="236"/>
    </row>
    <row r="106" spans="1:13">
      <c r="B106" s="44" t="s">
        <v>2532</v>
      </c>
      <c r="C106" s="14"/>
      <c r="D106" s="14"/>
      <c r="E106" s="14"/>
    </row>
    <row r="107" spans="1:13">
      <c r="B107" s="14"/>
      <c r="C107" s="14"/>
      <c r="D107" s="14"/>
    </row>
    <row r="108" spans="1:13">
      <c r="A108" s="416"/>
      <c r="B108" s="363" t="s">
        <v>363</v>
      </c>
      <c r="C108" s="363" t="s">
        <v>347</v>
      </c>
      <c r="D108" s="363" t="s">
        <v>348</v>
      </c>
      <c r="E108" s="84" t="s">
        <v>349</v>
      </c>
      <c r="F108" s="84" t="s">
        <v>350</v>
      </c>
      <c r="G108" s="84" t="s">
        <v>351</v>
      </c>
      <c r="H108" s="84" t="s">
        <v>352</v>
      </c>
      <c r="I108" s="84" t="s">
        <v>544</v>
      </c>
      <c r="J108" s="84" t="s">
        <v>961</v>
      </c>
      <c r="K108" s="84" t="s">
        <v>974</v>
      </c>
      <c r="L108" s="84" t="s">
        <v>977</v>
      </c>
      <c r="M108" s="84" t="s">
        <v>995</v>
      </c>
    </row>
    <row r="109" spans="1:13">
      <c r="A109" s="234"/>
      <c r="B109" s="478"/>
      <c r="C109" s="243"/>
      <c r="D109" s="243"/>
      <c r="E109" s="234"/>
      <c r="F109" s="234"/>
      <c r="G109" s="234"/>
      <c r="H109" s="234"/>
      <c r="I109" s="234"/>
      <c r="J109" s="234"/>
      <c r="K109" s="234"/>
      <c r="M109" s="251" t="s">
        <v>1238</v>
      </c>
    </row>
    <row r="110" spans="1:13">
      <c r="A110" s="51"/>
      <c r="B110" s="125" t="s">
        <v>1782</v>
      </c>
      <c r="C110" s="363">
        <v>350.1</v>
      </c>
      <c r="D110" s="363">
        <v>350.2</v>
      </c>
      <c r="E110" s="84">
        <v>352</v>
      </c>
      <c r="F110" s="84">
        <v>353</v>
      </c>
      <c r="G110" s="84">
        <v>354</v>
      </c>
      <c r="H110" s="84">
        <v>355</v>
      </c>
      <c r="I110" s="84">
        <v>356</v>
      </c>
      <c r="J110" s="84">
        <v>357</v>
      </c>
      <c r="K110" s="84">
        <v>358</v>
      </c>
      <c r="L110" s="84">
        <v>359</v>
      </c>
      <c r="M110" s="3" t="s">
        <v>196</v>
      </c>
    </row>
    <row r="111" spans="1:13">
      <c r="A111" s="600">
        <f>A104+1</f>
        <v>54</v>
      </c>
      <c r="B111" s="1072" t="s">
        <v>2471</v>
      </c>
      <c r="C111" s="1262">
        <v>9194806.9400000013</v>
      </c>
      <c r="D111" s="1262">
        <v>94260653.49000001</v>
      </c>
      <c r="E111" s="1262">
        <v>264762213.59285629</v>
      </c>
      <c r="F111" s="1262">
        <v>1088156185.9547434</v>
      </c>
      <c r="G111" s="1262">
        <v>1705207063.9718261</v>
      </c>
      <c r="H111" s="1262">
        <v>149246224.34000003</v>
      </c>
      <c r="I111" s="1262">
        <v>827237631.93719709</v>
      </c>
      <c r="J111" s="1262">
        <v>0</v>
      </c>
      <c r="K111" s="1262">
        <v>11017486.739999998</v>
      </c>
      <c r="L111" s="1262">
        <v>147473890.09059188</v>
      </c>
      <c r="M111" s="1256">
        <f>SUM(C111:L111)</f>
        <v>4296556157.0572147</v>
      </c>
    </row>
    <row r="112" spans="1:13">
      <c r="A112" s="600">
        <f t="shared" ref="A112:A123" si="20">A111+1</f>
        <v>55</v>
      </c>
      <c r="B112" s="768" t="s">
        <v>2472</v>
      </c>
      <c r="C112" s="1262">
        <v>9194806.9400000013</v>
      </c>
      <c r="D112" s="1262">
        <v>94260653.49000001</v>
      </c>
      <c r="E112" s="1262">
        <v>264864093.25285631</v>
      </c>
      <c r="F112" s="1262">
        <v>1088146837.1347432</v>
      </c>
      <c r="G112" s="1262">
        <v>1706416313.6318264</v>
      </c>
      <c r="H112" s="1262">
        <v>150319160.80000001</v>
      </c>
      <c r="I112" s="1262">
        <v>826634498.65719712</v>
      </c>
      <c r="J112" s="1262">
        <v>0</v>
      </c>
      <c r="K112" s="1262">
        <v>11017486.739999998</v>
      </c>
      <c r="L112" s="1262">
        <v>147748674.61059186</v>
      </c>
      <c r="M112" s="1256">
        <f t="shared" ref="M112:M123" si="21">SUM(C112:L112)</f>
        <v>4298602525.2572145</v>
      </c>
    </row>
    <row r="113" spans="1:13">
      <c r="A113" s="600">
        <f t="shared" si="20"/>
        <v>56</v>
      </c>
      <c r="B113" s="767" t="s">
        <v>2473</v>
      </c>
      <c r="C113" s="1262">
        <v>9194806.9400000013</v>
      </c>
      <c r="D113" s="1262">
        <v>94260653.49000001</v>
      </c>
      <c r="E113" s="1262">
        <v>256232588.64285633</v>
      </c>
      <c r="F113" s="1262">
        <v>1104668932.9547431</v>
      </c>
      <c r="G113" s="1262">
        <v>1708608304.5518262</v>
      </c>
      <c r="H113" s="1262">
        <v>150648404.34</v>
      </c>
      <c r="I113" s="1262">
        <v>827487096.73719716</v>
      </c>
      <c r="J113" s="1262">
        <v>0</v>
      </c>
      <c r="K113" s="1262">
        <v>11017486.739999998</v>
      </c>
      <c r="L113" s="1262">
        <v>148047918.22059187</v>
      </c>
      <c r="M113" s="1256">
        <f t="shared" si="21"/>
        <v>4310166192.6172142</v>
      </c>
    </row>
    <row r="114" spans="1:13">
      <c r="A114" s="600">
        <f t="shared" si="20"/>
        <v>57</v>
      </c>
      <c r="B114" s="767" t="s">
        <v>2474</v>
      </c>
      <c r="C114" s="1262">
        <v>19126978.300000004</v>
      </c>
      <c r="D114" s="1262">
        <v>94260653.49000001</v>
      </c>
      <c r="E114" s="1262">
        <v>256234668.32285631</v>
      </c>
      <c r="F114" s="1262">
        <v>1104729831.0347433</v>
      </c>
      <c r="G114" s="1262">
        <v>1709163792.7318263</v>
      </c>
      <c r="H114" s="1262">
        <v>150803662.02000001</v>
      </c>
      <c r="I114" s="1262">
        <v>827806071.6971972</v>
      </c>
      <c r="J114" s="1262">
        <v>0</v>
      </c>
      <c r="K114" s="1262">
        <v>11017486.739999998</v>
      </c>
      <c r="L114" s="1262">
        <v>148222875.88059187</v>
      </c>
      <c r="M114" s="1256">
        <f t="shared" si="21"/>
        <v>4321366020.2172146</v>
      </c>
    </row>
    <row r="115" spans="1:13">
      <c r="A115" s="600">
        <f t="shared" si="20"/>
        <v>58</v>
      </c>
      <c r="B115" s="768" t="s">
        <v>2475</v>
      </c>
      <c r="C115" s="1262">
        <v>19138134.570000004</v>
      </c>
      <c r="D115" s="1262">
        <v>94301613.180000007</v>
      </c>
      <c r="E115" s="1262">
        <v>254203939.15285632</v>
      </c>
      <c r="F115" s="1262">
        <v>1107193320.4047434</v>
      </c>
      <c r="G115" s="1262">
        <v>1710950860.8118262</v>
      </c>
      <c r="H115" s="1262">
        <v>151031591.79000002</v>
      </c>
      <c r="I115" s="1262">
        <v>828384681.91719711</v>
      </c>
      <c r="J115" s="1262">
        <v>0</v>
      </c>
      <c r="K115" s="1262">
        <v>12711354.659999998</v>
      </c>
      <c r="L115" s="1262">
        <v>148502541.19059187</v>
      </c>
      <c r="M115" s="1256">
        <f t="shared" si="21"/>
        <v>4326418037.6772146</v>
      </c>
    </row>
    <row r="116" spans="1:13">
      <c r="A116" s="600">
        <f t="shared" si="20"/>
        <v>59</v>
      </c>
      <c r="B116" s="767" t="s">
        <v>2476</v>
      </c>
      <c r="C116" s="1262">
        <v>19145486.310000002</v>
      </c>
      <c r="D116" s="1262">
        <v>94302070.180000007</v>
      </c>
      <c r="E116" s="1262">
        <v>254149357.29285634</v>
      </c>
      <c r="F116" s="1262">
        <v>1107031366.2647433</v>
      </c>
      <c r="G116" s="1262">
        <v>1711875468.9618261</v>
      </c>
      <c r="H116" s="1262">
        <v>151142645.62</v>
      </c>
      <c r="I116" s="1262">
        <v>828600329.36719716</v>
      </c>
      <c r="J116" s="1262">
        <v>0</v>
      </c>
      <c r="K116" s="1262">
        <v>13055404.519999998</v>
      </c>
      <c r="L116" s="1262">
        <v>148657277.46059185</v>
      </c>
      <c r="M116" s="1256">
        <f t="shared" si="21"/>
        <v>4327959405.9772148</v>
      </c>
    </row>
    <row r="117" spans="1:13">
      <c r="A117" s="600">
        <f t="shared" si="20"/>
        <v>60</v>
      </c>
      <c r="B117" s="767" t="s">
        <v>2477</v>
      </c>
      <c r="C117" s="1262">
        <v>18622453.039999999</v>
      </c>
      <c r="D117" s="1262">
        <v>94832890.770000011</v>
      </c>
      <c r="E117" s="1262">
        <v>254220415.57285631</v>
      </c>
      <c r="F117" s="1262">
        <v>1106925903.2347434</v>
      </c>
      <c r="G117" s="1262">
        <v>1714309220.041826</v>
      </c>
      <c r="H117" s="1262">
        <v>150694466.38000003</v>
      </c>
      <c r="I117" s="1262">
        <v>829118041.80719709</v>
      </c>
      <c r="J117" s="1262">
        <v>0</v>
      </c>
      <c r="K117" s="1262">
        <v>13056703.109999998</v>
      </c>
      <c r="L117" s="1262">
        <v>149026056.27059186</v>
      </c>
      <c r="M117" s="1256">
        <f t="shared" si="21"/>
        <v>4330806150.2272148</v>
      </c>
    </row>
    <row r="118" spans="1:13">
      <c r="A118" s="600">
        <f t="shared" si="20"/>
        <v>61</v>
      </c>
      <c r="B118" s="768" t="s">
        <v>2478</v>
      </c>
      <c r="C118" s="1262">
        <v>18631953.119999997</v>
      </c>
      <c r="D118" s="1262">
        <v>94836423.190000013</v>
      </c>
      <c r="E118" s="1262">
        <v>254225246.81285632</v>
      </c>
      <c r="F118" s="1262">
        <v>1106967423.2047434</v>
      </c>
      <c r="G118" s="1262">
        <v>1714807545.2418261</v>
      </c>
      <c r="H118" s="1262">
        <v>150790284.06999999</v>
      </c>
      <c r="I118" s="1262">
        <v>829408573.41719711</v>
      </c>
      <c r="J118" s="1262">
        <v>0</v>
      </c>
      <c r="K118" s="1262">
        <v>13057296.609999998</v>
      </c>
      <c r="L118" s="1262">
        <v>149196042.21059188</v>
      </c>
      <c r="M118" s="1256">
        <f t="shared" si="21"/>
        <v>4331920787.8772154</v>
      </c>
    </row>
    <row r="119" spans="1:13">
      <c r="A119" s="600">
        <f t="shared" si="20"/>
        <v>62</v>
      </c>
      <c r="B119" s="767" t="s">
        <v>2479</v>
      </c>
      <c r="C119" s="1262">
        <v>18630682.509999998</v>
      </c>
      <c r="D119" s="1262">
        <v>94838079.660000011</v>
      </c>
      <c r="E119" s="1262">
        <v>254478811.42285633</v>
      </c>
      <c r="F119" s="1262">
        <v>1106795159.5447433</v>
      </c>
      <c r="G119" s="1262">
        <v>1733998073.601826</v>
      </c>
      <c r="H119" s="1262">
        <v>150612214.44</v>
      </c>
      <c r="I119" s="1262">
        <v>823462506.18719709</v>
      </c>
      <c r="J119" s="1262">
        <v>0</v>
      </c>
      <c r="K119" s="1262">
        <v>13056450.639999997</v>
      </c>
      <c r="L119" s="1262">
        <v>135207131.01059186</v>
      </c>
      <c r="M119" s="1256">
        <f t="shared" si="21"/>
        <v>4331079109.0172148</v>
      </c>
    </row>
    <row r="120" spans="1:13">
      <c r="A120" s="600">
        <f t="shared" si="20"/>
        <v>63</v>
      </c>
      <c r="B120" s="767" t="s">
        <v>2480</v>
      </c>
      <c r="C120" s="1262">
        <v>18645991.239999998</v>
      </c>
      <c r="D120" s="1262">
        <v>94838061.560000017</v>
      </c>
      <c r="E120" s="1262">
        <v>255761080.15285629</v>
      </c>
      <c r="F120" s="1262">
        <v>1106857175.0547433</v>
      </c>
      <c r="G120" s="1262">
        <v>1734721599.081826</v>
      </c>
      <c r="H120" s="1262">
        <v>150551479.06000003</v>
      </c>
      <c r="I120" s="1262">
        <v>824970931.98719704</v>
      </c>
      <c r="J120" s="1262">
        <v>178296084.22</v>
      </c>
      <c r="K120" s="1262">
        <v>75392846.379999995</v>
      </c>
      <c r="L120" s="1262">
        <v>135184205.73059186</v>
      </c>
      <c r="M120" s="1256">
        <f t="shared" si="21"/>
        <v>4575219454.4672146</v>
      </c>
    </row>
    <row r="121" spans="1:13">
      <c r="A121" s="600">
        <f t="shared" si="20"/>
        <v>64</v>
      </c>
      <c r="B121" s="768" t="s">
        <v>2481</v>
      </c>
      <c r="C121" s="1262">
        <v>18645190.619999997</v>
      </c>
      <c r="D121" s="1262">
        <v>94854394.060000017</v>
      </c>
      <c r="E121" s="1262">
        <v>255781321.11285633</v>
      </c>
      <c r="F121" s="1262">
        <v>1105663404.3847435</v>
      </c>
      <c r="G121" s="1262">
        <v>1742320494.001826</v>
      </c>
      <c r="H121" s="1262">
        <v>150732786.49000004</v>
      </c>
      <c r="I121" s="1262">
        <v>830951449.77719712</v>
      </c>
      <c r="J121" s="1262">
        <v>180670727.96000001</v>
      </c>
      <c r="K121" s="1262">
        <v>78262796.939999998</v>
      </c>
      <c r="L121" s="1262">
        <v>135859889.92059186</v>
      </c>
      <c r="M121" s="1256">
        <f t="shared" si="21"/>
        <v>4593742455.2672157</v>
      </c>
    </row>
    <row r="122" spans="1:13">
      <c r="A122" s="600">
        <f t="shared" si="20"/>
        <v>65</v>
      </c>
      <c r="B122" s="768" t="s">
        <v>2482</v>
      </c>
      <c r="C122" s="1262">
        <v>18652664.369999997</v>
      </c>
      <c r="D122" s="1262">
        <v>94872988.770000011</v>
      </c>
      <c r="E122" s="1262">
        <v>255809266.37285632</v>
      </c>
      <c r="F122" s="1262">
        <v>1105764128.4147434</v>
      </c>
      <c r="G122" s="1262">
        <v>1742837305.781826</v>
      </c>
      <c r="H122" s="1262">
        <v>150762909.25000003</v>
      </c>
      <c r="I122" s="1262">
        <v>831712903.09719706</v>
      </c>
      <c r="J122" s="1262">
        <v>184137404.83000001</v>
      </c>
      <c r="K122" s="1262">
        <v>79474811.670000002</v>
      </c>
      <c r="L122" s="1262">
        <v>136069850.38059187</v>
      </c>
      <c r="M122" s="1256">
        <f t="shared" si="21"/>
        <v>4600094232.9372158</v>
      </c>
    </row>
    <row r="123" spans="1:13">
      <c r="A123" s="600">
        <f t="shared" si="20"/>
        <v>66</v>
      </c>
      <c r="B123" s="767" t="s">
        <v>2483</v>
      </c>
      <c r="C123" s="1262">
        <v>18676990.549999997</v>
      </c>
      <c r="D123" s="1262">
        <v>94873059.930000007</v>
      </c>
      <c r="E123" s="1262">
        <v>264612612.76285636</v>
      </c>
      <c r="F123" s="1262">
        <v>1133695494.8447433</v>
      </c>
      <c r="G123" s="1262">
        <v>1757159286.4618263</v>
      </c>
      <c r="H123" s="1262">
        <v>151903902.76000002</v>
      </c>
      <c r="I123" s="1262">
        <v>815549135.04719698</v>
      </c>
      <c r="J123" s="1262">
        <v>185286762.54000002</v>
      </c>
      <c r="K123" s="1262">
        <v>79876648.5</v>
      </c>
      <c r="L123" s="1262">
        <v>138148965.33059186</v>
      </c>
      <c r="M123" s="1256">
        <f t="shared" si="21"/>
        <v>4639782858.7272158</v>
      </c>
    </row>
    <row r="124" spans="1:13">
      <c r="A124" s="600"/>
      <c r="B124" s="1241"/>
      <c r="C124" s="236"/>
      <c r="D124" s="236"/>
      <c r="E124" s="236"/>
      <c r="F124" s="236"/>
      <c r="G124" s="236"/>
      <c r="H124" s="236"/>
      <c r="I124" s="236"/>
      <c r="J124" s="236"/>
      <c r="K124" s="236"/>
      <c r="L124" s="236"/>
      <c r="M124" s="236"/>
    </row>
    <row r="125" spans="1:13">
      <c r="B125" s="44" t="s">
        <v>2533</v>
      </c>
      <c r="C125" s="14"/>
      <c r="D125" s="14"/>
      <c r="E125" s="14"/>
      <c r="F125" s="14"/>
      <c r="G125" s="14"/>
    </row>
    <row r="126" spans="1:13">
      <c r="B126" s="14"/>
      <c r="C126" s="14"/>
      <c r="D126" s="14"/>
      <c r="E126" s="14"/>
      <c r="F126" s="14"/>
      <c r="G126" s="14"/>
    </row>
    <row r="127" spans="1:13">
      <c r="A127" s="416"/>
      <c r="B127" s="363" t="s">
        <v>363</v>
      </c>
      <c r="C127" s="363" t="s">
        <v>347</v>
      </c>
      <c r="D127" s="363" t="s">
        <v>348</v>
      </c>
      <c r="E127" s="363" t="s">
        <v>349</v>
      </c>
      <c r="F127" s="363" t="s">
        <v>350</v>
      </c>
      <c r="G127" s="363" t="s">
        <v>351</v>
      </c>
      <c r="H127" s="84" t="s">
        <v>352</v>
      </c>
      <c r="I127" s="84" t="s">
        <v>544</v>
      </c>
      <c r="J127" s="84" t="s">
        <v>961</v>
      </c>
      <c r="K127" s="84" t="s">
        <v>974</v>
      </c>
      <c r="L127" s="84" t="s">
        <v>977</v>
      </c>
      <c r="M127" s="84" t="s">
        <v>995</v>
      </c>
    </row>
    <row r="128" spans="1:13">
      <c r="A128" s="234"/>
      <c r="B128" s="478"/>
      <c r="C128" s="243"/>
      <c r="D128" s="243"/>
      <c r="E128" s="243"/>
      <c r="F128" s="243"/>
      <c r="G128" s="243"/>
      <c r="H128" s="234"/>
      <c r="I128" s="234"/>
      <c r="J128" s="234"/>
      <c r="K128" s="234"/>
      <c r="M128" s="251" t="s">
        <v>1238</v>
      </c>
    </row>
    <row r="129" spans="1:16">
      <c r="A129" s="51"/>
      <c r="B129" s="125" t="s">
        <v>1782</v>
      </c>
      <c r="C129" s="363">
        <v>350.1</v>
      </c>
      <c r="D129" s="363">
        <v>350.2</v>
      </c>
      <c r="E129" s="363">
        <v>352</v>
      </c>
      <c r="F129" s="363">
        <v>353</v>
      </c>
      <c r="G129" s="363">
        <v>354</v>
      </c>
      <c r="H129" s="84">
        <v>355</v>
      </c>
      <c r="I129" s="84">
        <v>356</v>
      </c>
      <c r="J129" s="84">
        <v>357</v>
      </c>
      <c r="K129" s="84">
        <v>358</v>
      </c>
      <c r="L129" s="84">
        <v>359</v>
      </c>
      <c r="M129" s="3" t="s">
        <v>196</v>
      </c>
    </row>
    <row r="130" spans="1:16">
      <c r="A130" s="600">
        <f>A123+1</f>
        <v>67</v>
      </c>
      <c r="B130" s="768" t="s">
        <v>2472</v>
      </c>
      <c r="C130" s="1257">
        <f>C112-C111</f>
        <v>0</v>
      </c>
      <c r="D130" s="1257">
        <f t="shared" ref="D130:L130" si="22">D112-D111</f>
        <v>0</v>
      </c>
      <c r="E130" s="1257">
        <f t="shared" si="22"/>
        <v>101879.66000002623</v>
      </c>
      <c r="F130" s="1257">
        <f t="shared" si="22"/>
        <v>-9348.8200001716614</v>
      </c>
      <c r="G130" s="1257">
        <f t="shared" si="22"/>
        <v>1209249.6600003242</v>
      </c>
      <c r="H130" s="1257">
        <f t="shared" si="22"/>
        <v>1072936.4599999785</v>
      </c>
      <c r="I130" s="1257">
        <f t="shared" si="22"/>
        <v>-603133.27999997139</v>
      </c>
      <c r="J130" s="1257">
        <f t="shared" si="22"/>
        <v>0</v>
      </c>
      <c r="K130" s="1257">
        <f t="shared" si="22"/>
        <v>0</v>
      </c>
      <c r="L130" s="1257">
        <f t="shared" si="22"/>
        <v>274784.51999998093</v>
      </c>
      <c r="M130" s="1257">
        <f>SUM(C130:L130)</f>
        <v>2046368.2000001669</v>
      </c>
      <c r="P130" s="7"/>
    </row>
    <row r="131" spans="1:16">
      <c r="A131" s="600">
        <f t="shared" ref="A131:A142" si="23">A130+1</f>
        <v>68</v>
      </c>
      <c r="B131" s="767" t="s">
        <v>2473</v>
      </c>
      <c r="C131" s="1257">
        <f t="shared" ref="C131:L141" si="24">C113-C112</f>
        <v>0</v>
      </c>
      <c r="D131" s="1257">
        <f t="shared" si="24"/>
        <v>0</v>
      </c>
      <c r="E131" s="1257">
        <f t="shared" si="24"/>
        <v>-8631504.6099999845</v>
      </c>
      <c r="F131" s="1257">
        <f t="shared" si="24"/>
        <v>16522095.819999933</v>
      </c>
      <c r="G131" s="1257">
        <f t="shared" si="24"/>
        <v>2191990.9199998379</v>
      </c>
      <c r="H131" s="1257">
        <f t="shared" si="24"/>
        <v>329243.53999999166</v>
      </c>
      <c r="I131" s="1257">
        <f t="shared" si="24"/>
        <v>852598.08000004292</v>
      </c>
      <c r="J131" s="1257">
        <f t="shared" si="24"/>
        <v>0</v>
      </c>
      <c r="K131" s="1257">
        <f t="shared" si="24"/>
        <v>0</v>
      </c>
      <c r="L131" s="1257">
        <f t="shared" si="24"/>
        <v>299243.61000001431</v>
      </c>
      <c r="M131" s="1257">
        <f t="shared" ref="M131:M141" si="25">SUM(C131:L131)</f>
        <v>11563667.359999835</v>
      </c>
      <c r="P131" s="7"/>
    </row>
    <row r="132" spans="1:16">
      <c r="A132" s="600">
        <f t="shared" si="23"/>
        <v>69</v>
      </c>
      <c r="B132" s="767" t="s">
        <v>2474</v>
      </c>
      <c r="C132" s="1257">
        <f t="shared" si="24"/>
        <v>9932171.3600000031</v>
      </c>
      <c r="D132" s="1257">
        <f t="shared" si="24"/>
        <v>0</v>
      </c>
      <c r="E132" s="1257">
        <f t="shared" si="24"/>
        <v>2079.6799999773502</v>
      </c>
      <c r="F132" s="1257">
        <f t="shared" si="24"/>
        <v>60898.080000162125</v>
      </c>
      <c r="G132" s="1257">
        <f t="shared" si="24"/>
        <v>555488.18000006676</v>
      </c>
      <c r="H132" s="1257">
        <f t="shared" si="24"/>
        <v>155257.68000000715</v>
      </c>
      <c r="I132" s="1257">
        <f t="shared" si="24"/>
        <v>318974.96000003815</v>
      </c>
      <c r="J132" s="1257">
        <f t="shared" si="24"/>
        <v>0</v>
      </c>
      <c r="K132" s="1257">
        <f t="shared" si="24"/>
        <v>0</v>
      </c>
      <c r="L132" s="1257">
        <f t="shared" si="24"/>
        <v>174957.65999999642</v>
      </c>
      <c r="M132" s="1257">
        <f t="shared" si="25"/>
        <v>11199827.600000251</v>
      </c>
      <c r="P132" s="7"/>
    </row>
    <row r="133" spans="1:16">
      <c r="A133" s="600">
        <f t="shared" si="23"/>
        <v>70</v>
      </c>
      <c r="B133" s="768" t="s">
        <v>2475</v>
      </c>
      <c r="C133" s="1257">
        <f t="shared" si="24"/>
        <v>11156.269999999553</v>
      </c>
      <c r="D133" s="1257">
        <f t="shared" si="24"/>
        <v>40959.689999997616</v>
      </c>
      <c r="E133" s="1257">
        <f t="shared" si="24"/>
        <v>-2030729.1699999869</v>
      </c>
      <c r="F133" s="1257">
        <f t="shared" si="24"/>
        <v>2463489.370000124</v>
      </c>
      <c r="G133" s="1257">
        <f t="shared" si="24"/>
        <v>1787068.0799999237</v>
      </c>
      <c r="H133" s="1257">
        <f t="shared" si="24"/>
        <v>227929.77000001073</v>
      </c>
      <c r="I133" s="1257">
        <f t="shared" si="24"/>
        <v>578610.2199999094</v>
      </c>
      <c r="J133" s="1257">
        <f t="shared" si="24"/>
        <v>0</v>
      </c>
      <c r="K133" s="1257">
        <f t="shared" si="24"/>
        <v>1693867.92</v>
      </c>
      <c r="L133" s="1257">
        <f t="shared" si="24"/>
        <v>279665.31000000238</v>
      </c>
      <c r="M133" s="1257">
        <f t="shared" si="25"/>
        <v>5052017.4599999804</v>
      </c>
      <c r="P133" s="7"/>
    </row>
    <row r="134" spans="1:16">
      <c r="A134" s="600">
        <f t="shared" si="23"/>
        <v>71</v>
      </c>
      <c r="B134" s="767" t="s">
        <v>2476</v>
      </c>
      <c r="C134" s="1257">
        <f t="shared" si="24"/>
        <v>7351.7399999983609</v>
      </c>
      <c r="D134" s="1257">
        <f t="shared" si="24"/>
        <v>457</v>
      </c>
      <c r="E134" s="1257">
        <f t="shared" si="24"/>
        <v>-54581.859999984503</v>
      </c>
      <c r="F134" s="1257">
        <f t="shared" si="24"/>
        <v>-161954.1400001049</v>
      </c>
      <c r="G134" s="1257">
        <f t="shared" si="24"/>
        <v>924608.14999985695</v>
      </c>
      <c r="H134" s="1257">
        <f t="shared" si="24"/>
        <v>111053.82999998331</v>
      </c>
      <c r="I134" s="1257">
        <f t="shared" si="24"/>
        <v>215647.45000004768</v>
      </c>
      <c r="J134" s="1257">
        <f t="shared" si="24"/>
        <v>0</v>
      </c>
      <c r="K134" s="1257">
        <f t="shared" si="24"/>
        <v>344049.8599999994</v>
      </c>
      <c r="L134" s="1257">
        <f t="shared" si="24"/>
        <v>154736.26999998093</v>
      </c>
      <c r="M134" s="1257">
        <f t="shared" si="25"/>
        <v>1541368.2999997772</v>
      </c>
      <c r="P134" s="7"/>
    </row>
    <row r="135" spans="1:16">
      <c r="A135" s="600">
        <f t="shared" si="23"/>
        <v>72</v>
      </c>
      <c r="B135" s="767" t="s">
        <v>2477</v>
      </c>
      <c r="C135" s="1257">
        <f t="shared" si="24"/>
        <v>-523033.27000000328</v>
      </c>
      <c r="D135" s="1257">
        <f t="shared" si="24"/>
        <v>530820.59000000358</v>
      </c>
      <c r="E135" s="1257">
        <f t="shared" si="24"/>
        <v>71058.27999997139</v>
      </c>
      <c r="F135" s="1257">
        <f t="shared" si="24"/>
        <v>-105463.02999997139</v>
      </c>
      <c r="G135" s="1257">
        <f t="shared" si="24"/>
        <v>2433751.0799999237</v>
      </c>
      <c r="H135" s="1257">
        <f t="shared" si="24"/>
        <v>-448179.23999997973</v>
      </c>
      <c r="I135" s="1257">
        <f t="shared" si="24"/>
        <v>517712.43999993801</v>
      </c>
      <c r="J135" s="1257">
        <f t="shared" si="24"/>
        <v>0</v>
      </c>
      <c r="K135" s="1257">
        <f t="shared" si="24"/>
        <v>1298.589999999851</v>
      </c>
      <c r="L135" s="1257">
        <f t="shared" si="24"/>
        <v>368778.81000000238</v>
      </c>
      <c r="M135" s="1257">
        <f t="shared" si="25"/>
        <v>2846744.2499998845</v>
      </c>
      <c r="P135" s="7"/>
    </row>
    <row r="136" spans="1:16">
      <c r="A136" s="600">
        <f t="shared" si="23"/>
        <v>73</v>
      </c>
      <c r="B136" s="768" t="s">
        <v>2478</v>
      </c>
      <c r="C136" s="1257">
        <f t="shared" si="24"/>
        <v>9500.0799999982119</v>
      </c>
      <c r="D136" s="1257">
        <f t="shared" si="24"/>
        <v>3532.4200000017881</v>
      </c>
      <c r="E136" s="1257">
        <f t="shared" si="24"/>
        <v>4831.2400000095367</v>
      </c>
      <c r="F136" s="1257">
        <f t="shared" si="24"/>
        <v>41519.97000002861</v>
      </c>
      <c r="G136" s="1257">
        <f t="shared" si="24"/>
        <v>498325.20000004768</v>
      </c>
      <c r="H136" s="1257">
        <f t="shared" si="24"/>
        <v>95817.689999967813</v>
      </c>
      <c r="I136" s="1257">
        <f t="shared" si="24"/>
        <v>290531.61000001431</v>
      </c>
      <c r="J136" s="1257">
        <f t="shared" si="24"/>
        <v>0</v>
      </c>
      <c r="K136" s="1257">
        <f t="shared" si="24"/>
        <v>593.5</v>
      </c>
      <c r="L136" s="1257">
        <f t="shared" si="24"/>
        <v>169985.94000002742</v>
      </c>
      <c r="M136" s="1257">
        <f t="shared" si="25"/>
        <v>1114637.6500000954</v>
      </c>
      <c r="P136" s="7"/>
    </row>
    <row r="137" spans="1:16">
      <c r="A137" s="600">
        <f t="shared" si="23"/>
        <v>74</v>
      </c>
      <c r="B137" s="767" t="s">
        <v>2479</v>
      </c>
      <c r="C137" s="1257">
        <f t="shared" si="24"/>
        <v>-1270.609999999404</v>
      </c>
      <c r="D137" s="1257">
        <f t="shared" si="24"/>
        <v>1656.4699999988079</v>
      </c>
      <c r="E137" s="1257">
        <f t="shared" si="24"/>
        <v>253564.61000001431</v>
      </c>
      <c r="F137" s="1257">
        <f t="shared" si="24"/>
        <v>-172263.66000008583</v>
      </c>
      <c r="G137" s="1257">
        <f t="shared" si="24"/>
        <v>19190528.359999895</v>
      </c>
      <c r="H137" s="1257">
        <f t="shared" si="24"/>
        <v>-178069.62999999523</v>
      </c>
      <c r="I137" s="1257">
        <f t="shared" si="24"/>
        <v>-5946067.2300000191</v>
      </c>
      <c r="J137" s="1257">
        <f t="shared" si="24"/>
        <v>0</v>
      </c>
      <c r="K137" s="1257">
        <f t="shared" si="24"/>
        <v>-845.97000000067055</v>
      </c>
      <c r="L137" s="1257">
        <f t="shared" si="24"/>
        <v>-13988911.200000018</v>
      </c>
      <c r="M137" s="1257">
        <f t="shared" si="25"/>
        <v>-841678.86000020988</v>
      </c>
      <c r="P137" s="7"/>
    </row>
    <row r="138" spans="1:16">
      <c r="A138" s="600">
        <f t="shared" si="23"/>
        <v>75</v>
      </c>
      <c r="B138" s="767" t="s">
        <v>2480</v>
      </c>
      <c r="C138" s="1257">
        <f t="shared" si="24"/>
        <v>15308.730000000447</v>
      </c>
      <c r="D138" s="1257">
        <f t="shared" si="24"/>
        <v>-18.099999994039536</v>
      </c>
      <c r="E138" s="1257">
        <f t="shared" si="24"/>
        <v>1282268.7299999595</v>
      </c>
      <c r="F138" s="1257">
        <f t="shared" si="24"/>
        <v>62015.509999990463</v>
      </c>
      <c r="G138" s="1257">
        <f t="shared" si="24"/>
        <v>723525.48000001907</v>
      </c>
      <c r="H138" s="1257">
        <f t="shared" si="24"/>
        <v>-60735.379999965429</v>
      </c>
      <c r="I138" s="1257">
        <f t="shared" si="24"/>
        <v>1508425.7999999523</v>
      </c>
      <c r="J138" s="1257">
        <f t="shared" si="24"/>
        <v>178296084.22</v>
      </c>
      <c r="K138" s="1257">
        <f t="shared" si="24"/>
        <v>62336395.739999995</v>
      </c>
      <c r="L138" s="1257">
        <f t="shared" si="24"/>
        <v>-22925.280000001192</v>
      </c>
      <c r="M138" s="1257">
        <f t="shared" si="25"/>
        <v>244140345.44999996</v>
      </c>
      <c r="P138" s="7"/>
    </row>
    <row r="139" spans="1:16">
      <c r="A139" s="600">
        <f t="shared" si="23"/>
        <v>76</v>
      </c>
      <c r="B139" s="768" t="s">
        <v>2481</v>
      </c>
      <c r="C139" s="1257">
        <f t="shared" si="24"/>
        <v>-800.62000000104308</v>
      </c>
      <c r="D139" s="1257">
        <f t="shared" si="24"/>
        <v>16332.5</v>
      </c>
      <c r="E139" s="1257">
        <f t="shared" si="24"/>
        <v>20240.960000038147</v>
      </c>
      <c r="F139" s="1257">
        <f t="shared" si="24"/>
        <v>-1193770.6699998379</v>
      </c>
      <c r="G139" s="1257">
        <f t="shared" si="24"/>
        <v>7598894.9200000763</v>
      </c>
      <c r="H139" s="1257">
        <f t="shared" si="24"/>
        <v>181307.43000000715</v>
      </c>
      <c r="I139" s="1257">
        <f t="shared" si="24"/>
        <v>5980517.7900000811</v>
      </c>
      <c r="J139" s="1257">
        <f t="shared" si="24"/>
        <v>2374643.7400000095</v>
      </c>
      <c r="K139" s="1257">
        <f t="shared" si="24"/>
        <v>2869950.5600000024</v>
      </c>
      <c r="L139" s="1257">
        <f t="shared" si="24"/>
        <v>675684.18999999762</v>
      </c>
      <c r="M139" s="1257">
        <f t="shared" si="25"/>
        <v>18523000.800000373</v>
      </c>
      <c r="P139" s="7"/>
    </row>
    <row r="140" spans="1:16">
      <c r="A140" s="600">
        <f t="shared" si="23"/>
        <v>77</v>
      </c>
      <c r="B140" s="768" t="s">
        <v>2482</v>
      </c>
      <c r="C140" s="1257">
        <f t="shared" si="24"/>
        <v>7473.75</v>
      </c>
      <c r="D140" s="1257">
        <f t="shared" si="24"/>
        <v>18594.709999993443</v>
      </c>
      <c r="E140" s="1257">
        <f t="shared" si="24"/>
        <v>27945.259999990463</v>
      </c>
      <c r="F140" s="1257">
        <f t="shared" si="24"/>
        <v>100724.02999997139</v>
      </c>
      <c r="G140" s="1257">
        <f t="shared" si="24"/>
        <v>516811.77999997139</v>
      </c>
      <c r="H140" s="1257">
        <f t="shared" si="24"/>
        <v>30122.759999990463</v>
      </c>
      <c r="I140" s="1257">
        <f t="shared" si="24"/>
        <v>761453.31999993324</v>
      </c>
      <c r="J140" s="1257">
        <f t="shared" si="24"/>
        <v>3466676.8700000048</v>
      </c>
      <c r="K140" s="1257">
        <f t="shared" si="24"/>
        <v>1212014.7300000042</v>
      </c>
      <c r="L140" s="1257">
        <f t="shared" si="24"/>
        <v>209960.46000000834</v>
      </c>
      <c r="M140" s="1257">
        <f t="shared" si="25"/>
        <v>6351777.6699998677</v>
      </c>
      <c r="P140" s="7"/>
    </row>
    <row r="141" spans="1:16">
      <c r="A141" s="600">
        <f t="shared" si="23"/>
        <v>78</v>
      </c>
      <c r="B141" s="767" t="s">
        <v>2483</v>
      </c>
      <c r="C141" s="1258">
        <f t="shared" si="24"/>
        <v>24326.179999999702</v>
      </c>
      <c r="D141" s="1258">
        <f t="shared" si="24"/>
        <v>71.159999996423721</v>
      </c>
      <c r="E141" s="1258">
        <f t="shared" si="24"/>
        <v>8803346.3900000453</v>
      </c>
      <c r="F141" s="1258">
        <f t="shared" si="24"/>
        <v>27931366.429999828</v>
      </c>
      <c r="G141" s="1258">
        <f t="shared" si="24"/>
        <v>14321980.680000305</v>
      </c>
      <c r="H141" s="1258">
        <f t="shared" si="24"/>
        <v>1140993.5099999905</v>
      </c>
      <c r="I141" s="1258">
        <f t="shared" si="24"/>
        <v>-16163768.050000072</v>
      </c>
      <c r="J141" s="1258">
        <f t="shared" si="24"/>
        <v>1149357.7100000083</v>
      </c>
      <c r="K141" s="1258">
        <f t="shared" si="24"/>
        <v>401836.82999999821</v>
      </c>
      <c r="L141" s="1258">
        <f t="shared" si="24"/>
        <v>2079114.9499999881</v>
      </c>
      <c r="M141" s="1258">
        <f t="shared" si="25"/>
        <v>39688625.790000089</v>
      </c>
      <c r="P141" s="7"/>
    </row>
    <row r="142" spans="1:16">
      <c r="A142" s="600">
        <f t="shared" si="23"/>
        <v>79</v>
      </c>
      <c r="B142" s="1241" t="s">
        <v>4</v>
      </c>
      <c r="C142" s="1257">
        <f>SUM(C130:C141)</f>
        <v>9482183.6099999957</v>
      </c>
      <c r="D142" s="1257">
        <f t="shared" ref="D142:M142" si="26">SUM(D130:D141)</f>
        <v>612406.43999999762</v>
      </c>
      <c r="E142" s="1257">
        <f t="shared" si="26"/>
        <v>-149600.82999992371</v>
      </c>
      <c r="F142" s="1257">
        <f t="shared" si="26"/>
        <v>45539308.889999866</v>
      </c>
      <c r="G142" s="1257">
        <f t="shared" si="26"/>
        <v>51952222.490000248</v>
      </c>
      <c r="H142" s="1257">
        <f t="shared" si="26"/>
        <v>2657678.4199999869</v>
      </c>
      <c r="I142" s="1257">
        <f t="shared" si="26"/>
        <v>-11688496.890000105</v>
      </c>
      <c r="J142" s="1257">
        <f t="shared" si="26"/>
        <v>185286762.54000002</v>
      </c>
      <c r="K142" s="1257">
        <f t="shared" si="26"/>
        <v>68859161.75999999</v>
      </c>
      <c r="L142" s="1257">
        <f t="shared" si="26"/>
        <v>-9324924.7600000203</v>
      </c>
      <c r="M142" s="1257">
        <f t="shared" si="26"/>
        <v>343226701.67000008</v>
      </c>
      <c r="P142" s="7"/>
    </row>
    <row r="143" spans="1:16">
      <c r="A143" s="600"/>
      <c r="B143" s="1241"/>
      <c r="C143" s="1256"/>
      <c r="D143" s="1256"/>
      <c r="E143" s="1256"/>
      <c r="F143" s="1256"/>
      <c r="G143" s="1256"/>
      <c r="H143" s="1256"/>
      <c r="I143" s="1256"/>
      <c r="J143" s="1256"/>
      <c r="K143" s="1256"/>
      <c r="L143" s="1256"/>
      <c r="M143" s="1256"/>
    </row>
    <row r="144" spans="1:16">
      <c r="B144" s="1259" t="s">
        <v>2534</v>
      </c>
      <c r="C144" s="14"/>
      <c r="D144" s="14"/>
      <c r="E144" s="14"/>
      <c r="F144" s="14"/>
      <c r="G144" s="14"/>
    </row>
    <row r="145" spans="1:13">
      <c r="B145" s="14"/>
      <c r="C145" s="14"/>
      <c r="D145" s="14"/>
      <c r="E145" s="14"/>
      <c r="F145" s="14"/>
      <c r="G145" s="14"/>
    </row>
    <row r="146" spans="1:13">
      <c r="A146" s="416"/>
      <c r="B146" s="363" t="s">
        <v>363</v>
      </c>
      <c r="C146" s="363" t="s">
        <v>347</v>
      </c>
      <c r="D146" s="363" t="s">
        <v>348</v>
      </c>
      <c r="E146" s="363" t="s">
        <v>349</v>
      </c>
      <c r="F146" s="363" t="s">
        <v>350</v>
      </c>
      <c r="G146" s="363" t="s">
        <v>351</v>
      </c>
      <c r="H146" s="84" t="s">
        <v>352</v>
      </c>
      <c r="I146" s="84" t="s">
        <v>544</v>
      </c>
      <c r="J146" s="84" t="s">
        <v>961</v>
      </c>
      <c r="K146" s="84" t="s">
        <v>974</v>
      </c>
      <c r="L146" s="84" t="s">
        <v>977</v>
      </c>
      <c r="M146" s="84" t="s">
        <v>995</v>
      </c>
    </row>
    <row r="147" spans="1:13">
      <c r="A147" s="234"/>
      <c r="B147" s="478"/>
      <c r="C147" s="243"/>
      <c r="D147" s="243"/>
      <c r="E147" s="243"/>
      <c r="F147" s="243"/>
      <c r="G147" s="243"/>
      <c r="H147" s="234"/>
      <c r="I147" s="234"/>
      <c r="J147" s="234"/>
      <c r="K147" s="234"/>
      <c r="M147" s="251" t="s">
        <v>1238</v>
      </c>
    </row>
    <row r="148" spans="1:13">
      <c r="A148" s="51"/>
      <c r="B148" s="125" t="s">
        <v>1782</v>
      </c>
      <c r="C148" s="363">
        <v>350.1</v>
      </c>
      <c r="D148" s="363">
        <v>350.2</v>
      </c>
      <c r="E148" s="363">
        <v>352</v>
      </c>
      <c r="F148" s="363">
        <v>353</v>
      </c>
      <c r="G148" s="363">
        <v>354</v>
      </c>
      <c r="H148" s="84">
        <v>355</v>
      </c>
      <c r="I148" s="84">
        <v>356</v>
      </c>
      <c r="J148" s="84">
        <v>357</v>
      </c>
      <c r="K148" s="84">
        <v>358</v>
      </c>
      <c r="L148" s="84">
        <v>359</v>
      </c>
      <c r="M148" s="3" t="s">
        <v>196</v>
      </c>
    </row>
    <row r="149" spans="1:13">
      <c r="A149" s="600">
        <f>A142+1</f>
        <v>80</v>
      </c>
      <c r="B149" s="768" t="s">
        <v>2472</v>
      </c>
      <c r="C149" s="1215">
        <f>C92-C130</f>
        <v>-1616115.0899999887</v>
      </c>
      <c r="D149" s="1215">
        <f t="shared" ref="D149:L160" si="27">D92-D130</f>
        <v>21088.909999996424</v>
      </c>
      <c r="E149" s="1215">
        <f t="shared" si="27"/>
        <v>16407228.859999955</v>
      </c>
      <c r="F149" s="1215">
        <f t="shared" si="27"/>
        <v>13631723.360001087</v>
      </c>
      <c r="G149" s="1215">
        <f t="shared" si="27"/>
        <v>5896066.9899997711</v>
      </c>
      <c r="H149" s="1215">
        <f t="shared" si="27"/>
        <v>9633799.5299999118</v>
      </c>
      <c r="I149" s="1215">
        <f t="shared" si="27"/>
        <v>9419455.8500001431</v>
      </c>
      <c r="J149" s="1215">
        <f t="shared" si="27"/>
        <v>938442.97000000626</v>
      </c>
      <c r="K149" s="1215">
        <f t="shared" si="27"/>
        <v>1701955.1899999976</v>
      </c>
      <c r="L149" s="1215">
        <f t="shared" si="27"/>
        <v>-43936.519999980927</v>
      </c>
      <c r="M149" s="1215">
        <f>SUM(C149:L149)</f>
        <v>55989710.050000899</v>
      </c>
    </row>
    <row r="150" spans="1:13">
      <c r="A150" s="600">
        <f t="shared" ref="A150:A161" si="28">A149+1</f>
        <v>81</v>
      </c>
      <c r="B150" s="767" t="s">
        <v>2473</v>
      </c>
      <c r="C150" s="1215">
        <f t="shared" ref="C150:C160" si="29">C93-C131</f>
        <v>-1085.8700000047684</v>
      </c>
      <c r="D150" s="1215">
        <f t="shared" si="27"/>
        <v>-4135.8000000119209</v>
      </c>
      <c r="E150" s="1215">
        <f t="shared" si="27"/>
        <v>2499652.5600000322</v>
      </c>
      <c r="F150" s="1215">
        <f t="shared" si="27"/>
        <v>6727759.7799994946</v>
      </c>
      <c r="G150" s="1215">
        <f t="shared" si="27"/>
        <v>11130.500000238419</v>
      </c>
      <c r="H150" s="1215">
        <f t="shared" si="27"/>
        <v>10541694.970000118</v>
      </c>
      <c r="I150" s="1215">
        <f t="shared" si="27"/>
        <v>234002.73999989033</v>
      </c>
      <c r="J150" s="1215">
        <f t="shared" si="27"/>
        <v>-24970.270000003278</v>
      </c>
      <c r="K150" s="1215">
        <f t="shared" si="27"/>
        <v>103305.32000005245</v>
      </c>
      <c r="L150" s="1215">
        <f t="shared" si="27"/>
        <v>5504.2499999701977</v>
      </c>
      <c r="M150" s="1215">
        <f t="shared" ref="M150:M160" si="30">SUM(C150:L150)</f>
        <v>20092858.179999776</v>
      </c>
    </row>
    <row r="151" spans="1:13">
      <c r="A151" s="600">
        <f t="shared" si="28"/>
        <v>82</v>
      </c>
      <c r="B151" s="767" t="s">
        <v>2474</v>
      </c>
      <c r="C151" s="1215">
        <f t="shared" si="29"/>
        <v>1826.2099999897182</v>
      </c>
      <c r="D151" s="1215">
        <f t="shared" si="27"/>
        <v>82797.480000019073</v>
      </c>
      <c r="E151" s="1215">
        <f t="shared" si="27"/>
        <v>14030106.849999875</v>
      </c>
      <c r="F151" s="1215">
        <f t="shared" si="27"/>
        <v>30133327.779998541</v>
      </c>
      <c r="G151" s="1215">
        <f t="shared" si="27"/>
        <v>701840.17000031471</v>
      </c>
      <c r="H151" s="1215">
        <f t="shared" si="27"/>
        <v>24995605.019999921</v>
      </c>
      <c r="I151" s="1215">
        <f t="shared" si="27"/>
        <v>9611158.5199997425</v>
      </c>
      <c r="J151" s="1215">
        <f t="shared" si="27"/>
        <v>27210.070000000298</v>
      </c>
      <c r="K151" s="1215">
        <f t="shared" si="27"/>
        <v>1421894.9099999666</v>
      </c>
      <c r="L151" s="1215">
        <f t="shared" si="27"/>
        <v>8819257.7700000107</v>
      </c>
      <c r="M151" s="1215">
        <f t="shared" si="30"/>
        <v>89825024.779998392</v>
      </c>
    </row>
    <row r="152" spans="1:13">
      <c r="A152" s="600">
        <f t="shared" si="28"/>
        <v>83</v>
      </c>
      <c r="B152" s="768" t="s">
        <v>2475</v>
      </c>
      <c r="C152" s="1215">
        <f t="shared" si="29"/>
        <v>-1002.0099999941885</v>
      </c>
      <c r="D152" s="1215">
        <f t="shared" si="27"/>
        <v>5002.2300000190735</v>
      </c>
      <c r="E152" s="1215">
        <f t="shared" si="27"/>
        <v>38592232.039999992</v>
      </c>
      <c r="F152" s="1215">
        <f t="shared" si="27"/>
        <v>17474341.180000067</v>
      </c>
      <c r="G152" s="1215">
        <f t="shared" si="27"/>
        <v>-1263837.5600004196</v>
      </c>
      <c r="H152" s="1215">
        <f t="shared" si="27"/>
        <v>12995693.050000042</v>
      </c>
      <c r="I152" s="1215">
        <f t="shared" si="27"/>
        <v>-235405.95999991894</v>
      </c>
      <c r="J152" s="1215">
        <f t="shared" si="27"/>
        <v>2327052.7299999967</v>
      </c>
      <c r="K152" s="1215">
        <f t="shared" si="27"/>
        <v>8269771.5400000382</v>
      </c>
      <c r="L152" s="1215">
        <f t="shared" si="27"/>
        <v>419843.21999999881</v>
      </c>
      <c r="M152" s="1215">
        <f t="shared" si="30"/>
        <v>78583690.459999815</v>
      </c>
    </row>
    <row r="153" spans="1:13">
      <c r="A153" s="600">
        <f t="shared" si="28"/>
        <v>84</v>
      </c>
      <c r="B153" s="767" t="s">
        <v>2476</v>
      </c>
      <c r="C153" s="1215">
        <f t="shared" si="29"/>
        <v>1000.8899999968708</v>
      </c>
      <c r="D153" s="1215">
        <f t="shared" si="27"/>
        <v>8500.7999999821186</v>
      </c>
      <c r="E153" s="1215">
        <f t="shared" si="27"/>
        <v>1171485.0699997842</v>
      </c>
      <c r="F153" s="1215">
        <f t="shared" si="27"/>
        <v>2417027.9700009823</v>
      </c>
      <c r="G153" s="1215">
        <f t="shared" si="27"/>
        <v>2763272.3599998951</v>
      </c>
      <c r="H153" s="1215">
        <f t="shared" si="27"/>
        <v>8549428.3699999452</v>
      </c>
      <c r="I153" s="1215">
        <f t="shared" si="27"/>
        <v>476623.97999978065</v>
      </c>
      <c r="J153" s="1215">
        <f t="shared" si="27"/>
        <v>240023.78000000119</v>
      </c>
      <c r="K153" s="1215">
        <f t="shared" si="27"/>
        <v>1595073.9899999648</v>
      </c>
      <c r="L153" s="1215">
        <f t="shared" si="27"/>
        <v>1010442.9600000083</v>
      </c>
      <c r="M153" s="1215">
        <f t="shared" si="30"/>
        <v>18232880.170000341</v>
      </c>
    </row>
    <row r="154" spans="1:13">
      <c r="A154" s="600">
        <f t="shared" si="28"/>
        <v>85</v>
      </c>
      <c r="B154" s="767" t="s">
        <v>2477</v>
      </c>
      <c r="C154" s="1215">
        <f t="shared" si="29"/>
        <v>1329.2200000062585</v>
      </c>
      <c r="D154" s="1215">
        <f t="shared" si="27"/>
        <v>-936426.21000003815</v>
      </c>
      <c r="E154" s="1215">
        <f t="shared" si="27"/>
        <v>9360355.990000248</v>
      </c>
      <c r="F154" s="1215">
        <f t="shared" si="27"/>
        <v>50050529.629999399</v>
      </c>
      <c r="G154" s="1215">
        <f t="shared" si="27"/>
        <v>-21683708.329999924</v>
      </c>
      <c r="H154" s="1215">
        <f t="shared" si="27"/>
        <v>18354182.370000094</v>
      </c>
      <c r="I154" s="1215">
        <f t="shared" si="27"/>
        <v>1648475.2600005865</v>
      </c>
      <c r="J154" s="1215">
        <f t="shared" si="27"/>
        <v>3250928.5500000045</v>
      </c>
      <c r="K154" s="1215">
        <f t="shared" si="27"/>
        <v>24252926.800000045</v>
      </c>
      <c r="L154" s="1215">
        <f t="shared" si="27"/>
        <v>2941083.5499999821</v>
      </c>
      <c r="M154" s="1215">
        <f t="shared" si="30"/>
        <v>87239676.830000401</v>
      </c>
    </row>
    <row r="155" spans="1:13">
      <c r="A155" s="600">
        <f t="shared" si="28"/>
        <v>86</v>
      </c>
      <c r="B155" s="768" t="s">
        <v>2478</v>
      </c>
      <c r="C155" s="1215">
        <f t="shared" si="29"/>
        <v>-5715.8499999940395</v>
      </c>
      <c r="D155" s="1215">
        <f t="shared" si="27"/>
        <v>4114.7900000363588</v>
      </c>
      <c r="E155" s="1215">
        <f t="shared" si="27"/>
        <v>11802138.280000091</v>
      </c>
      <c r="F155" s="1215">
        <f t="shared" si="27"/>
        <v>85427899.020000696</v>
      </c>
      <c r="G155" s="1215">
        <f t="shared" si="27"/>
        <v>-619272.29999947548</v>
      </c>
      <c r="H155" s="1215">
        <f t="shared" si="27"/>
        <v>7829383.2500000894</v>
      </c>
      <c r="I155" s="1215">
        <f t="shared" si="27"/>
        <v>-798501.81000030041</v>
      </c>
      <c r="J155" s="1215">
        <f t="shared" si="27"/>
        <v>608006.78000000119</v>
      </c>
      <c r="K155" s="1215">
        <f t="shared" si="27"/>
        <v>994760.68999999762</v>
      </c>
      <c r="L155" s="1215">
        <f t="shared" si="27"/>
        <v>353214.08000001311</v>
      </c>
      <c r="M155" s="1215">
        <f t="shared" si="30"/>
        <v>105596026.93000115</v>
      </c>
    </row>
    <row r="156" spans="1:13">
      <c r="A156" s="600">
        <f t="shared" si="28"/>
        <v>87</v>
      </c>
      <c r="B156" s="767" t="s">
        <v>2479</v>
      </c>
      <c r="C156" s="1215">
        <f t="shared" si="29"/>
        <v>-1794.609999999404</v>
      </c>
      <c r="D156" s="1215">
        <f t="shared" si="27"/>
        <v>18177.789999991655</v>
      </c>
      <c r="E156" s="1215">
        <f t="shared" si="27"/>
        <v>-1079458.3200001717</v>
      </c>
      <c r="F156" s="1215">
        <f t="shared" si="27"/>
        <v>644993.20999932289</v>
      </c>
      <c r="G156" s="1215">
        <f t="shared" si="27"/>
        <v>1327009.3900001049</v>
      </c>
      <c r="H156" s="1215">
        <f t="shared" si="27"/>
        <v>10297788.320000052</v>
      </c>
      <c r="I156" s="1215">
        <f t="shared" si="27"/>
        <v>421478.21999979019</v>
      </c>
      <c r="J156" s="1215">
        <f t="shared" si="27"/>
        <v>662021.8900000006</v>
      </c>
      <c r="K156" s="1215">
        <f t="shared" si="27"/>
        <v>-1128452.0400000494</v>
      </c>
      <c r="L156" s="1215">
        <f t="shared" si="27"/>
        <v>-20766.559999972582</v>
      </c>
      <c r="M156" s="1215">
        <f t="shared" si="30"/>
        <v>11140997.28999907</v>
      </c>
    </row>
    <row r="157" spans="1:13">
      <c r="A157" s="600">
        <f t="shared" si="28"/>
        <v>88</v>
      </c>
      <c r="B157" s="767" t="s">
        <v>2480</v>
      </c>
      <c r="C157" s="1215">
        <f t="shared" si="29"/>
        <v>-1404.2200000099838</v>
      </c>
      <c r="D157" s="1215">
        <f t="shared" si="27"/>
        <v>2729154.7100000083</v>
      </c>
      <c r="E157" s="1215">
        <f t="shared" si="27"/>
        <v>901209.17000001669</v>
      </c>
      <c r="F157" s="1215">
        <f t="shared" si="27"/>
        <v>5926401.4600002766</v>
      </c>
      <c r="G157" s="1215">
        <f t="shared" si="27"/>
        <v>522499.34999990463</v>
      </c>
      <c r="H157" s="1215">
        <f t="shared" si="27"/>
        <v>10565952.050000042</v>
      </c>
      <c r="I157" s="1215">
        <f t="shared" si="27"/>
        <v>7614464.8600001335</v>
      </c>
      <c r="J157" s="1215">
        <f t="shared" si="27"/>
        <v>843201.46999999881</v>
      </c>
      <c r="K157" s="1215">
        <f t="shared" si="27"/>
        <v>424848.26000000536</v>
      </c>
      <c r="L157" s="1215">
        <f t="shared" si="27"/>
        <v>9056.2299999594688</v>
      </c>
      <c r="M157" s="1215">
        <f t="shared" si="30"/>
        <v>29535383.340000335</v>
      </c>
    </row>
    <row r="158" spans="1:13">
      <c r="A158" s="600">
        <f t="shared" si="28"/>
        <v>89</v>
      </c>
      <c r="B158" s="768" t="s">
        <v>2481</v>
      </c>
      <c r="C158" s="1215">
        <f t="shared" si="29"/>
        <v>1.1175870895385742E-8</v>
      </c>
      <c r="D158" s="1215">
        <f t="shared" si="27"/>
        <v>101939.21999996901</v>
      </c>
      <c r="E158" s="1215">
        <f t="shared" si="27"/>
        <v>33870421.639999986</v>
      </c>
      <c r="F158" s="1215">
        <f t="shared" si="27"/>
        <v>26049679.750000715</v>
      </c>
      <c r="G158" s="1215">
        <f t="shared" si="27"/>
        <v>1300795.7899999619</v>
      </c>
      <c r="H158" s="1215">
        <f t="shared" si="27"/>
        <v>9269648.7299998403</v>
      </c>
      <c r="I158" s="1215">
        <f t="shared" si="27"/>
        <v>1554873.6200002432</v>
      </c>
      <c r="J158" s="1215">
        <f t="shared" si="27"/>
        <v>-6167403.9600000083</v>
      </c>
      <c r="K158" s="1215">
        <f t="shared" si="27"/>
        <v>-778271.28999996185</v>
      </c>
      <c r="L158" s="1215">
        <f t="shared" si="27"/>
        <v>-96871.519999980927</v>
      </c>
      <c r="M158" s="1215">
        <f t="shared" si="30"/>
        <v>65104811.980000779</v>
      </c>
    </row>
    <row r="159" spans="1:13">
      <c r="A159" s="600">
        <f t="shared" si="28"/>
        <v>90</v>
      </c>
      <c r="B159" s="768" t="s">
        <v>2482</v>
      </c>
      <c r="C159" s="1215">
        <f t="shared" si="29"/>
        <v>0</v>
      </c>
      <c r="D159" s="1215">
        <f t="shared" si="27"/>
        <v>11216.010000035167</v>
      </c>
      <c r="E159" s="1215">
        <f t="shared" si="27"/>
        <v>6737310.3400000334</v>
      </c>
      <c r="F159" s="1215">
        <f t="shared" si="27"/>
        <v>20887674.47999835</v>
      </c>
      <c r="G159" s="1215">
        <f t="shared" si="27"/>
        <v>4486086.5799996853</v>
      </c>
      <c r="H159" s="1215">
        <f t="shared" si="27"/>
        <v>10505210.659999847</v>
      </c>
      <c r="I159" s="1215">
        <f t="shared" si="27"/>
        <v>-2985080.4200000763</v>
      </c>
      <c r="J159" s="1215">
        <f t="shared" si="27"/>
        <v>4884496.6299999952</v>
      </c>
      <c r="K159" s="1215">
        <f t="shared" si="27"/>
        <v>-5088933.0300000161</v>
      </c>
      <c r="L159" s="1215">
        <f t="shared" si="27"/>
        <v>-9990.7199999988079</v>
      </c>
      <c r="M159" s="1215">
        <f t="shared" si="30"/>
        <v>39427990.529997855</v>
      </c>
    </row>
    <row r="160" spans="1:13">
      <c r="A160" s="600">
        <f t="shared" si="28"/>
        <v>91</v>
      </c>
      <c r="B160" s="767" t="s">
        <v>2483</v>
      </c>
      <c r="C160" s="1260">
        <f t="shared" si="29"/>
        <v>-7.4505805969238281E-9</v>
      </c>
      <c r="D160" s="1260">
        <f t="shared" si="27"/>
        <v>2180.2699999809265</v>
      </c>
      <c r="E160" s="1260">
        <f t="shared" si="27"/>
        <v>4808022.5299999118</v>
      </c>
      <c r="F160" s="1260">
        <f t="shared" si="27"/>
        <v>33624406.45000124</v>
      </c>
      <c r="G160" s="1260">
        <f t="shared" si="27"/>
        <v>131294.92999982834</v>
      </c>
      <c r="H160" s="1260">
        <f t="shared" si="27"/>
        <v>13401543.930000067</v>
      </c>
      <c r="I160" s="1260">
        <f t="shared" si="27"/>
        <v>2430588.310000062</v>
      </c>
      <c r="J160" s="1260">
        <f t="shared" si="27"/>
        <v>-742545.55000001192</v>
      </c>
      <c r="K160" s="1260">
        <f t="shared" si="27"/>
        <v>-506035.69000001252</v>
      </c>
      <c r="L160" s="1260">
        <f t="shared" si="27"/>
        <v>2455281.4099999964</v>
      </c>
      <c r="M160" s="1260">
        <f t="shared" si="30"/>
        <v>55604736.590001054</v>
      </c>
    </row>
    <row r="161" spans="1:13">
      <c r="A161" s="600">
        <f t="shared" si="28"/>
        <v>92</v>
      </c>
      <c r="B161" s="1241" t="s">
        <v>4</v>
      </c>
      <c r="C161" s="1215">
        <f>SUM(C149:C160)</f>
        <v>-1622961.3299999945</v>
      </c>
      <c r="D161" s="1215">
        <f t="shared" ref="D161:M161" si="31">SUM(D149:D160)</f>
        <v>2043610.1999999881</v>
      </c>
      <c r="E161" s="1215">
        <f t="shared" si="31"/>
        <v>139100705.00999975</v>
      </c>
      <c r="F161" s="1215">
        <f t="shared" si="31"/>
        <v>292995764.07000017</v>
      </c>
      <c r="G161" s="1215">
        <f t="shared" si="31"/>
        <v>-6426822.1300001144</v>
      </c>
      <c r="H161" s="1215">
        <f t="shared" si="31"/>
        <v>146939930.24999997</v>
      </c>
      <c r="I161" s="1215">
        <f t="shared" si="31"/>
        <v>29392133.170000076</v>
      </c>
      <c r="J161" s="1215">
        <f t="shared" si="31"/>
        <v>6846465.0899999812</v>
      </c>
      <c r="K161" s="1215">
        <f t="shared" si="31"/>
        <v>31262844.650000028</v>
      </c>
      <c r="L161" s="1215">
        <f t="shared" si="31"/>
        <v>15842118.150000006</v>
      </c>
      <c r="M161" s="1215">
        <f t="shared" si="31"/>
        <v>656373787.12999988</v>
      </c>
    </row>
    <row r="162" spans="1:13">
      <c r="A162" s="600"/>
      <c r="B162" s="1241"/>
      <c r="C162" s="1256"/>
      <c r="D162" s="1256"/>
      <c r="E162" s="1256"/>
      <c r="F162" s="1256"/>
      <c r="G162" s="1256"/>
      <c r="H162" s="1256"/>
      <c r="I162" s="1256"/>
      <c r="J162" s="1256"/>
      <c r="K162" s="1256"/>
      <c r="L162" s="1256"/>
      <c r="M162" s="1256"/>
    </row>
    <row r="163" spans="1:13" s="503" customFormat="1">
      <c r="B163" s="44" t="s">
        <v>2535</v>
      </c>
      <c r="M163" s="1256"/>
    </row>
    <row r="164" spans="1:13" s="503" customFormat="1">
      <c r="M164" s="1256"/>
    </row>
    <row r="165" spans="1:13" s="503" customFormat="1">
      <c r="B165" s="111" t="s">
        <v>1782</v>
      </c>
      <c r="C165" s="981">
        <v>350.1</v>
      </c>
      <c r="D165" s="981">
        <v>350.2</v>
      </c>
      <c r="E165" s="981">
        <v>352</v>
      </c>
      <c r="F165" s="981">
        <v>353</v>
      </c>
      <c r="G165" s="981">
        <v>354</v>
      </c>
      <c r="H165" s="4">
        <v>355</v>
      </c>
      <c r="I165" s="4">
        <v>356</v>
      </c>
      <c r="J165" s="4">
        <v>357</v>
      </c>
      <c r="K165" s="4">
        <v>358</v>
      </c>
      <c r="L165" s="4">
        <v>359</v>
      </c>
      <c r="M165" s="1256"/>
    </row>
    <row r="166" spans="1:13" s="503" customFormat="1">
      <c r="A166" s="600">
        <f>A161+1</f>
        <v>93</v>
      </c>
      <c r="B166" s="768" t="s">
        <v>2472</v>
      </c>
      <c r="C166" s="1263">
        <f>C149/C$161</f>
        <v>0.9957816370153405</v>
      </c>
      <c r="D166" s="1263">
        <f t="shared" ref="D166:L166" si="32">D149/D$161</f>
        <v>1.0319438609181216E-2</v>
      </c>
      <c r="E166" s="1263">
        <f t="shared" si="32"/>
        <v>0.11795216177244006</v>
      </c>
      <c r="F166" s="1263">
        <f t="shared" si="32"/>
        <v>4.652532572704466E-2</v>
      </c>
      <c r="G166" s="1263">
        <f t="shared" si="32"/>
        <v>-0.91741561703990493</v>
      </c>
      <c r="H166" s="1263">
        <f t="shared" si="32"/>
        <v>6.5562842677338987E-2</v>
      </c>
      <c r="I166" s="1263">
        <f t="shared" si="32"/>
        <v>0.32047540733159108</v>
      </c>
      <c r="J166" s="1263">
        <f t="shared" si="32"/>
        <v>0.13706970789505754</v>
      </c>
      <c r="K166" s="1263">
        <f t="shared" si="32"/>
        <v>5.4440189594199197E-2</v>
      </c>
      <c r="L166" s="1263">
        <f t="shared" si="32"/>
        <v>-2.7733993386472068E-3</v>
      </c>
      <c r="M166" s="1256"/>
    </row>
    <row r="167" spans="1:13" s="503" customFormat="1">
      <c r="A167" s="600">
        <f t="shared" ref="A167:A177" si="33">A166+1</f>
        <v>94</v>
      </c>
      <c r="B167" s="767" t="s">
        <v>2473</v>
      </c>
      <c r="C167" s="1263">
        <f t="shared" ref="C167:L177" si="34">C150/C$161</f>
        <v>6.6906708122538695E-4</v>
      </c>
      <c r="D167" s="1263">
        <f t="shared" si="34"/>
        <v>-2.0237714609233921E-3</v>
      </c>
      <c r="E167" s="1263">
        <f t="shared" si="34"/>
        <v>1.7970092673652054E-2</v>
      </c>
      <c r="F167" s="1263">
        <f t="shared" si="34"/>
        <v>2.2961969437865843E-2</v>
      </c>
      <c r="G167" s="1263">
        <f t="shared" si="34"/>
        <v>-1.7318823790504095E-3</v>
      </c>
      <c r="H167" s="1263">
        <f t="shared" si="34"/>
        <v>7.1741526976804318E-2</v>
      </c>
      <c r="I167" s="1263">
        <f t="shared" si="34"/>
        <v>7.9614071781197535E-3</v>
      </c>
      <c r="J167" s="1263">
        <f t="shared" si="34"/>
        <v>-3.6471769988975942E-3</v>
      </c>
      <c r="K167" s="1263">
        <f t="shared" si="34"/>
        <v>3.3044120314896668E-3</v>
      </c>
      <c r="L167" s="1263">
        <f t="shared" si="34"/>
        <v>3.4744406952741955E-4</v>
      </c>
      <c r="M167" s="1256"/>
    </row>
    <row r="168" spans="1:13" s="503" customFormat="1">
      <c r="A168" s="600">
        <f t="shared" si="33"/>
        <v>95</v>
      </c>
      <c r="B168" s="767" t="s">
        <v>2474</v>
      </c>
      <c r="C168" s="1263">
        <f t="shared" si="34"/>
        <v>-1.1252332179656581E-3</v>
      </c>
      <c r="D168" s="1263">
        <f t="shared" si="34"/>
        <v>4.0515299835565295E-2</v>
      </c>
      <c r="E168" s="1263">
        <f t="shared" si="34"/>
        <v>0.10086294565502936</v>
      </c>
      <c r="F168" s="1263">
        <f t="shared" si="34"/>
        <v>0.10284560896518398</v>
      </c>
      <c r="G168" s="1263">
        <f t="shared" si="34"/>
        <v>-0.10920485362807174</v>
      </c>
      <c r="H168" s="1263">
        <f t="shared" si="34"/>
        <v>0.17010764179262244</v>
      </c>
      <c r="I168" s="1263">
        <f t="shared" si="34"/>
        <v>0.32699765152839083</v>
      </c>
      <c r="J168" s="1263">
        <f t="shared" si="34"/>
        <v>3.9743239237053311E-3</v>
      </c>
      <c r="K168" s="1263">
        <f t="shared" si="34"/>
        <v>4.5481942731656226E-2</v>
      </c>
      <c r="L168" s="1263">
        <f t="shared" si="34"/>
        <v>0.55669688147099239</v>
      </c>
      <c r="M168" s="1256"/>
    </row>
    <row r="169" spans="1:13" s="503" customFormat="1">
      <c r="A169" s="600">
        <f t="shared" si="33"/>
        <v>96</v>
      </c>
      <c r="B169" s="768" t="s">
        <v>2475</v>
      </c>
      <c r="C169" s="1263">
        <f t="shared" si="34"/>
        <v>6.1739610271194321E-4</v>
      </c>
      <c r="D169" s="1263">
        <f t="shared" si="34"/>
        <v>2.4477417464539484E-3</v>
      </c>
      <c r="E169" s="1263">
        <f t="shared" si="34"/>
        <v>0.27744095213051329</v>
      </c>
      <c r="F169" s="1263">
        <f t="shared" si="34"/>
        <v>5.9640251917857892E-2</v>
      </c>
      <c r="G169" s="1263">
        <f t="shared" si="34"/>
        <v>0.19665046494765789</v>
      </c>
      <c r="H169" s="1263">
        <f t="shared" si="34"/>
        <v>8.8442215998670276E-2</v>
      </c>
      <c r="I169" s="1263">
        <f t="shared" si="34"/>
        <v>-8.0091485241429432E-3</v>
      </c>
      <c r="J169" s="1263">
        <f t="shared" si="34"/>
        <v>0.33989112621035844</v>
      </c>
      <c r="K169" s="1263">
        <f t="shared" si="34"/>
        <v>0.26452396231320013</v>
      </c>
      <c r="L169" s="1263">
        <f t="shared" si="34"/>
        <v>2.6501709937064109E-2</v>
      </c>
      <c r="M169" s="1256"/>
    </row>
    <row r="170" spans="1:13" s="503" customFormat="1">
      <c r="A170" s="600">
        <f t="shared" si="33"/>
        <v>97</v>
      </c>
      <c r="B170" s="767" t="s">
        <v>2476</v>
      </c>
      <c r="C170" s="1263">
        <f t="shared" si="34"/>
        <v>-6.1670600617260189E-4</v>
      </c>
      <c r="D170" s="1263">
        <f t="shared" si="34"/>
        <v>4.1596973825938858E-3</v>
      </c>
      <c r="E170" s="1263">
        <f t="shared" si="34"/>
        <v>8.4218485443015387E-3</v>
      </c>
      <c r="F170" s="1263">
        <f t="shared" si="34"/>
        <v>8.2493614802687919E-3</v>
      </c>
      <c r="G170" s="1263">
        <f t="shared" si="34"/>
        <v>-0.42995936469146467</v>
      </c>
      <c r="H170" s="1263">
        <f t="shared" si="34"/>
        <v>5.8183152499488459E-2</v>
      </c>
      <c r="I170" s="1263">
        <f t="shared" si="34"/>
        <v>1.6216039075593894E-2</v>
      </c>
      <c r="J170" s="1263">
        <f t="shared" si="34"/>
        <v>3.5058059428446142E-2</v>
      </c>
      <c r="K170" s="1263">
        <f t="shared" si="34"/>
        <v>5.1021396416655367E-2</v>
      </c>
      <c r="L170" s="1263">
        <f t="shared" si="34"/>
        <v>6.3782061870306647E-2</v>
      </c>
      <c r="M170" s="1256"/>
    </row>
    <row r="171" spans="1:13" s="503" customFormat="1">
      <c r="A171" s="600">
        <f t="shared" si="33"/>
        <v>98</v>
      </c>
      <c r="B171" s="767" t="s">
        <v>2477</v>
      </c>
      <c r="C171" s="1263">
        <f t="shared" si="34"/>
        <v>-8.1900903948602588E-4</v>
      </c>
      <c r="D171" s="1263">
        <f t="shared" si="34"/>
        <v>-0.45822153853021658</v>
      </c>
      <c r="E171" s="1263">
        <f t="shared" si="34"/>
        <v>6.7291937803818785E-2</v>
      </c>
      <c r="F171" s="1263">
        <f t="shared" si="34"/>
        <v>0.17082338984956019</v>
      </c>
      <c r="G171" s="1263">
        <f t="shared" si="34"/>
        <v>3.3739393889215257</v>
      </c>
      <c r="H171" s="1263">
        <f t="shared" si="34"/>
        <v>0.12490942617689244</v>
      </c>
      <c r="I171" s="1263">
        <f t="shared" si="34"/>
        <v>5.608559441623482E-2</v>
      </c>
      <c r="J171" s="1263">
        <f t="shared" si="34"/>
        <v>0.47483314488061068</v>
      </c>
      <c r="K171" s="1263">
        <f t="shared" si="34"/>
        <v>0.77577479181824949</v>
      </c>
      <c r="L171" s="1263">
        <f t="shared" si="34"/>
        <v>0.18564964117503321</v>
      </c>
      <c r="M171" s="1256"/>
    </row>
    <row r="172" spans="1:13" s="503" customFormat="1">
      <c r="A172" s="600">
        <f t="shared" si="33"/>
        <v>99</v>
      </c>
      <c r="B172" s="768" t="s">
        <v>2478</v>
      </c>
      <c r="C172" s="1263">
        <f t="shared" si="34"/>
        <v>3.5218645659253378E-3</v>
      </c>
      <c r="D172" s="1263">
        <f t="shared" si="34"/>
        <v>2.0134906353649943E-3</v>
      </c>
      <c r="E172" s="1263">
        <f t="shared" si="34"/>
        <v>8.4845999013100984E-2</v>
      </c>
      <c r="F172" s="1263">
        <f t="shared" si="34"/>
        <v>0.29156701050323358</v>
      </c>
      <c r="G172" s="1263">
        <f t="shared" si="34"/>
        <v>9.6357466796652178E-2</v>
      </c>
      <c r="H172" s="1263">
        <f t="shared" si="34"/>
        <v>5.3282883942297847E-2</v>
      </c>
      <c r="I172" s="1263">
        <f t="shared" si="34"/>
        <v>-2.716719488789314E-2</v>
      </c>
      <c r="J172" s="1263">
        <f t="shared" si="34"/>
        <v>8.8805941753513404E-2</v>
      </c>
      <c r="K172" s="1263">
        <f t="shared" si="34"/>
        <v>3.1819263446328669E-2</v>
      </c>
      <c r="L172" s="1263">
        <f t="shared" si="34"/>
        <v>2.2295887245356326E-2</v>
      </c>
      <c r="M172" s="1256"/>
    </row>
    <row r="173" spans="1:13" s="503" customFormat="1">
      <c r="A173" s="600">
        <f t="shared" si="33"/>
        <v>100</v>
      </c>
      <c r="B173" s="767" t="s">
        <v>2479</v>
      </c>
      <c r="C173" s="1263">
        <f t="shared" si="34"/>
        <v>1.1057626369935813E-3</v>
      </c>
      <c r="D173" s="1263">
        <f t="shared" si="34"/>
        <v>8.8949399450011356E-3</v>
      </c>
      <c r="E173" s="1263">
        <f t="shared" si="34"/>
        <v>-7.7602649096751228E-3</v>
      </c>
      <c r="F173" s="1263">
        <f t="shared" si="34"/>
        <v>2.2013738391290405E-3</v>
      </c>
      <c r="G173" s="1263">
        <f t="shared" si="34"/>
        <v>-0.2064798687683739</v>
      </c>
      <c r="H173" s="1263">
        <f t="shared" si="34"/>
        <v>7.0081619764482322E-2</v>
      </c>
      <c r="I173" s="1263">
        <f t="shared" si="34"/>
        <v>1.4339830918770606E-2</v>
      </c>
      <c r="J173" s="1263">
        <f t="shared" si="34"/>
        <v>9.6695430605051466E-2</v>
      </c>
      <c r="K173" s="1263">
        <f t="shared" si="34"/>
        <v>-3.6095628936954345E-2</v>
      </c>
      <c r="L173" s="1263">
        <f t="shared" si="34"/>
        <v>-1.3108449137511687E-3</v>
      </c>
      <c r="M173" s="1256"/>
    </row>
    <row r="174" spans="1:13" s="503" customFormat="1">
      <c r="A174" s="600">
        <f t="shared" si="33"/>
        <v>101</v>
      </c>
      <c r="B174" s="767" t="s">
        <v>2480</v>
      </c>
      <c r="C174" s="1263">
        <f t="shared" si="34"/>
        <v>8.6522086142988292E-4</v>
      </c>
      <c r="D174" s="1263">
        <f t="shared" si="34"/>
        <v>1.3354575691587487</v>
      </c>
      <c r="E174" s="1263">
        <f t="shared" si="34"/>
        <v>6.4788253225260793E-3</v>
      </c>
      <c r="F174" s="1263">
        <f t="shared" si="34"/>
        <v>2.022691856590933E-2</v>
      </c>
      <c r="G174" s="1263">
        <f t="shared" si="34"/>
        <v>-8.1299799408000001E-2</v>
      </c>
      <c r="H174" s="1263">
        <f t="shared" si="34"/>
        <v>7.190660858504147E-2</v>
      </c>
      <c r="I174" s="1263">
        <f t="shared" si="34"/>
        <v>0.25906472374628647</v>
      </c>
      <c r="J174" s="1263">
        <f t="shared" si="34"/>
        <v>0.12315866055193762</v>
      </c>
      <c r="K174" s="1263">
        <f t="shared" si="34"/>
        <v>1.3589558620028039E-2</v>
      </c>
      <c r="L174" s="1263">
        <f t="shared" si="34"/>
        <v>5.7165524926724933E-4</v>
      </c>
      <c r="M174" s="1256"/>
    </row>
    <row r="175" spans="1:13" s="503" customFormat="1">
      <c r="A175" s="600">
        <f t="shared" si="33"/>
        <v>102</v>
      </c>
      <c r="B175" s="768" t="s">
        <v>2481</v>
      </c>
      <c r="C175" s="1263">
        <f t="shared" si="34"/>
        <v>-6.8860980781259773E-15</v>
      </c>
      <c r="D175" s="1263">
        <f t="shared" si="34"/>
        <v>4.9881929538211155E-2</v>
      </c>
      <c r="E175" s="1263">
        <f t="shared" si="34"/>
        <v>0.24349568636309277</v>
      </c>
      <c r="F175" s="1263">
        <f t="shared" si="34"/>
        <v>8.8908042178306501E-2</v>
      </c>
      <c r="G175" s="1263">
        <f t="shared" si="34"/>
        <v>-0.20240108776745291</v>
      </c>
      <c r="H175" s="1263">
        <f t="shared" si="34"/>
        <v>6.3084613652862692E-2</v>
      </c>
      <c r="I175" s="1263">
        <f t="shared" si="34"/>
        <v>5.2901013036619933E-2</v>
      </c>
      <c r="J175" s="1263">
        <f t="shared" si="34"/>
        <v>-0.90081580478781431</v>
      </c>
      <c r="K175" s="1263">
        <f t="shared" si="34"/>
        <v>-2.4894448944522429E-2</v>
      </c>
      <c r="L175" s="1263">
        <f t="shared" si="34"/>
        <v>-6.1148085806935412E-3</v>
      </c>
      <c r="M175" s="1256"/>
    </row>
    <row r="176" spans="1:13" s="503" customFormat="1">
      <c r="A176" s="600">
        <f t="shared" si="33"/>
        <v>103</v>
      </c>
      <c r="B176" s="768" t="s">
        <v>2482</v>
      </c>
      <c r="C176" s="1263">
        <f t="shared" si="34"/>
        <v>0</v>
      </c>
      <c r="D176" s="1263">
        <f t="shared" si="34"/>
        <v>5.4883313853274131E-3</v>
      </c>
      <c r="E176" s="1263">
        <f t="shared" si="34"/>
        <v>4.8434767742663115E-2</v>
      </c>
      <c r="F176" s="1263">
        <f t="shared" si="34"/>
        <v>7.129002204621647E-2</v>
      </c>
      <c r="G176" s="1263">
        <f t="shared" si="34"/>
        <v>-0.69802563214856006</v>
      </c>
      <c r="H176" s="1263">
        <f t="shared" si="34"/>
        <v>7.1493232929446343E-2</v>
      </c>
      <c r="I176" s="1263">
        <f t="shared" si="34"/>
        <v>-0.10156052310782547</v>
      </c>
      <c r="J176" s="1263">
        <f t="shared" si="34"/>
        <v>0.71343336536314805</v>
      </c>
      <c r="K176" s="1263">
        <f t="shared" si="34"/>
        <v>-0.16277895012346585</v>
      </c>
      <c r="L176" s="1263">
        <f t="shared" si="34"/>
        <v>-6.3064294214967734E-4</v>
      </c>
      <c r="M176" s="1256"/>
    </row>
    <row r="177" spans="1:13" s="503" customFormat="1">
      <c r="A177" s="600">
        <f t="shared" si="33"/>
        <v>104</v>
      </c>
      <c r="B177" s="767" t="s">
        <v>2483</v>
      </c>
      <c r="C177" s="1263">
        <f t="shared" si="34"/>
        <v>4.5907320520839851E-15</v>
      </c>
      <c r="D177" s="1263">
        <f t="shared" si="34"/>
        <v>1.06687175469223E-3</v>
      </c>
      <c r="E177" s="1263">
        <f t="shared" si="34"/>
        <v>3.4565047888537086E-2</v>
      </c>
      <c r="F177" s="1263">
        <f t="shared" si="34"/>
        <v>0.11476072548942369</v>
      </c>
      <c r="G177" s="1263">
        <f t="shared" si="34"/>
        <v>-2.0429214834957007E-2</v>
      </c>
      <c r="H177" s="1263">
        <f t="shared" si="34"/>
        <v>9.1204235004052406E-2</v>
      </c>
      <c r="I177" s="1263">
        <f t="shared" si="34"/>
        <v>8.2695199288254168E-2</v>
      </c>
      <c r="J177" s="1263">
        <f t="shared" si="34"/>
        <v>-0.10845677882511688</v>
      </c>
      <c r="K177" s="1263">
        <f t="shared" si="34"/>
        <v>-1.6186488966864122E-2</v>
      </c>
      <c r="L177" s="1263">
        <f t="shared" si="34"/>
        <v>0.15498441475769423</v>
      </c>
      <c r="M177" s="1256"/>
    </row>
    <row r="179" spans="1:13">
      <c r="B179" s="1" t="s">
        <v>1552</v>
      </c>
    </row>
    <row r="180" spans="1:13">
      <c r="B180" s="507" t="s">
        <v>2536</v>
      </c>
    </row>
    <row r="181" spans="1:13">
      <c r="B181" s="16"/>
      <c r="C181" s="84">
        <v>350.1</v>
      </c>
      <c r="D181" s="84">
        <v>350.2</v>
      </c>
      <c r="E181" s="84">
        <v>352</v>
      </c>
      <c r="F181" s="84">
        <v>353</v>
      </c>
      <c r="G181" s="84">
        <v>354</v>
      </c>
      <c r="H181" s="84">
        <v>355</v>
      </c>
      <c r="I181" s="84">
        <v>356</v>
      </c>
      <c r="J181" s="84">
        <v>357</v>
      </c>
      <c r="K181" s="84">
        <v>358</v>
      </c>
      <c r="L181" s="84">
        <v>359</v>
      </c>
      <c r="M181" s="3" t="s">
        <v>196</v>
      </c>
    </row>
    <row r="182" spans="1:13">
      <c r="A182" s="600">
        <f>A177+1</f>
        <v>105</v>
      </c>
      <c r="B182" s="16"/>
      <c r="C182" s="7">
        <f t="shared" ref="C182:M182" si="35">C23-C11</f>
        <v>8869048.5419605076</v>
      </c>
      <c r="D182" s="7">
        <f t="shared" si="35"/>
        <v>2254447.2308546305</v>
      </c>
      <c r="E182" s="7">
        <f t="shared" si="35"/>
        <v>61124235.011641979</v>
      </c>
      <c r="F182" s="7">
        <f t="shared" si="35"/>
        <v>218998202.23022413</v>
      </c>
      <c r="G182" s="7">
        <f t="shared" si="35"/>
        <v>69368469.570474148</v>
      </c>
      <c r="H182" s="7">
        <f t="shared" si="35"/>
        <v>13579661.393843889</v>
      </c>
      <c r="I182" s="7">
        <f t="shared" si="35"/>
        <v>-3742390.8130452633</v>
      </c>
      <c r="J182" s="7">
        <f t="shared" si="35"/>
        <v>185286780.12931573</v>
      </c>
      <c r="K182" s="7">
        <f t="shared" si="35"/>
        <v>68939143.785460576</v>
      </c>
      <c r="L182" s="7">
        <f t="shared" si="35"/>
        <v>-5060454.2383535504</v>
      </c>
      <c r="M182" s="7">
        <f t="shared" si="35"/>
        <v>619617142.84237671</v>
      </c>
    </row>
    <row r="183" spans="1:13">
      <c r="B183" s="16"/>
      <c r="C183" s="7"/>
      <c r="D183" s="7"/>
      <c r="E183" s="7"/>
      <c r="F183" s="7"/>
      <c r="G183" s="7"/>
      <c r="H183" s="7"/>
      <c r="I183" s="7"/>
      <c r="J183" s="7"/>
      <c r="K183" s="7"/>
      <c r="L183" s="7"/>
      <c r="M183" s="7"/>
    </row>
    <row r="184" spans="1:13">
      <c r="B184" s="507" t="s">
        <v>2537</v>
      </c>
      <c r="C184" s="7"/>
      <c r="D184" s="7"/>
      <c r="E184" s="7"/>
      <c r="F184" s="7"/>
      <c r="G184" s="7"/>
      <c r="H184" s="7"/>
      <c r="I184" s="7"/>
      <c r="J184" s="7"/>
      <c r="K184" s="7"/>
      <c r="L184" s="7"/>
      <c r="M184" s="7"/>
    </row>
    <row r="185" spans="1:13">
      <c r="B185" s="16"/>
      <c r="C185" s="84">
        <v>350.1</v>
      </c>
      <c r="D185" s="84">
        <v>350.2</v>
      </c>
      <c r="E185" s="84">
        <v>352</v>
      </c>
      <c r="F185" s="84">
        <v>353</v>
      </c>
      <c r="G185" s="84">
        <v>354</v>
      </c>
      <c r="H185" s="84">
        <v>355</v>
      </c>
      <c r="I185" s="84">
        <v>356</v>
      </c>
      <c r="J185" s="84">
        <v>357</v>
      </c>
      <c r="K185" s="84">
        <v>358</v>
      </c>
      <c r="L185" s="84">
        <v>359</v>
      </c>
      <c r="M185" s="3" t="s">
        <v>196</v>
      </c>
    </row>
    <row r="186" spans="1:13">
      <c r="A186" s="600">
        <f>A182+1</f>
        <v>106</v>
      </c>
      <c r="B186" s="16"/>
      <c r="C186" s="7">
        <f>C142</f>
        <v>9482183.6099999957</v>
      </c>
      <c r="D186" s="7">
        <f t="shared" ref="D186:M186" si="36">D142</f>
        <v>612406.43999999762</v>
      </c>
      <c r="E186" s="7">
        <f t="shared" si="36"/>
        <v>-149600.82999992371</v>
      </c>
      <c r="F186" s="7">
        <f t="shared" si="36"/>
        <v>45539308.889999866</v>
      </c>
      <c r="G186" s="7">
        <f t="shared" si="36"/>
        <v>51952222.490000248</v>
      </c>
      <c r="H186" s="7">
        <f t="shared" si="36"/>
        <v>2657678.4199999869</v>
      </c>
      <c r="I186" s="7">
        <f t="shared" si="36"/>
        <v>-11688496.890000105</v>
      </c>
      <c r="J186" s="7">
        <f t="shared" si="36"/>
        <v>185286762.54000002</v>
      </c>
      <c r="K186" s="7">
        <f t="shared" si="36"/>
        <v>68859161.75999999</v>
      </c>
      <c r="L186" s="7">
        <f t="shared" si="36"/>
        <v>-9324924.7600000203</v>
      </c>
      <c r="M186" s="7">
        <f t="shared" si="36"/>
        <v>343226701.67000008</v>
      </c>
    </row>
    <row r="187" spans="1:13">
      <c r="B187" s="16"/>
      <c r="C187" s="7"/>
      <c r="D187" s="7"/>
      <c r="E187" s="7"/>
      <c r="F187" s="7"/>
      <c r="G187" s="7"/>
      <c r="H187" s="7"/>
      <c r="I187" s="7"/>
      <c r="J187" s="7"/>
      <c r="K187" s="7"/>
      <c r="L187" s="7"/>
      <c r="M187" s="7"/>
    </row>
    <row r="188" spans="1:13">
      <c r="B188" s="507" t="s">
        <v>2538</v>
      </c>
      <c r="C188" s="7"/>
      <c r="D188" s="7"/>
      <c r="E188" s="7"/>
      <c r="F188" s="7"/>
      <c r="G188" s="7"/>
      <c r="H188" s="7"/>
      <c r="I188" s="7"/>
      <c r="J188" s="7"/>
      <c r="K188" s="7"/>
      <c r="L188" s="7"/>
      <c r="M188" s="7"/>
    </row>
    <row r="189" spans="1:13">
      <c r="C189" s="84">
        <v>350.1</v>
      </c>
      <c r="D189" s="84">
        <v>350.2</v>
      </c>
      <c r="E189" s="84">
        <v>352</v>
      </c>
      <c r="F189" s="84">
        <v>353</v>
      </c>
      <c r="G189" s="84">
        <v>354</v>
      </c>
      <c r="H189" s="84">
        <v>355</v>
      </c>
      <c r="I189" s="84">
        <v>356</v>
      </c>
      <c r="J189" s="84">
        <v>357</v>
      </c>
      <c r="K189" s="84">
        <v>358</v>
      </c>
      <c r="L189" s="84">
        <v>359</v>
      </c>
      <c r="M189" s="3" t="s">
        <v>196</v>
      </c>
    </row>
    <row r="190" spans="1:13">
      <c r="A190" s="600">
        <f>A186+1</f>
        <v>107</v>
      </c>
      <c r="C190" s="7">
        <f>C182-C186</f>
        <v>-613135.06803948805</v>
      </c>
      <c r="D190" s="7">
        <f t="shared" ref="D190:M190" si="37">D182-D186</f>
        <v>1642040.7908546329</v>
      </c>
      <c r="E190" s="7">
        <f t="shared" si="37"/>
        <v>61273835.841641903</v>
      </c>
      <c r="F190" s="7">
        <f t="shared" si="37"/>
        <v>173458893.34022427</v>
      </c>
      <c r="G190" s="7">
        <f t="shared" si="37"/>
        <v>17416247.0804739</v>
      </c>
      <c r="H190" s="7">
        <f t="shared" si="37"/>
        <v>10921982.973843902</v>
      </c>
      <c r="I190" s="7">
        <f t="shared" si="37"/>
        <v>7946106.0769548416</v>
      </c>
      <c r="J190" s="7">
        <f t="shared" si="37"/>
        <v>17.589315712451935</v>
      </c>
      <c r="K190" s="7">
        <f t="shared" si="37"/>
        <v>79982.025460585952</v>
      </c>
      <c r="L190" s="7">
        <f t="shared" si="37"/>
        <v>4264470.5216464698</v>
      </c>
      <c r="M190" s="7">
        <f t="shared" si="37"/>
        <v>276390441.17237663</v>
      </c>
    </row>
    <row r="192" spans="1:13">
      <c r="B192" s="44" t="s">
        <v>2539</v>
      </c>
      <c r="C192" s="14"/>
      <c r="D192" s="14"/>
      <c r="E192" s="14"/>
      <c r="F192" s="14"/>
      <c r="G192" s="14"/>
    </row>
    <row r="193" spans="1:13">
      <c r="A193" s="416"/>
      <c r="B193" s="363" t="s">
        <v>363</v>
      </c>
      <c r="C193" s="363" t="s">
        <v>347</v>
      </c>
      <c r="D193" s="363" t="s">
        <v>348</v>
      </c>
      <c r="E193" s="363" t="s">
        <v>349</v>
      </c>
      <c r="F193" s="363" t="s">
        <v>350</v>
      </c>
      <c r="G193" s="363" t="s">
        <v>351</v>
      </c>
      <c r="H193" s="84" t="s">
        <v>352</v>
      </c>
      <c r="I193" s="84" t="s">
        <v>544</v>
      </c>
      <c r="J193" s="84" t="s">
        <v>961</v>
      </c>
      <c r="K193" s="84" t="s">
        <v>974</v>
      </c>
      <c r="L193" s="84" t="s">
        <v>977</v>
      </c>
      <c r="M193" s="84" t="s">
        <v>995</v>
      </c>
    </row>
    <row r="194" spans="1:13">
      <c r="A194" s="234"/>
      <c r="B194" s="476"/>
      <c r="C194" s="243"/>
      <c r="D194" s="243"/>
      <c r="E194" s="243"/>
      <c r="F194" s="544"/>
      <c r="G194" s="243"/>
      <c r="H194" s="234"/>
      <c r="I194" s="234"/>
      <c r="J194" s="234"/>
      <c r="K194" s="234"/>
      <c r="L194" s="234"/>
      <c r="M194" s="251" t="s">
        <v>1238</v>
      </c>
    </row>
    <row r="195" spans="1:13">
      <c r="A195" s="234"/>
      <c r="B195" s="111"/>
      <c r="C195" s="363"/>
      <c r="D195" s="363"/>
      <c r="E195" s="243"/>
      <c r="F195" s="243"/>
      <c r="G195" s="243"/>
      <c r="H195" s="234"/>
      <c r="I195" s="234"/>
      <c r="J195" s="234"/>
      <c r="K195" s="234"/>
      <c r="L195" s="234"/>
    </row>
    <row r="196" spans="1:13">
      <c r="A196" s="51"/>
      <c r="B196" s="125" t="s">
        <v>1782</v>
      </c>
      <c r="C196" s="363">
        <v>350.1</v>
      </c>
      <c r="D196" s="363">
        <v>350.2</v>
      </c>
      <c r="E196" s="363">
        <v>352</v>
      </c>
      <c r="F196" s="363">
        <v>353</v>
      </c>
      <c r="G196" s="363">
        <v>354</v>
      </c>
      <c r="H196" s="84">
        <v>355</v>
      </c>
      <c r="I196" s="84">
        <v>356</v>
      </c>
      <c r="J196" s="84">
        <v>357</v>
      </c>
      <c r="K196" s="84">
        <v>358</v>
      </c>
      <c r="L196" s="84">
        <v>359</v>
      </c>
      <c r="M196" s="3" t="s">
        <v>196</v>
      </c>
    </row>
    <row r="197" spans="1:13">
      <c r="A197" s="600">
        <f>A190+1</f>
        <v>108</v>
      </c>
      <c r="B197" s="768" t="s">
        <v>2472</v>
      </c>
      <c r="C197" s="517">
        <f>C$190*C166</f>
        <v>-610548.64176387363</v>
      </c>
      <c r="D197" s="517">
        <f t="shared" ref="D197:L197" si="38">D$190*D166</f>
        <v>16944.939134995755</v>
      </c>
      <c r="E197" s="517">
        <f t="shared" si="38"/>
        <v>7227381.3976112818</v>
      </c>
      <c r="F197" s="517">
        <f t="shared" si="38"/>
        <v>8070231.5129066315</v>
      </c>
      <c r="G197" s="517">
        <f t="shared" si="38"/>
        <v>-15977937.061852405</v>
      </c>
      <c r="H197" s="517">
        <f t="shared" si="38"/>
        <v>716076.25143870281</v>
      </c>
      <c r="I197" s="517">
        <f t="shared" si="38"/>
        <v>2546531.5817121342</v>
      </c>
      <c r="J197" s="517">
        <f t="shared" si="38"/>
        <v>2.4109623667797324</v>
      </c>
      <c r="K197" s="517">
        <f t="shared" si="38"/>
        <v>4354.2366302023665</v>
      </c>
      <c r="L197" s="517">
        <f t="shared" si="38"/>
        <v>-11827.079724414829</v>
      </c>
      <c r="M197" s="517">
        <f>SUM(C197:L197)</f>
        <v>1981209.5470556219</v>
      </c>
    </row>
    <row r="198" spans="1:13">
      <c r="A198" s="600">
        <f t="shared" ref="A198:A209" si="39">A197+1</f>
        <v>109</v>
      </c>
      <c r="B198" s="767" t="s">
        <v>2473</v>
      </c>
      <c r="C198" s="517">
        <f t="shared" ref="C198:L208" si="40">C$190*C167</f>
        <v>-410.22849037010928</v>
      </c>
      <c r="D198" s="517">
        <f t="shared" si="40"/>
        <v>-3323.1152902036824</v>
      </c>
      <c r="E198" s="517">
        <f t="shared" si="40"/>
        <v>1101096.5085444478</v>
      </c>
      <c r="F198" s="517">
        <f t="shared" si="40"/>
        <v>3982957.8076042607</v>
      </c>
      <c r="G198" s="517">
        <f t="shared" si="40"/>
        <v>-30162.891427860886</v>
      </c>
      <c r="H198" s="517">
        <f t="shared" si="40"/>
        <v>783559.73615821975</v>
      </c>
      <c r="I198" s="517">
        <f t="shared" si="40"/>
        <v>63262.18595916927</v>
      </c>
      <c r="J198" s="517">
        <f t="shared" si="40"/>
        <v>-6.4151347692802743E-2</v>
      </c>
      <c r="K198" s="517">
        <f t="shared" si="40"/>
        <v>264.29356723487308</v>
      </c>
      <c r="L198" s="517">
        <f t="shared" si="40"/>
        <v>1481.6649924205672</v>
      </c>
      <c r="M198" s="517">
        <f t="shared" ref="M198:M209" si="41">SUM(C198:L198)</f>
        <v>5898725.8974659722</v>
      </c>
    </row>
    <row r="199" spans="1:13">
      <c r="A199" s="600">
        <f t="shared" si="39"/>
        <v>110</v>
      </c>
      <c r="B199" s="767" t="s">
        <v>2474</v>
      </c>
      <c r="C199" s="517">
        <f t="shared" si="40"/>
        <v>689.91994565766583</v>
      </c>
      <c r="D199" s="517">
        <f t="shared" si="40"/>
        <v>66527.774983704207</v>
      </c>
      <c r="E199" s="517">
        <f t="shared" si="40"/>
        <v>6180259.5745707173</v>
      </c>
      <c r="F199" s="517">
        <f t="shared" si="40"/>
        <v>17839485.51600226</v>
      </c>
      <c r="G199" s="517">
        <f t="shared" si="40"/>
        <v>-1901938.713173484</v>
      </c>
      <c r="H199" s="517">
        <f t="shared" si="40"/>
        <v>1857912.7673797598</v>
      </c>
      <c r="I199" s="517">
        <f t="shared" si="40"/>
        <v>2598358.0259597083</v>
      </c>
      <c r="J199" s="517">
        <f t="shared" si="40"/>
        <v>6.9905638237603804E-2</v>
      </c>
      <c r="K199" s="517">
        <f t="shared" si="40"/>
        <v>3637.7379015602405</v>
      </c>
      <c r="L199" s="517">
        <f t="shared" si="40"/>
        <v>2374017.4405255658</v>
      </c>
      <c r="M199" s="517">
        <f t="shared" si="41"/>
        <v>29018950.114001092</v>
      </c>
    </row>
    <row r="200" spans="1:13">
      <c r="A200" s="600">
        <f t="shared" si="39"/>
        <v>111</v>
      </c>
      <c r="B200" s="768" t="s">
        <v>2475</v>
      </c>
      <c r="C200" s="517">
        <f t="shared" si="40"/>
        <v>-378.54720144360203</v>
      </c>
      <c r="D200" s="517">
        <f t="shared" si="40"/>
        <v>4019.2917931551415</v>
      </c>
      <c r="E200" s="517">
        <f t="shared" si="40"/>
        <v>16999871.356593899</v>
      </c>
      <c r="F200" s="517">
        <f t="shared" si="40"/>
        <v>10345132.096203817</v>
      </c>
      <c r="G200" s="517">
        <f t="shared" si="40"/>
        <v>3424913.0860184818</v>
      </c>
      <c r="H200" s="517">
        <f t="shared" si="40"/>
        <v>965964.3773065015</v>
      </c>
      <c r="I200" s="517">
        <f t="shared" si="40"/>
        <v>-63641.543758926142</v>
      </c>
      <c r="J200" s="517">
        <f t="shared" si="40"/>
        <v>5.9784523267748417</v>
      </c>
      <c r="K200" s="517">
        <f t="shared" si="40"/>
        <v>21157.162288669453</v>
      </c>
      <c r="L200" s="517">
        <f t="shared" si="40"/>
        <v>113015.76079983522</v>
      </c>
      <c r="M200" s="517">
        <f t="shared" si="41"/>
        <v>31810059.018496323</v>
      </c>
    </row>
    <row r="201" spans="1:13">
      <c r="A201" s="600">
        <f t="shared" si="39"/>
        <v>112</v>
      </c>
      <c r="B201" s="767" t="s">
        <v>2476</v>
      </c>
      <c r="C201" s="517">
        <f t="shared" si="40"/>
        <v>378.12407905499919</v>
      </c>
      <c r="D201" s="517">
        <f t="shared" si="40"/>
        <v>6830.3927798304103</v>
      </c>
      <c r="E201" s="517">
        <f t="shared" si="40"/>
        <v>516038.96518670331</v>
      </c>
      <c r="F201" s="517">
        <f t="shared" si="40"/>
        <v>1430925.1131308989</v>
      </c>
      <c r="G201" s="517">
        <f t="shared" si="40"/>
        <v>-7488278.5300301341</v>
      </c>
      <c r="H201" s="517">
        <f t="shared" si="40"/>
        <v>635475.40096397628</v>
      </c>
      <c r="I201" s="517">
        <f t="shared" si="40"/>
        <v>128854.36664271381</v>
      </c>
      <c r="J201" s="517">
        <f t="shared" si="40"/>
        <v>0.61664727555284138</v>
      </c>
      <c r="K201" s="517">
        <f t="shared" si="40"/>
        <v>4080.7946272315785</v>
      </c>
      <c r="L201" s="517">
        <f t="shared" si="40"/>
        <v>271996.72265575401</v>
      </c>
      <c r="M201" s="517">
        <f t="shared" si="41"/>
        <v>-4493698.033316697</v>
      </c>
    </row>
    <row r="202" spans="1:13">
      <c r="A202" s="600">
        <f t="shared" si="39"/>
        <v>113</v>
      </c>
      <c r="B202" s="767" t="s">
        <v>2477</v>
      </c>
      <c r="C202" s="517">
        <f t="shared" si="40"/>
        <v>502.16316315022021</v>
      </c>
      <c r="D202" s="517">
        <f t="shared" si="40"/>
        <v>-752418.45751478348</v>
      </c>
      <c r="E202" s="517">
        <f t="shared" si="40"/>
        <v>4123235.1504571694</v>
      </c>
      <c r="F202" s="517">
        <f t="shared" si="40"/>
        <v>29630836.159930412</v>
      </c>
      <c r="G202" s="517">
        <f t="shared" si="40"/>
        <v>58761362.032000415</v>
      </c>
      <c r="H202" s="517">
        <f t="shared" si="40"/>
        <v>1364258.625976631</v>
      </c>
      <c r="I202" s="517">
        <f t="shared" si="40"/>
        <v>445662.08262046805</v>
      </c>
      <c r="J202" s="517">
        <f t="shared" si="40"/>
        <v>8.3519900960414919</v>
      </c>
      <c r="K202" s="517">
        <f t="shared" si="40"/>
        <v>62048.039150887998</v>
      </c>
      <c r="L202" s="517">
        <f t="shared" si="40"/>
        <v>791697.42214517388</v>
      </c>
      <c r="M202" s="517">
        <f t="shared" si="41"/>
        <v>94427191.569919631</v>
      </c>
    </row>
    <row r="203" spans="1:13">
      <c r="A203" s="600">
        <f t="shared" si="39"/>
        <v>114</v>
      </c>
      <c r="B203" s="768" t="s">
        <v>2478</v>
      </c>
      <c r="C203" s="517">
        <f t="shared" si="40"/>
        <v>-2159.378670254494</v>
      </c>
      <c r="D203" s="517">
        <f t="shared" si="40"/>
        <v>3306.2337552731324</v>
      </c>
      <c r="E203" s="517">
        <f t="shared" si="40"/>
        <v>5198839.8153488608</v>
      </c>
      <c r="F203" s="517">
        <f t="shared" si="40"/>
        <v>50574890.976408444</v>
      </c>
      <c r="G203" s="517">
        <f t="shared" si="40"/>
        <v>1678185.4497790541</v>
      </c>
      <c r="H203" s="517">
        <f t="shared" si="40"/>
        <v>581954.7512150777</v>
      </c>
      <c r="I203" s="517">
        <f t="shared" si="40"/>
        <v>-215873.41239250419</v>
      </c>
      <c r="J203" s="517">
        <f t="shared" si="40"/>
        <v>1.5620357466441646</v>
      </c>
      <c r="K203" s="517">
        <f t="shared" si="40"/>
        <v>2544.9691391013516</v>
      </c>
      <c r="L203" s="517">
        <f t="shared" si="40"/>
        <v>95080.15391177556</v>
      </c>
      <c r="M203" s="517">
        <f t="shared" si="41"/>
        <v>57916771.120530576</v>
      </c>
    </row>
    <row r="204" spans="1:13">
      <c r="A204" s="600">
        <f t="shared" si="39"/>
        <v>115</v>
      </c>
      <c r="B204" s="767" t="s">
        <v>2479</v>
      </c>
      <c r="C204" s="517">
        <f t="shared" si="40"/>
        <v>-677.98184966858321</v>
      </c>
      <c r="D204" s="517">
        <f t="shared" si="40"/>
        <v>14605.854221894129</v>
      </c>
      <c r="E204" s="517">
        <f t="shared" si="40"/>
        <v>-475501.19816308748</v>
      </c>
      <c r="F204" s="517">
        <f t="shared" si="40"/>
        <v>381847.86996344425</v>
      </c>
      <c r="G204" s="517">
        <f t="shared" si="40"/>
        <v>-3596104.4116138262</v>
      </c>
      <c r="H204" s="517">
        <f t="shared" si="40"/>
        <v>765430.25784707826</v>
      </c>
      <c r="I204" s="517">
        <f t="shared" si="40"/>
        <v>113945.81760614805</v>
      </c>
      <c r="J204" s="517">
        <f t="shared" si="40"/>
        <v>1.7008064568637375</v>
      </c>
      <c r="K204" s="517">
        <f t="shared" si="40"/>
        <v>-2887.0015126513454</v>
      </c>
      <c r="L204" s="517">
        <f t="shared" si="40"/>
        <v>-5590.0594931420683</v>
      </c>
      <c r="M204" s="517">
        <f t="shared" si="41"/>
        <v>-2804929.1521873544</v>
      </c>
    </row>
    <row r="205" spans="1:13">
      <c r="A205" s="600">
        <f t="shared" si="39"/>
        <v>116</v>
      </c>
      <c r="B205" s="767" t="s">
        <v>2480</v>
      </c>
      <c r="C205" s="517">
        <f t="shared" si="40"/>
        <v>-530.49725174199568</v>
      </c>
      <c r="D205" s="517">
        <f t="shared" si="40"/>
        <v>2192875.8030142374</v>
      </c>
      <c r="E205" s="517">
        <f t="shared" si="40"/>
        <v>396982.47925913567</v>
      </c>
      <c r="F205" s="517">
        <f t="shared" si="40"/>
        <v>3508538.9101254684</v>
      </c>
      <c r="G205" s="517">
        <f t="shared" si="40"/>
        <v>-1415937.3940826936</v>
      </c>
      <c r="H205" s="517">
        <f t="shared" si="40"/>
        <v>785362.75467268075</v>
      </c>
      <c r="I205" s="517">
        <f t="shared" si="40"/>
        <v>2058555.7756849942</v>
      </c>
      <c r="J205" s="517">
        <f t="shared" si="40"/>
        <v>2.1662765631707308</v>
      </c>
      <c r="K205" s="517">
        <f t="shared" si="40"/>
        <v>1086.920423545208</v>
      </c>
      <c r="L205" s="517">
        <f t="shared" si="40"/>
        <v>2437.8069590446494</v>
      </c>
      <c r="M205" s="517">
        <f t="shared" si="41"/>
        <v>7529374.7250812333</v>
      </c>
    </row>
    <row r="206" spans="1:13">
      <c r="A206" s="600">
        <f t="shared" si="39"/>
        <v>117</v>
      </c>
      <c r="B206" s="768" t="s">
        <v>2481</v>
      </c>
      <c r="C206" s="517">
        <f t="shared" si="40"/>
        <v>4.2221082136583586E-9</v>
      </c>
      <c r="D206" s="517">
        <f t="shared" si="40"/>
        <v>81908.163028279319</v>
      </c>
      <c r="E206" s="517">
        <f t="shared" si="40"/>
        <v>14919914.714360069</v>
      </c>
      <c r="F206" s="517">
        <f t="shared" si="40"/>
        <v>15421890.605295029</v>
      </c>
      <c r="G206" s="517">
        <f t="shared" si="40"/>
        <v>-3525067.3539146432</v>
      </c>
      <c r="H206" s="517">
        <f t="shared" si="40"/>
        <v>689009.07622808695</v>
      </c>
      <c r="I206" s="517">
        <f t="shared" si="40"/>
        <v>420357.06116735295</v>
      </c>
      <c r="J206" s="517">
        <f t="shared" si="40"/>
        <v>-15.844733589179338</v>
      </c>
      <c r="K206" s="517">
        <f t="shared" si="40"/>
        <v>-1991.10844930805</v>
      </c>
      <c r="L206" s="517">
        <f t="shared" si="40"/>
        <v>-26076.420937878494</v>
      </c>
      <c r="M206" s="517">
        <f t="shared" si="41"/>
        <v>27979928.892043404</v>
      </c>
    </row>
    <row r="207" spans="1:13">
      <c r="A207" s="600">
        <f t="shared" si="39"/>
        <v>118</v>
      </c>
      <c r="B207" s="768" t="s">
        <v>2482</v>
      </c>
      <c r="C207" s="517">
        <f t="shared" si="40"/>
        <v>0</v>
      </c>
      <c r="D207" s="517">
        <f t="shared" si="40"/>
        <v>9012.064008435329</v>
      </c>
      <c r="E207" s="517">
        <f t="shared" si="40"/>
        <v>2967784.0076919924</v>
      </c>
      <c r="F207" s="517">
        <f t="shared" si="40"/>
        <v>12365888.330336899</v>
      </c>
      <c r="G207" s="517">
        <f t="shared" si="40"/>
        <v>-12156986.878003307</v>
      </c>
      <c r="H207" s="517">
        <f t="shared" si="40"/>
        <v>780847.87280046917</v>
      </c>
      <c r="I207" s="517">
        <f t="shared" si="40"/>
        <v>-807010.68984580459</v>
      </c>
      <c r="J207" s="517">
        <f t="shared" si="40"/>
        <v>12.548804703169482</v>
      </c>
      <c r="K207" s="517">
        <f t="shared" si="40"/>
        <v>-13019.390133222496</v>
      </c>
      <c r="L207" s="517">
        <f t="shared" si="40"/>
        <v>-2689.3582364816989</v>
      </c>
      <c r="M207" s="517">
        <f t="shared" si="41"/>
        <v>3143838.5074236831</v>
      </c>
    </row>
    <row r="208" spans="1:13">
      <c r="A208" s="600">
        <f t="shared" si="39"/>
        <v>119</v>
      </c>
      <c r="B208" s="767" t="s">
        <v>2483</v>
      </c>
      <c r="C208" s="112">
        <f t="shared" si="40"/>
        <v>-2.8147388091055729E-9</v>
      </c>
      <c r="D208" s="112">
        <f t="shared" si="40"/>
        <v>1751.8469398152993</v>
      </c>
      <c r="E208" s="112">
        <f t="shared" si="40"/>
        <v>2117933.0701807123</v>
      </c>
      <c r="F208" s="112">
        <f t="shared" si="40"/>
        <v>19906268.4423167</v>
      </c>
      <c r="G208" s="112">
        <f t="shared" si="40"/>
        <v>-355800.25322569406</v>
      </c>
      <c r="H208" s="112">
        <f t="shared" si="40"/>
        <v>996131.10185671842</v>
      </c>
      <c r="I208" s="112">
        <f t="shared" si="40"/>
        <v>657104.8255993881</v>
      </c>
      <c r="J208" s="112">
        <f t="shared" si="40"/>
        <v>-1.9076805239105528</v>
      </c>
      <c r="K208" s="112">
        <f t="shared" si="40"/>
        <v>-1294.6281726652198</v>
      </c>
      <c r="L208" s="112">
        <f t="shared" si="40"/>
        <v>660926.46804881713</v>
      </c>
      <c r="M208" s="112">
        <f t="shared" si="41"/>
        <v>23983018.965863265</v>
      </c>
    </row>
    <row r="209" spans="1:44">
      <c r="A209" s="600">
        <f t="shared" si="39"/>
        <v>120</v>
      </c>
      <c r="B209" s="1241" t="s">
        <v>4</v>
      </c>
      <c r="C209" s="236">
        <f>SUM(C197:C208)</f>
        <v>-613135.06803948805</v>
      </c>
      <c r="D209" s="236">
        <f t="shared" ref="D209:L209" si="42">SUM(D197:D208)</f>
        <v>1642040.7908546329</v>
      </c>
      <c r="E209" s="236">
        <f t="shared" si="42"/>
        <v>61273835.841641903</v>
      </c>
      <c r="F209" s="236">
        <f t="shared" si="42"/>
        <v>173458893.34022427</v>
      </c>
      <c r="G209" s="236">
        <f t="shared" si="42"/>
        <v>17416247.0804739</v>
      </c>
      <c r="H209" s="236">
        <f t="shared" si="42"/>
        <v>10921982.973843902</v>
      </c>
      <c r="I209" s="236">
        <f t="shared" si="42"/>
        <v>7946106.0769548407</v>
      </c>
      <c r="J209" s="236">
        <f t="shared" si="42"/>
        <v>17.589315712451931</v>
      </c>
      <c r="K209" s="236">
        <f t="shared" si="42"/>
        <v>79982.025460585937</v>
      </c>
      <c r="L209" s="236">
        <f t="shared" si="42"/>
        <v>4264470.5216464698</v>
      </c>
      <c r="M209" s="517">
        <f t="shared" si="41"/>
        <v>276390441.17237675</v>
      </c>
    </row>
    <row r="211" spans="1:44">
      <c r="B211" s="419" t="s">
        <v>232</v>
      </c>
    </row>
    <row r="212" spans="1:44">
      <c r="B212" s="505" t="s">
        <v>1881</v>
      </c>
      <c r="C212" s="14"/>
      <c r="D212" s="14"/>
      <c r="E212" s="14"/>
      <c r="F212" s="14"/>
      <c r="G212" s="14"/>
      <c r="H212" s="14"/>
      <c r="I212" s="14"/>
      <c r="J212" s="14"/>
      <c r="K212" s="14"/>
      <c r="L212" s="14"/>
    </row>
    <row r="213" spans="1:44">
      <c r="B213" s="987" t="s">
        <v>1904</v>
      </c>
      <c r="C213" s="505"/>
      <c r="D213" s="505"/>
      <c r="E213" s="505"/>
      <c r="F213" s="505"/>
      <c r="G213" s="505"/>
      <c r="H213" s="505"/>
      <c r="I213" s="14"/>
      <c r="J213" s="505"/>
      <c r="K213" s="505"/>
      <c r="L213" s="505"/>
      <c r="M213" s="505"/>
      <c r="N213" s="503"/>
      <c r="O213" s="503"/>
      <c r="P213" s="503"/>
      <c r="Q213" s="503"/>
      <c r="R213" s="503"/>
      <c r="S213" s="503"/>
      <c r="T213" s="503"/>
      <c r="U213" s="503"/>
      <c r="V213" s="503"/>
      <c r="W213" s="503"/>
      <c r="X213" s="503"/>
      <c r="Y213" s="503"/>
      <c r="Z213" s="503"/>
      <c r="AA213" s="503"/>
      <c r="AB213" s="503"/>
      <c r="AC213" s="503"/>
      <c r="AD213" s="503"/>
      <c r="AE213" s="503"/>
      <c r="AF213" s="503"/>
      <c r="AG213" s="503"/>
      <c r="AH213" s="503"/>
      <c r="AI213" s="503"/>
      <c r="AJ213" s="503"/>
      <c r="AK213" s="503"/>
      <c r="AL213" s="503"/>
      <c r="AM213" s="503"/>
      <c r="AN213" s="503"/>
      <c r="AO213" s="503"/>
      <c r="AP213" s="503"/>
      <c r="AQ213" s="503"/>
      <c r="AR213" s="503"/>
    </row>
    <row r="214" spans="1:44">
      <c r="B214" s="1236" t="s">
        <v>1882</v>
      </c>
      <c r="C214" s="14"/>
      <c r="D214" s="14"/>
      <c r="E214" s="14"/>
      <c r="F214" s="14"/>
      <c r="G214" s="14"/>
      <c r="H214" s="14"/>
      <c r="I214" s="14"/>
      <c r="J214" s="14"/>
      <c r="K214" s="14"/>
      <c r="L214" s="14"/>
      <c r="M214" s="14"/>
    </row>
    <row r="215" spans="1:44">
      <c r="B215" s="502" t="s">
        <v>2540</v>
      </c>
      <c r="C215" s="14"/>
      <c r="D215" s="14"/>
      <c r="E215" s="14"/>
      <c r="F215" s="14"/>
      <c r="G215" s="14"/>
      <c r="H215" s="14"/>
      <c r="I215" s="14"/>
      <c r="J215" s="14"/>
      <c r="K215" s="14"/>
      <c r="L215" s="14"/>
      <c r="M215" s="14"/>
    </row>
    <row r="216" spans="1:44">
      <c r="B216" s="502" t="s">
        <v>2541</v>
      </c>
      <c r="C216" s="14"/>
      <c r="D216" s="14"/>
      <c r="E216" s="14"/>
      <c r="F216" s="14"/>
      <c r="G216" s="14"/>
      <c r="H216" s="14"/>
      <c r="I216" s="14"/>
      <c r="J216" s="14"/>
      <c r="K216" s="14"/>
      <c r="L216" s="14"/>
      <c r="M216" s="14"/>
    </row>
    <row r="217" spans="1:44">
      <c r="B217" s="114" t="s">
        <v>1883</v>
      </c>
      <c r="C217" s="14"/>
      <c r="D217" s="14"/>
      <c r="E217" s="14"/>
      <c r="F217" s="14"/>
      <c r="G217" s="14"/>
      <c r="H217" s="14"/>
      <c r="I217" s="14"/>
      <c r="J217" s="14"/>
      <c r="K217" s="14"/>
      <c r="L217" s="14"/>
      <c r="M217" s="14"/>
    </row>
    <row r="218" spans="1:44">
      <c r="B218" s="505" t="s">
        <v>1884</v>
      </c>
      <c r="C218" s="14"/>
      <c r="D218" s="14"/>
      <c r="E218" s="14"/>
      <c r="F218" s="14"/>
      <c r="G218" s="14"/>
      <c r="H218" s="14"/>
      <c r="I218" s="14"/>
      <c r="J218" s="14"/>
      <c r="K218" s="14"/>
      <c r="L218" s="14"/>
      <c r="M218" s="14"/>
    </row>
    <row r="219" spans="1:44">
      <c r="B219" s="502" t="s">
        <v>2542</v>
      </c>
      <c r="C219" s="14"/>
      <c r="D219" s="14"/>
      <c r="E219" s="14"/>
      <c r="F219" s="14"/>
      <c r="G219" s="14"/>
      <c r="H219" s="14"/>
      <c r="I219" s="14"/>
      <c r="J219" s="14"/>
      <c r="K219" s="14"/>
      <c r="L219" s="14"/>
      <c r="M219" s="14"/>
    </row>
    <row r="220" spans="1:44">
      <c r="B220" s="502" t="s">
        <v>2543</v>
      </c>
      <c r="C220" s="14"/>
      <c r="D220" s="14"/>
      <c r="E220" s="14"/>
      <c r="F220" s="14"/>
      <c r="G220" s="14"/>
      <c r="H220" s="14"/>
      <c r="I220" s="14"/>
      <c r="J220" s="14"/>
      <c r="K220" s="14"/>
      <c r="L220" s="14"/>
      <c r="M220" s="14"/>
    </row>
    <row r="221" spans="1:44">
      <c r="B221" s="502" t="s">
        <v>2544</v>
      </c>
      <c r="C221" s="14"/>
      <c r="D221" s="14"/>
      <c r="E221" s="14"/>
      <c r="F221" s="14"/>
      <c r="G221" s="14"/>
      <c r="H221" s="14"/>
      <c r="I221" s="14"/>
      <c r="J221" s="14"/>
      <c r="K221" s="14"/>
      <c r="L221" s="14"/>
      <c r="M221" s="14"/>
    </row>
    <row r="222" spans="1:44">
      <c r="B222" s="505"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502"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261" t="s">
        <v>2545</v>
      </c>
      <c r="C224" s="14"/>
      <c r="D224" s="14"/>
      <c r="E224" s="14"/>
      <c r="F224" s="14"/>
      <c r="G224" s="14"/>
      <c r="H224" s="14"/>
      <c r="I224" s="14"/>
      <c r="J224" s="14"/>
      <c r="K224" s="14"/>
      <c r="L224" s="14"/>
    </row>
    <row r="225" spans="2:12">
      <c r="B225" s="505" t="s">
        <v>2546</v>
      </c>
      <c r="C225" s="14"/>
      <c r="D225" s="14"/>
      <c r="E225" s="14"/>
      <c r="F225" s="14"/>
      <c r="G225" s="14"/>
      <c r="H225" s="14"/>
      <c r="I225" s="14"/>
      <c r="J225" s="14"/>
      <c r="K225" s="14"/>
      <c r="L225" s="14"/>
    </row>
    <row r="226" spans="2:12">
      <c r="B226" s="505" t="s">
        <v>2547</v>
      </c>
      <c r="C226" s="14"/>
      <c r="D226" s="14"/>
      <c r="E226" s="14"/>
      <c r="F226" s="14"/>
      <c r="G226" s="14"/>
      <c r="H226" s="14"/>
      <c r="I226" s="14"/>
      <c r="J226" s="14"/>
      <c r="K226" s="14"/>
      <c r="L226" s="14"/>
    </row>
    <row r="227" spans="2:12">
      <c r="B227" s="14" t="s">
        <v>2865</v>
      </c>
      <c r="C227" s="14"/>
      <c r="D227" s="14"/>
      <c r="E227" s="14"/>
      <c r="F227" s="14"/>
      <c r="G227" s="14"/>
      <c r="H227" s="14"/>
      <c r="I227" s="14"/>
      <c r="J227" s="14"/>
      <c r="L227" s="14"/>
    </row>
    <row r="228" spans="2:12">
      <c r="B228" s="503" t="s">
        <v>2548</v>
      </c>
      <c r="C228" s="14"/>
      <c r="D228" s="14"/>
      <c r="E228" s="14"/>
      <c r="F228" s="14"/>
      <c r="G228" s="14"/>
      <c r="H228" s="14"/>
      <c r="I228" s="14"/>
      <c r="J228" s="14"/>
      <c r="K228" s="14"/>
      <c r="L228" s="14"/>
    </row>
    <row r="229" spans="2:12">
      <c r="B229" s="503" t="s">
        <v>2549</v>
      </c>
      <c r="C229" s="14"/>
      <c r="D229" s="14"/>
      <c r="E229" s="14"/>
      <c r="F229" s="14"/>
      <c r="G229" s="14"/>
      <c r="H229" s="14"/>
      <c r="I229" s="14"/>
      <c r="J229" s="14"/>
      <c r="K229" s="14"/>
      <c r="L229" s="14"/>
    </row>
    <row r="230" spans="2:12">
      <c r="B230" s="1112"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112" t="str">
        <f>"10) Line "&amp;A142&amp;""</f>
        <v>10) Line 79</v>
      </c>
      <c r="C231" s="14"/>
      <c r="D231" s="14"/>
      <c r="E231" s="14"/>
      <c r="F231" s="14"/>
      <c r="G231" s="14"/>
      <c r="H231" s="14"/>
      <c r="I231" s="14"/>
      <c r="J231" s="14"/>
      <c r="K231" s="14"/>
      <c r="L231" s="14"/>
    </row>
    <row r="232" spans="2:12">
      <c r="B232" s="1112"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505" t="str">
        <f>"12) For each column (FERC Account) divide Line "&amp;A190&amp;" by Line "&amp;A161&amp;" to arrive at a ratio for each column."</f>
        <v>12) For each column (FERC Account) divide Line 107 by Line 92 to arrive at a ratio for each column.</v>
      </c>
    </row>
    <row r="234" spans="2:12">
      <c r="B234" s="502" t="str">
        <f>"Apply the ratio of each column to each monthly value from Lines "&amp;A149&amp;"-"&amp;A160&amp;" to calculate the values for"</f>
        <v>Apply the ratio of each column to each monthly value from Lines 80-91 to calculate the values for</v>
      </c>
    </row>
    <row r="235" spans="2:12">
      <c r="B235" s="502" t="str">
        <f>"the corresponsing months listed in Lines "&amp;A197&amp;"-"&amp;A208&amp;"."</f>
        <v>the corresponsing months listed in Lines 108-119.</v>
      </c>
    </row>
  </sheetData>
  <phoneticPr fontId="23" type="noConversion"/>
  <pageMargins left="0.75" right="0.75" top="1" bottom="1" header="0.5" footer="0.5"/>
  <pageSetup scale="65" orientation="landscape" cellComments="asDisplayed" r:id="rId1"/>
  <headerFooter alignWithMargins="0">
    <oddHeader>&amp;CSchedule 6
Plant In Service
&amp;RExhibit SCE-4
TO2018 Formula Rate Spreadsheet</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27" customWidth="1"/>
    <col min="3" max="5" width="15.7109375" style="127" customWidth="1"/>
    <col min="6" max="6" width="12.28515625" style="127" customWidth="1"/>
    <col min="8" max="8" width="15.5703125" customWidth="1"/>
  </cols>
  <sheetData>
    <row r="1" spans="1:8">
      <c r="A1" s="1" t="s">
        <v>434</v>
      </c>
      <c r="B1" s="172"/>
      <c r="C1" s="172"/>
      <c r="D1" s="172"/>
      <c r="E1" s="173" t="s">
        <v>454</v>
      </c>
      <c r="F1" s="186"/>
      <c r="G1" s="12"/>
    </row>
    <row r="2" spans="1:8">
      <c r="B2" s="172"/>
      <c r="C2" s="172"/>
      <c r="G2" s="12"/>
    </row>
    <row r="3" spans="1:8">
      <c r="A3" s="988" t="s">
        <v>1751</v>
      </c>
      <c r="B3" s="989"/>
      <c r="C3" s="989"/>
      <c r="D3" s="989"/>
      <c r="E3" s="990" t="s">
        <v>1746</v>
      </c>
      <c r="F3" s="173">
        <v>2016</v>
      </c>
      <c r="G3" s="12"/>
    </row>
    <row r="4" spans="1:8">
      <c r="A4" s="170"/>
      <c r="B4" s="172"/>
      <c r="C4" s="172"/>
      <c r="D4" s="172"/>
      <c r="E4" s="172"/>
      <c r="F4" s="172"/>
      <c r="G4" s="12"/>
    </row>
    <row r="5" spans="1:8">
      <c r="B5" s="170"/>
      <c r="C5" s="84" t="s">
        <v>363</v>
      </c>
      <c r="E5" s="84" t="s">
        <v>347</v>
      </c>
      <c r="F5" s="84" t="s">
        <v>348</v>
      </c>
      <c r="G5" s="12"/>
    </row>
    <row r="6" spans="1:8">
      <c r="B6" s="170"/>
      <c r="C6" s="84"/>
      <c r="E6" s="84"/>
      <c r="F6" s="84"/>
      <c r="G6" s="12"/>
    </row>
    <row r="7" spans="1:8">
      <c r="A7" s="51" t="s">
        <v>332</v>
      </c>
      <c r="B7" s="170"/>
      <c r="C7" s="171" t="s">
        <v>196</v>
      </c>
      <c r="D7" s="171"/>
      <c r="E7" s="171" t="s">
        <v>1139</v>
      </c>
      <c r="F7" s="171" t="s">
        <v>436</v>
      </c>
      <c r="G7" s="12"/>
    </row>
    <row r="8" spans="1:8">
      <c r="A8" s="2">
        <v>1</v>
      </c>
      <c r="B8" s="163" t="s">
        <v>99</v>
      </c>
      <c r="C8" s="163" t="s">
        <v>376</v>
      </c>
      <c r="D8" s="163" t="s">
        <v>440</v>
      </c>
      <c r="E8" s="163" t="s">
        <v>1140</v>
      </c>
      <c r="F8" s="163" t="s">
        <v>437</v>
      </c>
      <c r="G8" s="174" t="s">
        <v>168</v>
      </c>
    </row>
    <row r="9" spans="1:8" ht="12.75" customHeight="1">
      <c r="A9" s="2">
        <f>A8+1</f>
        <v>2</v>
      </c>
      <c r="B9" s="164" t="s">
        <v>430</v>
      </c>
      <c r="C9" s="175"/>
      <c r="D9" s="175"/>
      <c r="E9" s="175"/>
      <c r="F9" s="176"/>
      <c r="G9" s="12"/>
    </row>
    <row r="10" spans="1:8">
      <c r="A10" s="2">
        <f t="shared" ref="A10:A28" si="0">A9+1</f>
        <v>3</v>
      </c>
      <c r="B10" s="165">
        <v>352</v>
      </c>
      <c r="C10" s="537">
        <v>825778508</v>
      </c>
      <c r="D10" s="157" t="s">
        <v>441</v>
      </c>
      <c r="E10" s="1085">
        <v>531582610.71770966</v>
      </c>
      <c r="F10" s="159">
        <f>E10/C10</f>
        <v>0.64373510035418557</v>
      </c>
      <c r="G10" s="12"/>
      <c r="H10" s="1084"/>
    </row>
    <row r="11" spans="1:8">
      <c r="A11" s="2">
        <f t="shared" si="0"/>
        <v>4</v>
      </c>
      <c r="B11" s="165">
        <v>353</v>
      </c>
      <c r="C11" s="117">
        <v>5586246880</v>
      </c>
      <c r="D11" s="157" t="s">
        <v>442</v>
      </c>
      <c r="E11" s="117">
        <v>3249175449.0339036</v>
      </c>
      <c r="F11" s="160">
        <f>E11/C11</f>
        <v>0.58163835555973564</v>
      </c>
      <c r="G11" s="12"/>
      <c r="H11" s="503"/>
    </row>
    <row r="12" spans="1:8">
      <c r="A12" s="2">
        <f t="shared" si="0"/>
        <v>5</v>
      </c>
      <c r="B12" s="167" t="s">
        <v>425</v>
      </c>
      <c r="C12" s="155">
        <f>SUM(C10:C11)</f>
        <v>6412025388</v>
      </c>
      <c r="D12" s="13" t="str">
        <f>"L "&amp;A10&amp;" + L "&amp;A11&amp;""</f>
        <v>L 3 + L 4</v>
      </c>
      <c r="E12" s="155">
        <f>SUM(E10:E11)</f>
        <v>3780758059.7516131</v>
      </c>
      <c r="F12" s="159">
        <f>E12/C12</f>
        <v>0.58963554118597838</v>
      </c>
      <c r="G12" s="12"/>
    </row>
    <row r="13" spans="1:8">
      <c r="A13" s="2">
        <f t="shared" si="0"/>
        <v>6</v>
      </c>
      <c r="B13" s="177"/>
      <c r="C13" s="178"/>
      <c r="D13" s="178"/>
      <c r="E13" s="178"/>
      <c r="F13" s="159"/>
      <c r="G13" s="12"/>
    </row>
    <row r="14" spans="1:8">
      <c r="A14" s="2">
        <f t="shared" si="0"/>
        <v>7</v>
      </c>
      <c r="B14" s="166" t="s">
        <v>426</v>
      </c>
      <c r="C14" s="179"/>
      <c r="D14" s="179"/>
      <c r="E14" s="179"/>
      <c r="F14" s="180"/>
      <c r="G14" s="12"/>
    </row>
    <row r="15" spans="1:8">
      <c r="A15" s="2">
        <f t="shared" si="0"/>
        <v>8</v>
      </c>
      <c r="B15" s="165">
        <v>350</v>
      </c>
      <c r="C15" s="763">
        <v>338945967</v>
      </c>
      <c r="D15" s="157" t="s">
        <v>443</v>
      </c>
      <c r="E15" s="763">
        <v>252172630.38129246</v>
      </c>
      <c r="F15" s="159">
        <f>E15/C15</f>
        <v>0.7439906502303727</v>
      </c>
      <c r="G15" s="12"/>
      <c r="H15" s="503"/>
    </row>
    <row r="16" spans="1:8">
      <c r="A16" s="2">
        <f t="shared" si="0"/>
        <v>9</v>
      </c>
      <c r="B16" s="165"/>
      <c r="C16" s="155"/>
      <c r="D16" s="155"/>
      <c r="E16" s="155"/>
      <c r="F16" s="159"/>
      <c r="G16" s="12"/>
    </row>
    <row r="17" spans="1:8">
      <c r="A17" s="2">
        <f t="shared" si="0"/>
        <v>10</v>
      </c>
      <c r="B17" s="166" t="s">
        <v>427</v>
      </c>
      <c r="C17" s="155">
        <f>C12+C15</f>
        <v>6750971355</v>
      </c>
      <c r="D17" s="13" t="str">
        <f>"L "&amp;A12&amp;" + L "&amp;A15&amp;""</f>
        <v>L 5 + L 8</v>
      </c>
      <c r="E17" s="155">
        <f>E12+E15</f>
        <v>4032930690.1329055</v>
      </c>
      <c r="F17" s="159">
        <f>E17/C17</f>
        <v>0.59738524696093986</v>
      </c>
      <c r="G17" s="12"/>
    </row>
    <row r="18" spans="1:8">
      <c r="A18" s="2">
        <f t="shared" si="0"/>
        <v>11</v>
      </c>
      <c r="B18" s="177"/>
      <c r="C18" s="178"/>
      <c r="D18" s="178"/>
      <c r="E18" s="178"/>
      <c r="F18" s="159"/>
      <c r="G18" s="12"/>
    </row>
    <row r="19" spans="1:8">
      <c r="A19" s="2">
        <f t="shared" si="0"/>
        <v>12</v>
      </c>
      <c r="B19" s="166" t="s">
        <v>428</v>
      </c>
      <c r="C19" s="178"/>
      <c r="D19" s="178"/>
      <c r="E19" s="178"/>
      <c r="F19" s="159"/>
      <c r="G19" s="12"/>
    </row>
    <row r="20" spans="1:8">
      <c r="A20" s="2">
        <f t="shared" si="0"/>
        <v>13</v>
      </c>
      <c r="B20" s="165">
        <v>354</v>
      </c>
      <c r="C20" s="772">
        <v>2305498226</v>
      </c>
      <c r="D20" s="157" t="s">
        <v>444</v>
      </c>
      <c r="E20" s="772">
        <v>2233991232.3950157</v>
      </c>
      <c r="F20" s="181">
        <f>E20/C20</f>
        <v>0.96898414720142823</v>
      </c>
      <c r="G20" s="12"/>
      <c r="H20" s="503"/>
    </row>
    <row r="21" spans="1:8">
      <c r="A21" s="2">
        <f t="shared" si="0"/>
        <v>14</v>
      </c>
      <c r="B21" s="165">
        <v>355</v>
      </c>
      <c r="C21" s="772">
        <v>1158164968</v>
      </c>
      <c r="D21" s="157" t="s">
        <v>445</v>
      </c>
      <c r="E21" s="772">
        <v>324258227.67707634</v>
      </c>
      <c r="F21" s="181">
        <f t="shared" ref="F21:F26" si="1">E21/C21</f>
        <v>0.27997585545781795</v>
      </c>
      <c r="G21" s="12"/>
      <c r="H21" s="503"/>
    </row>
    <row r="22" spans="1:8">
      <c r="A22" s="2">
        <f t="shared" si="0"/>
        <v>15</v>
      </c>
      <c r="B22" s="165">
        <v>356</v>
      </c>
      <c r="C22" s="772">
        <v>1499811260</v>
      </c>
      <c r="D22" s="157" t="s">
        <v>446</v>
      </c>
      <c r="E22" s="772">
        <v>1235903789.8920355</v>
      </c>
      <c r="F22" s="181">
        <f t="shared" si="1"/>
        <v>0.82403954607730812</v>
      </c>
      <c r="G22" s="12"/>
      <c r="H22" s="503"/>
    </row>
    <row r="23" spans="1:8">
      <c r="A23" s="2">
        <f t="shared" si="0"/>
        <v>16</v>
      </c>
      <c r="B23" s="165">
        <v>357</v>
      </c>
      <c r="C23" s="772">
        <v>253220290</v>
      </c>
      <c r="D23" s="157" t="s">
        <v>447</v>
      </c>
      <c r="E23" s="772">
        <v>185508196.51391283</v>
      </c>
      <c r="F23" s="181">
        <f t="shared" si="1"/>
        <v>0.73259609849555429</v>
      </c>
      <c r="G23" s="12"/>
      <c r="H23" s="503"/>
    </row>
    <row r="24" spans="1:8">
      <c r="A24" s="2">
        <f t="shared" si="0"/>
        <v>17</v>
      </c>
      <c r="B24" s="165">
        <v>358</v>
      </c>
      <c r="C24" s="772">
        <v>368734329</v>
      </c>
      <c r="D24" s="157" t="s">
        <v>448</v>
      </c>
      <c r="E24" s="772">
        <v>81951071.959831506</v>
      </c>
      <c r="F24" s="181">
        <f t="shared" si="1"/>
        <v>0.22224964022764343</v>
      </c>
      <c r="G24" s="12"/>
      <c r="H24" s="503"/>
    </row>
    <row r="25" spans="1:8">
      <c r="A25" s="2">
        <f t="shared" si="0"/>
        <v>18</v>
      </c>
      <c r="B25" s="165">
        <v>359</v>
      </c>
      <c r="C25" s="182">
        <v>200535234</v>
      </c>
      <c r="D25" s="157" t="s">
        <v>449</v>
      </c>
      <c r="E25" s="182">
        <v>182027086.53564012</v>
      </c>
      <c r="F25" s="183">
        <f t="shared" si="1"/>
        <v>0.90770625642594116</v>
      </c>
      <c r="G25" s="12"/>
      <c r="H25" s="503"/>
    </row>
    <row r="26" spans="1:8">
      <c r="A26" s="2">
        <f t="shared" si="0"/>
        <v>19</v>
      </c>
      <c r="B26" s="167" t="s">
        <v>429</v>
      </c>
      <c r="C26" s="155">
        <f>SUM(C20:C25)</f>
        <v>5785964307</v>
      </c>
      <c r="D26" s="158" t="str">
        <f>"Sum L"&amp;A20&amp;" to L"&amp;A25&amp;""</f>
        <v>Sum L13 to L18</v>
      </c>
      <c r="E26" s="155">
        <f>SUM(E20:E25)</f>
        <v>4243639604.9735122</v>
      </c>
      <c r="F26" s="159">
        <f t="shared" si="1"/>
        <v>0.73343687928379608</v>
      </c>
      <c r="G26" s="12"/>
    </row>
    <row r="27" spans="1:8">
      <c r="A27" s="2">
        <f t="shared" si="0"/>
        <v>20</v>
      </c>
      <c r="B27" s="184"/>
      <c r="C27" s="155"/>
      <c r="D27" s="155"/>
      <c r="E27" s="155"/>
      <c r="F27" s="159"/>
      <c r="G27" s="12"/>
    </row>
    <row r="28" spans="1:8">
      <c r="A28" s="2">
        <f t="shared" si="0"/>
        <v>21</v>
      </c>
      <c r="B28" s="185" t="s">
        <v>439</v>
      </c>
      <c r="C28" s="161">
        <f>C17+C26</f>
        <v>12536935662</v>
      </c>
      <c r="D28" s="13" t="str">
        <f>"L "&amp;A17&amp;" + L "&amp;A26&amp;""</f>
        <v>L 10 + L 19</v>
      </c>
      <c r="E28" s="161">
        <f>E17+E26</f>
        <v>8276570295.1064177</v>
      </c>
      <c r="F28" s="162">
        <f>E28/C28</f>
        <v>0.66017490383978472</v>
      </c>
      <c r="G28" s="12" t="s">
        <v>364</v>
      </c>
    </row>
    <row r="29" spans="1:8">
      <c r="A29" s="2"/>
      <c r="B29" s="132"/>
      <c r="C29" s="128"/>
      <c r="D29" s="128"/>
      <c r="E29" s="128"/>
      <c r="F29" s="131"/>
    </row>
    <row r="30" spans="1:8">
      <c r="A30" s="2"/>
      <c r="B30" s="129"/>
      <c r="C30" s="130"/>
      <c r="D30" s="130"/>
      <c r="E30" s="617"/>
      <c r="F30" s="130"/>
    </row>
    <row r="31" spans="1:8">
      <c r="A31" s="170" t="s">
        <v>438</v>
      </c>
      <c r="C31" s="130"/>
      <c r="D31" s="130"/>
      <c r="E31" s="130"/>
      <c r="F31" s="130"/>
    </row>
    <row r="32" spans="1:8">
      <c r="A32" s="2"/>
      <c r="B32" s="135"/>
      <c r="C32" s="130"/>
      <c r="D32" s="130"/>
      <c r="E32" s="130"/>
      <c r="F32" s="130"/>
    </row>
    <row r="33" spans="1:9">
      <c r="A33" s="51" t="s">
        <v>332</v>
      </c>
      <c r="B33" s="170"/>
      <c r="C33" s="171" t="s">
        <v>196</v>
      </c>
      <c r="D33" s="171"/>
      <c r="E33" s="171" t="s">
        <v>308</v>
      </c>
      <c r="F33" s="171" t="s">
        <v>436</v>
      </c>
    </row>
    <row r="34" spans="1:9">
      <c r="A34" s="2">
        <f>A28+1</f>
        <v>22</v>
      </c>
      <c r="B34" s="163" t="s">
        <v>99</v>
      </c>
      <c r="C34" s="163" t="s">
        <v>376</v>
      </c>
      <c r="D34" s="163" t="s">
        <v>440</v>
      </c>
      <c r="E34" s="163" t="s">
        <v>1140</v>
      </c>
      <c r="F34" s="163" t="s">
        <v>437</v>
      </c>
    </row>
    <row r="35" spans="1:9">
      <c r="A35" s="2">
        <f t="shared" ref="A35:A42" si="2">A34+1</f>
        <v>23</v>
      </c>
      <c r="B35" s="164" t="s">
        <v>431</v>
      </c>
      <c r="C35" s="128"/>
      <c r="D35" s="128"/>
      <c r="E35" s="128"/>
      <c r="F35" s="131"/>
    </row>
    <row r="36" spans="1:9">
      <c r="A36" s="2">
        <f t="shared" si="2"/>
        <v>24</v>
      </c>
      <c r="B36" s="165">
        <v>360</v>
      </c>
      <c r="C36" s="763">
        <v>124672241</v>
      </c>
      <c r="D36" s="157" t="s">
        <v>450</v>
      </c>
      <c r="E36" s="1086">
        <v>0</v>
      </c>
      <c r="F36" s="159">
        <f>E36/C36</f>
        <v>0</v>
      </c>
      <c r="H36" s="503"/>
    </row>
    <row r="37" spans="1:9">
      <c r="A37" s="2">
        <f t="shared" si="2"/>
        <v>25</v>
      </c>
      <c r="B37" s="166" t="s">
        <v>432</v>
      </c>
      <c r="C37" s="155"/>
      <c r="D37" s="155"/>
      <c r="E37" s="155"/>
      <c r="F37" s="159"/>
    </row>
    <row r="38" spans="1:9">
      <c r="A38" s="2">
        <f t="shared" si="2"/>
        <v>26</v>
      </c>
      <c r="B38" s="165">
        <v>361</v>
      </c>
      <c r="C38" s="763">
        <v>611762558</v>
      </c>
      <c r="D38" s="157" t="s">
        <v>451</v>
      </c>
      <c r="E38" s="154">
        <v>0</v>
      </c>
      <c r="F38" s="159">
        <f>E38/C38</f>
        <v>0</v>
      </c>
      <c r="H38" s="503"/>
    </row>
    <row r="39" spans="1:9">
      <c r="A39" s="2">
        <f t="shared" si="2"/>
        <v>27</v>
      </c>
      <c r="B39" s="165">
        <v>362</v>
      </c>
      <c r="C39" s="156">
        <v>2397308356</v>
      </c>
      <c r="D39" s="157" t="s">
        <v>452</v>
      </c>
      <c r="E39" s="156">
        <v>0</v>
      </c>
      <c r="F39" s="160">
        <f>E39/C39</f>
        <v>0</v>
      </c>
      <c r="H39" s="503"/>
    </row>
    <row r="40" spans="1:9">
      <c r="A40" s="2">
        <f t="shared" si="2"/>
        <v>28</v>
      </c>
      <c r="B40" s="167" t="s">
        <v>433</v>
      </c>
      <c r="C40" s="155">
        <f>SUM(C38:C39)</f>
        <v>3009070914</v>
      </c>
      <c r="D40" s="13" t="str">
        <f>"L "&amp;A38&amp;" + L "&amp;A39&amp;""</f>
        <v>L 26 + L 27</v>
      </c>
      <c r="E40" s="155">
        <f>SUM(E38:E39)</f>
        <v>0</v>
      </c>
      <c r="F40" s="159">
        <f>E40/C40</f>
        <v>0</v>
      </c>
    </row>
    <row r="41" spans="1:9">
      <c r="A41" s="2">
        <f t="shared" si="2"/>
        <v>29</v>
      </c>
      <c r="B41" s="168"/>
      <c r="C41" s="139"/>
      <c r="D41" s="155"/>
      <c r="E41" s="155"/>
      <c r="F41" s="159"/>
    </row>
    <row r="42" spans="1:9">
      <c r="A42" s="2">
        <f t="shared" si="2"/>
        <v>30</v>
      </c>
      <c r="B42" s="169" t="s">
        <v>1239</v>
      </c>
      <c r="C42" s="161">
        <f>C36+C40</f>
        <v>3133743155</v>
      </c>
      <c r="D42" s="13" t="str">
        <f>"L "&amp;A36&amp;" + L "&amp;A40&amp;""</f>
        <v>L 24 + L 28</v>
      </c>
      <c r="E42" s="161">
        <f>E36+E40</f>
        <v>0</v>
      </c>
      <c r="F42" s="162">
        <f>E42/C42</f>
        <v>0</v>
      </c>
      <c r="G42" s="12" t="s">
        <v>365</v>
      </c>
      <c r="H42" s="12"/>
    </row>
    <row r="43" spans="1:9">
      <c r="A43" s="2"/>
      <c r="B43" s="136"/>
      <c r="C43" s="137"/>
      <c r="D43" s="137"/>
      <c r="E43" s="137"/>
      <c r="F43" s="138"/>
      <c r="H43" s="140"/>
      <c r="I43" s="12"/>
    </row>
    <row r="44" spans="1:9">
      <c r="A44" s="61"/>
      <c r="E44" s="133"/>
    </row>
    <row r="45" spans="1:9">
      <c r="A45" s="83" t="s">
        <v>232</v>
      </c>
    </row>
    <row r="46" spans="1:9">
      <c r="A46" s="13" t="s">
        <v>453</v>
      </c>
      <c r="E46" s="133"/>
    </row>
    <row r="47" spans="1:9">
      <c r="A47" s="13" t="s">
        <v>458</v>
      </c>
    </row>
    <row r="48" spans="1:9">
      <c r="A48" s="13" t="s">
        <v>455</v>
      </c>
      <c r="C48" s="133"/>
      <c r="D48" s="133"/>
    </row>
    <row r="49" spans="1:4">
      <c r="A49" s="13" t="s">
        <v>457</v>
      </c>
      <c r="C49" s="134"/>
      <c r="D49" s="134"/>
    </row>
    <row r="50" spans="1:4">
      <c r="A50" s="61"/>
      <c r="C50" s="133"/>
      <c r="D50" s="133"/>
    </row>
    <row r="51" spans="1:4">
      <c r="A51" s="83" t="s">
        <v>382</v>
      </c>
    </row>
    <row r="52" spans="1:4">
      <c r="A52" s="13" t="s">
        <v>456</v>
      </c>
    </row>
    <row r="53" spans="1:4">
      <c r="A53" s="13" t="s">
        <v>1444</v>
      </c>
    </row>
    <row r="54" spans="1:4">
      <c r="A54" s="507" t="s">
        <v>2053</v>
      </c>
    </row>
  </sheetData>
  <pageMargins left="0.7" right="0.7" top="0.75" bottom="0.75" header="0.3" footer="0.3"/>
  <pageSetup scale="90" orientation="portrait" cellComments="asDisplayed" r:id="rId1"/>
  <headerFooter>
    <oddHeader>&amp;CSchedule 7
Transmission Plant Study Summary
&amp;RExhibit SCE-4
TO2018 Formula Rate Spreadsheet</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zoomScaleNormal="100" workbookViewId="0"/>
  </sheetViews>
  <sheetFormatPr defaultColWidth="8.85546875" defaultRowHeight="12.75"/>
  <cols>
    <col min="1" max="1" width="4.7109375" style="1112" customWidth="1"/>
    <col min="2" max="2" width="7.7109375" style="1112" customWidth="1"/>
    <col min="3" max="3" width="10.7109375" style="1112" customWidth="1"/>
    <col min="4" max="4" width="13.7109375" style="1112" customWidth="1"/>
    <col min="5" max="6" width="14.7109375" style="1112" customWidth="1"/>
    <col min="7" max="10" width="13.7109375" style="1112" customWidth="1"/>
    <col min="11" max="12" width="11.7109375" style="1112" customWidth="1"/>
    <col min="13" max="13" width="13.7109375" style="1112" customWidth="1"/>
    <col min="14" max="14" width="14.7109375" style="1112" customWidth="1"/>
    <col min="15" max="15" width="13.7109375" style="14" customWidth="1"/>
    <col min="16" max="23" width="8.85546875" style="14"/>
    <col min="24" max="16384" width="8.85546875" style="1112"/>
  </cols>
  <sheetData>
    <row r="1" spans="1:18">
      <c r="A1" s="1" t="s">
        <v>163</v>
      </c>
      <c r="B1" s="1"/>
      <c r="C1" s="234"/>
      <c r="D1" s="234"/>
      <c r="E1" s="234"/>
      <c r="F1" s="234"/>
      <c r="G1" s="234"/>
      <c r="H1" s="234"/>
      <c r="I1" s="234"/>
      <c r="J1" s="545" t="s">
        <v>454</v>
      </c>
      <c r="K1" s="186"/>
      <c r="L1" s="234"/>
      <c r="M1" s="234"/>
      <c r="N1" s="234"/>
      <c r="O1" s="243"/>
      <c r="P1" s="243"/>
      <c r="Q1" s="243"/>
      <c r="R1" s="243"/>
    </row>
    <row r="2" spans="1:18">
      <c r="A2" s="234"/>
      <c r="B2" s="234"/>
      <c r="C2" s="234"/>
      <c r="D2" s="234"/>
      <c r="E2" s="234"/>
      <c r="F2" s="234"/>
      <c r="G2" s="234"/>
      <c r="H2" s="234"/>
      <c r="I2" s="234"/>
      <c r="L2" s="234"/>
      <c r="M2" s="234"/>
      <c r="N2" s="234"/>
      <c r="O2" s="243"/>
      <c r="P2" s="243"/>
      <c r="Q2" s="243"/>
      <c r="R2" s="243"/>
    </row>
    <row r="3" spans="1:18">
      <c r="A3" s="234"/>
      <c r="B3" s="1" t="s">
        <v>330</v>
      </c>
      <c r="C3" s="234"/>
      <c r="D3" s="234"/>
      <c r="E3" s="234"/>
      <c r="F3" s="234"/>
      <c r="G3" s="986" t="s">
        <v>1746</v>
      </c>
      <c r="H3" s="1115">
        <v>2016</v>
      </c>
      <c r="I3" s="234"/>
      <c r="J3" s="234"/>
      <c r="K3" s="234"/>
      <c r="L3" s="234"/>
      <c r="M3" s="234"/>
      <c r="N3" s="234"/>
      <c r="O3" s="243"/>
      <c r="P3" s="243"/>
      <c r="Q3" s="243"/>
      <c r="R3" s="243"/>
    </row>
    <row r="4" spans="1:18">
      <c r="A4" s="234"/>
      <c r="B4" s="234"/>
      <c r="C4" s="234"/>
      <c r="D4" s="234"/>
      <c r="E4" s="234"/>
      <c r="F4" s="234"/>
      <c r="G4" s="234"/>
      <c r="H4" s="234"/>
      <c r="I4" s="234"/>
      <c r="J4" s="234"/>
      <c r="K4" s="234"/>
      <c r="L4" s="234"/>
      <c r="M4" s="234"/>
      <c r="N4" s="234"/>
      <c r="O4" s="243"/>
      <c r="P4" s="243"/>
      <c r="Q4" s="243"/>
      <c r="R4" s="243"/>
    </row>
    <row r="5" spans="1:18">
      <c r="A5" s="234"/>
      <c r="B5" s="234"/>
      <c r="C5" s="503" t="s">
        <v>1555</v>
      </c>
      <c r="D5" s="234"/>
      <c r="E5" s="234"/>
      <c r="F5" s="234"/>
      <c r="G5" s="234"/>
      <c r="H5" s="234"/>
      <c r="I5" s="234"/>
      <c r="J5" s="503"/>
      <c r="K5" s="234"/>
      <c r="L5" s="234"/>
      <c r="M5" s="234"/>
      <c r="N5" s="234"/>
      <c r="O5" s="243"/>
      <c r="P5" s="243"/>
      <c r="Q5" s="243"/>
      <c r="R5" s="243"/>
    </row>
    <row r="6" spans="1:18">
      <c r="A6" s="234"/>
      <c r="B6" s="234"/>
      <c r="C6" s="234"/>
      <c r="D6" s="234"/>
      <c r="E6" s="234"/>
      <c r="F6" s="234"/>
      <c r="G6" s="234"/>
      <c r="H6" s="234"/>
      <c r="I6" s="234"/>
      <c r="J6" s="234"/>
      <c r="K6" s="234"/>
      <c r="L6" s="234"/>
      <c r="M6" s="234"/>
      <c r="N6" s="234"/>
      <c r="O6" s="243"/>
      <c r="P6" s="243"/>
      <c r="Q6" s="243"/>
      <c r="R6" s="243"/>
    </row>
    <row r="7" spans="1:18">
      <c r="A7" s="234"/>
      <c r="B7" s="234"/>
      <c r="C7" s="84" t="s">
        <v>363</v>
      </c>
      <c r="D7" s="84" t="s">
        <v>347</v>
      </c>
      <c r="E7" s="84" t="s">
        <v>348</v>
      </c>
      <c r="F7" s="84" t="s">
        <v>349</v>
      </c>
      <c r="G7" s="84" t="s">
        <v>350</v>
      </c>
      <c r="H7" s="84" t="s">
        <v>351</v>
      </c>
      <c r="I7" s="84" t="s">
        <v>352</v>
      </c>
      <c r="J7" s="84" t="s">
        <v>544</v>
      </c>
      <c r="K7" s="84" t="s">
        <v>961</v>
      </c>
      <c r="L7" s="84" t="s">
        <v>974</v>
      </c>
      <c r="M7" s="84" t="s">
        <v>977</v>
      </c>
      <c r="N7" s="84" t="s">
        <v>995</v>
      </c>
      <c r="O7" s="243"/>
      <c r="P7" s="243"/>
      <c r="Q7" s="243"/>
      <c r="R7" s="243"/>
    </row>
    <row r="8" spans="1:18">
      <c r="A8" s="234"/>
      <c r="B8" s="234"/>
      <c r="C8" s="251"/>
      <c r="D8" s="234"/>
      <c r="E8" s="234"/>
      <c r="F8" s="234"/>
      <c r="G8" s="234"/>
      <c r="H8" s="234"/>
      <c r="I8" s="234"/>
      <c r="J8" s="234"/>
      <c r="K8" s="234"/>
      <c r="L8" s="234"/>
      <c r="M8" s="234"/>
      <c r="N8" s="484" t="s">
        <v>1673</v>
      </c>
      <c r="O8" s="243"/>
      <c r="P8" s="243"/>
      <c r="Q8" s="243"/>
      <c r="R8" s="243"/>
    </row>
    <row r="9" spans="1:18">
      <c r="A9" s="234"/>
      <c r="B9" s="234"/>
      <c r="C9" s="476"/>
      <c r="D9" s="546" t="s">
        <v>12</v>
      </c>
      <c r="E9" s="234"/>
      <c r="F9" s="234"/>
      <c r="G9" s="234"/>
      <c r="H9" s="234"/>
      <c r="I9" s="234"/>
      <c r="J9" s="234"/>
      <c r="K9" s="234"/>
      <c r="L9" s="234"/>
      <c r="M9" s="234"/>
      <c r="N9" s="234"/>
      <c r="O9" s="243"/>
      <c r="P9" s="243"/>
      <c r="Q9" s="243"/>
      <c r="R9" s="243"/>
    </row>
    <row r="10" spans="1:18">
      <c r="A10" s="234"/>
      <c r="B10" s="234"/>
      <c r="C10" s="111"/>
      <c r="D10" s="546" t="s">
        <v>975</v>
      </c>
      <c r="E10" s="234"/>
      <c r="F10" s="234"/>
      <c r="G10" s="234"/>
      <c r="H10" s="234"/>
      <c r="I10" s="234"/>
      <c r="J10" s="234"/>
      <c r="K10" s="234"/>
      <c r="L10" s="234"/>
      <c r="M10" s="234"/>
      <c r="N10" s="234"/>
      <c r="O10" s="243"/>
      <c r="P10" s="243"/>
      <c r="Q10" s="243"/>
      <c r="R10" s="243"/>
    </row>
    <row r="11" spans="1:18" ht="12.75" customHeight="1">
      <c r="A11" s="51" t="s">
        <v>332</v>
      </c>
      <c r="B11" s="51"/>
      <c r="C11" s="125" t="s">
        <v>1782</v>
      </c>
      <c r="D11" s="84">
        <v>350.1</v>
      </c>
      <c r="E11" s="84">
        <v>350.2</v>
      </c>
      <c r="F11" s="84">
        <v>352</v>
      </c>
      <c r="G11" s="84">
        <v>353</v>
      </c>
      <c r="H11" s="84">
        <v>354</v>
      </c>
      <c r="I11" s="84">
        <v>355</v>
      </c>
      <c r="J11" s="84">
        <v>356</v>
      </c>
      <c r="K11" s="84">
        <v>357</v>
      </c>
      <c r="L11" s="84">
        <v>358</v>
      </c>
      <c r="M11" s="84">
        <v>359</v>
      </c>
      <c r="N11" s="3" t="s">
        <v>196</v>
      </c>
      <c r="O11" s="243"/>
      <c r="P11" s="243"/>
      <c r="Q11" s="243"/>
      <c r="R11" s="243"/>
    </row>
    <row r="12" spans="1:18" ht="12.75" customHeight="1">
      <c r="A12" s="600">
        <v>1</v>
      </c>
      <c r="B12" s="600"/>
      <c r="C12" s="1072" t="s">
        <v>2471</v>
      </c>
      <c r="D12" s="537">
        <v>0</v>
      </c>
      <c r="E12" s="537">
        <v>15448962.529999999</v>
      </c>
      <c r="F12" s="537">
        <v>62849696.503684841</v>
      </c>
      <c r="G12" s="537">
        <v>372512031.10836589</v>
      </c>
      <c r="H12" s="537">
        <v>406863963.81291598</v>
      </c>
      <c r="I12" s="537">
        <v>46334041.093138769</v>
      </c>
      <c r="J12" s="537">
        <v>386000140.09468102</v>
      </c>
      <c r="K12" s="537">
        <v>132074.21772594441</v>
      </c>
      <c r="L12" s="537">
        <v>1627344.7828261124</v>
      </c>
      <c r="M12" s="537">
        <v>13852616.302390257</v>
      </c>
      <c r="N12" s="236">
        <f>SUM(D12:M12)</f>
        <v>1305620870.445729</v>
      </c>
      <c r="O12" s="243"/>
      <c r="P12" s="243"/>
      <c r="Q12" s="243"/>
      <c r="R12" s="243"/>
    </row>
    <row r="13" spans="1:18" ht="12.75" customHeight="1">
      <c r="A13" s="600">
        <f>A12+1</f>
        <v>2</v>
      </c>
      <c r="B13" s="600"/>
      <c r="C13" s="768" t="s">
        <v>2472</v>
      </c>
      <c r="D13" s="238">
        <f>D12+D70+D119</f>
        <v>0</v>
      </c>
      <c r="E13" s="238">
        <f>E12+E70+E119</f>
        <v>15673665.429853721</v>
      </c>
      <c r="F13" s="238">
        <f t="shared" ref="F13:M23" si="0">F12+F70+F119</f>
        <v>63472377.286981098</v>
      </c>
      <c r="G13" s="238">
        <f t="shared" si="0"/>
        <v>378290251.23729777</v>
      </c>
      <c r="H13" s="238">
        <f t="shared" si="0"/>
        <v>406578952.05305976</v>
      </c>
      <c r="I13" s="238">
        <f t="shared" si="0"/>
        <v>46502638.965403341</v>
      </c>
      <c r="J13" s="238">
        <f t="shared" si="0"/>
        <v>383943843.53222626</v>
      </c>
      <c r="K13" s="238">
        <f t="shared" si="0"/>
        <v>126506.95291535814</v>
      </c>
      <c r="L13" s="238">
        <f t="shared" si="0"/>
        <v>1673996.5050226382</v>
      </c>
      <c r="M13" s="238">
        <f t="shared" si="0"/>
        <v>14100948.971993208</v>
      </c>
      <c r="N13" s="236">
        <f t="shared" ref="N13:N25" si="1">SUM(D13:M13)</f>
        <v>1310363180.9347532</v>
      </c>
      <c r="O13" s="243"/>
      <c r="P13" s="243"/>
      <c r="Q13" s="243"/>
      <c r="R13" s="243"/>
    </row>
    <row r="14" spans="1:18" ht="12.75" customHeight="1">
      <c r="A14" s="600">
        <f t="shared" ref="A14:A25" si="2">A13+1</f>
        <v>3</v>
      </c>
      <c r="B14" s="600"/>
      <c r="C14" s="767" t="s">
        <v>2473</v>
      </c>
      <c r="D14" s="238">
        <f t="shared" ref="D14:E23" si="3">D13+D71+D120</f>
        <v>0</v>
      </c>
      <c r="E14" s="238">
        <f t="shared" si="3"/>
        <v>15899445.183594212</v>
      </c>
      <c r="F14" s="238">
        <f t="shared" si="0"/>
        <v>64437001.764977984</v>
      </c>
      <c r="G14" s="238">
        <f t="shared" si="0"/>
        <v>384317476.54070246</v>
      </c>
      <c r="H14" s="238">
        <f t="shared" si="0"/>
        <v>410941475.07473952</v>
      </c>
      <c r="I14" s="238">
        <f t="shared" si="0"/>
        <v>46603053.449722014</v>
      </c>
      <c r="J14" s="238">
        <f t="shared" si="0"/>
        <v>386970193.9438104</v>
      </c>
      <c r="K14" s="238">
        <f t="shared" si="0"/>
        <v>126967.63940400058</v>
      </c>
      <c r="L14" s="238">
        <f t="shared" si="0"/>
        <v>1716258.5835502099</v>
      </c>
      <c r="M14" s="238">
        <f t="shared" si="0"/>
        <v>14343863.341722</v>
      </c>
      <c r="N14" s="236">
        <f t="shared" si="1"/>
        <v>1325355735.522223</v>
      </c>
      <c r="O14" s="243"/>
      <c r="P14" s="243"/>
      <c r="Q14" s="243"/>
      <c r="R14" s="243"/>
    </row>
    <row r="15" spans="1:18" ht="12.75" customHeight="1">
      <c r="A15" s="600">
        <f t="shared" si="2"/>
        <v>4</v>
      </c>
      <c r="B15" s="600"/>
      <c r="C15" s="767" t="s">
        <v>2474</v>
      </c>
      <c r="D15" s="238">
        <f t="shared" si="3"/>
        <v>0</v>
      </c>
      <c r="E15" s="238">
        <f t="shared" si="3"/>
        <v>16121589.904925082</v>
      </c>
      <c r="F15" s="238">
        <f t="shared" si="0"/>
        <v>65115014.788253732</v>
      </c>
      <c r="G15" s="238">
        <f t="shared" si="0"/>
        <v>389598989.27294254</v>
      </c>
      <c r="H15" s="238">
        <f t="shared" si="0"/>
        <v>414759392.30756003</v>
      </c>
      <c r="I15" s="238">
        <f t="shared" si="0"/>
        <v>45534269.664215744</v>
      </c>
      <c r="J15" s="238">
        <f t="shared" si="0"/>
        <v>384815191.65664142</v>
      </c>
      <c r="K15" s="238">
        <f t="shared" si="0"/>
        <v>127101.84038545152</v>
      </c>
      <c r="L15" s="238">
        <f t="shared" si="0"/>
        <v>1762153.7385496767</v>
      </c>
      <c r="M15" s="238">
        <f t="shared" si="0"/>
        <v>13560313.808143696</v>
      </c>
      <c r="N15" s="236">
        <f t="shared" si="1"/>
        <v>1331394016.9816175</v>
      </c>
      <c r="O15" s="243"/>
      <c r="P15" s="243"/>
      <c r="Q15" s="243"/>
      <c r="R15" s="243"/>
    </row>
    <row r="16" spans="1:18" ht="12.75" customHeight="1">
      <c r="A16" s="600">
        <f t="shared" si="2"/>
        <v>5</v>
      </c>
      <c r="B16" s="600"/>
      <c r="C16" s="768" t="s">
        <v>2475</v>
      </c>
      <c r="D16" s="238">
        <f t="shared" si="3"/>
        <v>0</v>
      </c>
      <c r="E16" s="238">
        <f t="shared" si="3"/>
        <v>16347075.476959243</v>
      </c>
      <c r="F16" s="238">
        <f t="shared" si="0"/>
        <v>65230084.803895384</v>
      </c>
      <c r="G16" s="238">
        <f t="shared" si="0"/>
        <v>395343495.7143119</v>
      </c>
      <c r="H16" s="238">
        <f t="shared" si="0"/>
        <v>420136964.87395519</v>
      </c>
      <c r="I16" s="238">
        <f t="shared" si="0"/>
        <v>45445159.046234183</v>
      </c>
      <c r="J16" s="238">
        <f t="shared" si="0"/>
        <v>388110773.33619636</v>
      </c>
      <c r="K16" s="238">
        <f t="shared" si="0"/>
        <v>112846.23307070542</v>
      </c>
      <c r="L16" s="238">
        <f t="shared" si="0"/>
        <v>1826923.9796213827</v>
      </c>
      <c r="M16" s="238">
        <f t="shared" si="0"/>
        <v>13758659.827432731</v>
      </c>
      <c r="N16" s="236">
        <f t="shared" si="1"/>
        <v>1346311983.291677</v>
      </c>
      <c r="O16" s="243"/>
      <c r="P16" s="243"/>
      <c r="Q16" s="243"/>
      <c r="R16" s="243"/>
    </row>
    <row r="17" spans="1:18" ht="12.75" customHeight="1">
      <c r="A17" s="600">
        <f t="shared" si="2"/>
        <v>6</v>
      </c>
      <c r="B17" s="600"/>
      <c r="C17" s="767" t="s">
        <v>2476</v>
      </c>
      <c r="D17" s="238">
        <f t="shared" si="3"/>
        <v>0</v>
      </c>
      <c r="E17" s="238">
        <f t="shared" si="3"/>
        <v>16572477.165543756</v>
      </c>
      <c r="F17" s="238">
        <f t="shared" si="0"/>
        <v>66255037.513972081</v>
      </c>
      <c r="G17" s="238">
        <f t="shared" si="0"/>
        <v>401621251.94924366</v>
      </c>
      <c r="H17" s="238">
        <f t="shared" si="0"/>
        <v>422324239.72834069</v>
      </c>
      <c r="I17" s="238">
        <f t="shared" si="0"/>
        <v>45720411.633134179</v>
      </c>
      <c r="J17" s="238">
        <f t="shared" si="0"/>
        <v>391014054.59445482</v>
      </c>
      <c r="K17" s="238">
        <f t="shared" si="0"/>
        <v>111648.89540527576</v>
      </c>
      <c r="L17" s="238">
        <f t="shared" si="0"/>
        <v>1878838.8662007751</v>
      </c>
      <c r="M17" s="238">
        <f t="shared" si="0"/>
        <v>13888707.940344468</v>
      </c>
      <c r="N17" s="236">
        <f t="shared" si="1"/>
        <v>1359386668.2866397</v>
      </c>
      <c r="O17" s="243"/>
      <c r="P17" s="243"/>
      <c r="Q17" s="243"/>
      <c r="R17" s="243"/>
    </row>
    <row r="18" spans="1:18" ht="12.75" customHeight="1">
      <c r="A18" s="600">
        <f t="shared" si="2"/>
        <v>7</v>
      </c>
      <c r="B18" s="600"/>
      <c r="C18" s="767" t="s">
        <v>2477</v>
      </c>
      <c r="D18" s="238">
        <f t="shared" si="3"/>
        <v>0</v>
      </c>
      <c r="E18" s="238">
        <f t="shared" si="3"/>
        <v>16837350.191966545</v>
      </c>
      <c r="F18" s="238">
        <f t="shared" si="0"/>
        <v>67088882.248715058</v>
      </c>
      <c r="G18" s="238">
        <f t="shared" si="0"/>
        <v>406298098.63780987</v>
      </c>
      <c r="H18" s="238">
        <f t="shared" si="0"/>
        <v>443929529.84146678</v>
      </c>
      <c r="I18" s="238">
        <f t="shared" si="0"/>
        <v>45202517.598103225</v>
      </c>
      <c r="J18" s="238">
        <f t="shared" si="0"/>
        <v>393270413.47417766</v>
      </c>
      <c r="K18" s="238">
        <f t="shared" si="0"/>
        <v>91612.729531571778</v>
      </c>
      <c r="L18" s="238">
        <f t="shared" si="0"/>
        <v>1994290.4354106504</v>
      </c>
      <c r="M18" s="238">
        <f t="shared" si="0"/>
        <v>13794379.663978351</v>
      </c>
      <c r="N18" s="236">
        <f t="shared" si="1"/>
        <v>1388507074.8211596</v>
      </c>
      <c r="O18" s="243"/>
      <c r="P18" s="243"/>
      <c r="Q18" s="243"/>
      <c r="R18" s="243"/>
    </row>
    <row r="19" spans="1:18" ht="12.75" customHeight="1">
      <c r="A19" s="600">
        <f t="shared" si="2"/>
        <v>8</v>
      </c>
      <c r="B19" s="600"/>
      <c r="C19" s="768" t="s">
        <v>2478</v>
      </c>
      <c r="D19" s="238">
        <f t="shared" si="3"/>
        <v>0</v>
      </c>
      <c r="E19" s="238">
        <f t="shared" si="3"/>
        <v>17062638.582634315</v>
      </c>
      <c r="F19" s="238">
        <f t="shared" si="0"/>
        <v>67874429.917492464</v>
      </c>
      <c r="G19" s="238">
        <f t="shared" si="0"/>
        <v>409844784.04648834</v>
      </c>
      <c r="H19" s="238">
        <f t="shared" si="0"/>
        <v>448916459.80859262</v>
      </c>
      <c r="I19" s="238">
        <f t="shared" si="0"/>
        <v>45541270.058575228</v>
      </c>
      <c r="J19" s="238">
        <f t="shared" si="0"/>
        <v>396881906.93117452</v>
      </c>
      <c r="K19" s="238">
        <f t="shared" si="0"/>
        <v>88112.983709118576</v>
      </c>
      <c r="L19" s="238">
        <f t="shared" si="0"/>
        <v>2045878.6962595806</v>
      </c>
      <c r="M19" s="238">
        <f t="shared" si="0"/>
        <v>14003062.232806548</v>
      </c>
      <c r="N19" s="236">
        <f t="shared" si="1"/>
        <v>1402258543.2577324</v>
      </c>
      <c r="O19" s="243"/>
      <c r="P19" s="243"/>
      <c r="Q19" s="243"/>
      <c r="R19" s="243"/>
    </row>
    <row r="20" spans="1:18" ht="12.75" customHeight="1">
      <c r="A20" s="600">
        <f t="shared" si="2"/>
        <v>9</v>
      </c>
      <c r="B20" s="600"/>
      <c r="C20" s="767" t="s">
        <v>2479</v>
      </c>
      <c r="D20" s="238">
        <f t="shared" si="3"/>
        <v>0</v>
      </c>
      <c r="E20" s="238">
        <f t="shared" si="3"/>
        <v>17287349.146114368</v>
      </c>
      <c r="F20" s="238">
        <f t="shared" si="0"/>
        <v>68973301.327338532</v>
      </c>
      <c r="G20" s="238">
        <f t="shared" si="0"/>
        <v>416349764.05836928</v>
      </c>
      <c r="H20" s="238">
        <f t="shared" si="0"/>
        <v>452360838.91859466</v>
      </c>
      <c r="I20" s="238">
        <f t="shared" si="0"/>
        <v>45681841.206045792</v>
      </c>
      <c r="J20" s="238">
        <f t="shared" si="0"/>
        <v>399819186.64161426</v>
      </c>
      <c r="K20" s="238">
        <f t="shared" si="0"/>
        <v>84275.274704614567</v>
      </c>
      <c r="L20" s="238">
        <f t="shared" si="0"/>
        <v>2091628.4169201714</v>
      </c>
      <c r="M20" s="238">
        <f t="shared" si="0"/>
        <v>14255660.36236164</v>
      </c>
      <c r="N20" s="236">
        <f t="shared" si="1"/>
        <v>1416903845.3520634</v>
      </c>
      <c r="O20" s="243"/>
      <c r="P20" s="243"/>
      <c r="Q20" s="243"/>
      <c r="R20" s="243"/>
    </row>
    <row r="21" spans="1:18" ht="12.75" customHeight="1">
      <c r="A21" s="600">
        <f t="shared" si="2"/>
        <v>10</v>
      </c>
      <c r="B21" s="600"/>
      <c r="C21" s="767" t="s">
        <v>2480</v>
      </c>
      <c r="D21" s="238">
        <f t="shared" si="3"/>
        <v>0</v>
      </c>
      <c r="E21" s="238">
        <f t="shared" si="3"/>
        <v>17398868.639386185</v>
      </c>
      <c r="F21" s="238">
        <f t="shared" si="0"/>
        <v>70025234.506911159</v>
      </c>
      <c r="G21" s="238">
        <f t="shared" si="0"/>
        <v>422677383.54391062</v>
      </c>
      <c r="H21" s="238">
        <f t="shared" si="0"/>
        <v>456476380.92532843</v>
      </c>
      <c r="I21" s="238">
        <f t="shared" si="0"/>
        <v>45802453.393417969</v>
      </c>
      <c r="J21" s="238">
        <f t="shared" si="0"/>
        <v>398765368.62389296</v>
      </c>
      <c r="K21" s="238">
        <f t="shared" si="0"/>
        <v>79303.951602193076</v>
      </c>
      <c r="L21" s="238">
        <f t="shared" si="0"/>
        <v>2141644.8636234044</v>
      </c>
      <c r="M21" s="238">
        <f t="shared" si="0"/>
        <v>14486591.107395291</v>
      </c>
      <c r="N21" s="236">
        <f t="shared" si="1"/>
        <v>1427853229.5554681</v>
      </c>
      <c r="O21" s="243"/>
      <c r="P21" s="243"/>
      <c r="Q21" s="243"/>
      <c r="R21" s="243"/>
    </row>
    <row r="22" spans="1:18" ht="12.75" customHeight="1">
      <c r="A22" s="600">
        <f t="shared" si="2"/>
        <v>11</v>
      </c>
      <c r="B22" s="600"/>
      <c r="C22" s="768" t="s">
        <v>2481</v>
      </c>
      <c r="D22" s="238">
        <f t="shared" si="3"/>
        <v>0</v>
      </c>
      <c r="E22" s="238">
        <f t="shared" si="3"/>
        <v>17623137.176968973</v>
      </c>
      <c r="F22" s="238">
        <f t="shared" si="0"/>
        <v>70307365.337215707</v>
      </c>
      <c r="G22" s="238">
        <f t="shared" si="0"/>
        <v>428334927.74057043</v>
      </c>
      <c r="H22" s="238">
        <f t="shared" si="0"/>
        <v>459971896.32866883</v>
      </c>
      <c r="I22" s="238">
        <f t="shared" si="0"/>
        <v>46030446.863457158</v>
      </c>
      <c r="J22" s="238">
        <f t="shared" si="0"/>
        <v>401070351.48110747</v>
      </c>
      <c r="K22" s="238">
        <f t="shared" si="0"/>
        <v>363354.16922872304</v>
      </c>
      <c r="L22" s="238">
        <f t="shared" si="0"/>
        <v>2389385.5448147319</v>
      </c>
      <c r="M22" s="238">
        <f t="shared" si="0"/>
        <v>14729836.433292311</v>
      </c>
      <c r="N22" s="236">
        <f t="shared" si="1"/>
        <v>1440820701.0753245</v>
      </c>
      <c r="O22" s="243"/>
      <c r="P22" s="243"/>
      <c r="Q22" s="243"/>
      <c r="R22" s="243"/>
    </row>
    <row r="23" spans="1:18" ht="12.75" customHeight="1">
      <c r="A23" s="600">
        <f t="shared" si="2"/>
        <v>12</v>
      </c>
      <c r="B23" s="600"/>
      <c r="C23" s="768" t="s">
        <v>2482</v>
      </c>
      <c r="D23" s="238">
        <f t="shared" si="3"/>
        <v>0</v>
      </c>
      <c r="E23" s="238">
        <f t="shared" si="3"/>
        <v>17851330.321477864</v>
      </c>
      <c r="F23" s="238">
        <f t="shared" si="0"/>
        <v>71257987.253339529</v>
      </c>
      <c r="G23" s="238">
        <f t="shared" si="0"/>
        <v>434195530.52115589</v>
      </c>
      <c r="H23" s="238">
        <f t="shared" si="0"/>
        <v>460943908.64902622</v>
      </c>
      <c r="I23" s="238">
        <f t="shared" si="0"/>
        <v>46160864.684386492</v>
      </c>
      <c r="J23" s="238">
        <f t="shared" si="0"/>
        <v>405901284.39701325</v>
      </c>
      <c r="K23" s="238">
        <f t="shared" si="0"/>
        <v>581519.23413998238</v>
      </c>
      <c r="L23" s="238">
        <f t="shared" si="0"/>
        <v>2634501.1246635905</v>
      </c>
      <c r="M23" s="238">
        <f t="shared" si="0"/>
        <v>14963804.117972847</v>
      </c>
      <c r="N23" s="236">
        <f t="shared" si="1"/>
        <v>1454490730.3031754</v>
      </c>
      <c r="O23" s="243"/>
      <c r="P23" s="243"/>
      <c r="Q23" s="243"/>
      <c r="R23" s="243"/>
    </row>
    <row r="24" spans="1:18">
      <c r="A24" s="600">
        <f t="shared" si="2"/>
        <v>13</v>
      </c>
      <c r="B24" s="600"/>
      <c r="C24" s="767" t="s">
        <v>2483</v>
      </c>
      <c r="D24" s="117">
        <v>0</v>
      </c>
      <c r="E24" s="117">
        <v>18079938.998426363</v>
      </c>
      <c r="F24" s="117">
        <v>72260282.663679585</v>
      </c>
      <c r="G24" s="117">
        <v>439653027.79319572</v>
      </c>
      <c r="H24" s="117">
        <v>465353601.53802395</v>
      </c>
      <c r="I24" s="117">
        <v>46058792.048423618</v>
      </c>
      <c r="J24" s="117">
        <v>407738326.31860054</v>
      </c>
      <c r="K24" s="117">
        <v>839658.64846191066</v>
      </c>
      <c r="L24" s="117">
        <v>2896107.6429296676</v>
      </c>
      <c r="M24" s="117">
        <v>14910822.35021608</v>
      </c>
      <c r="N24" s="372">
        <f t="shared" si="1"/>
        <v>1467790558.0019572</v>
      </c>
      <c r="O24" s="243"/>
      <c r="P24" s="243"/>
      <c r="Q24" s="243"/>
      <c r="R24" s="243"/>
    </row>
    <row r="25" spans="1:18">
      <c r="A25" s="600">
        <f t="shared" si="2"/>
        <v>14</v>
      </c>
      <c r="B25" s="234"/>
      <c r="C25" s="1241" t="s">
        <v>1203</v>
      </c>
      <c r="D25" s="236">
        <f t="shared" ref="D25:M25" si="4">AVERAGE(D12:D24)</f>
        <v>0</v>
      </c>
      <c r="E25" s="236">
        <f>AVERAGE(E12:E24)</f>
        <v>16784909.903680816</v>
      </c>
      <c r="F25" s="236">
        <f t="shared" si="4"/>
        <v>67318976.608958244</v>
      </c>
      <c r="G25" s="236">
        <f t="shared" si="4"/>
        <v>406079770.16648954</v>
      </c>
      <c r="H25" s="236">
        <f t="shared" si="4"/>
        <v>436119815.68155944</v>
      </c>
      <c r="I25" s="236">
        <f t="shared" si="4"/>
        <v>45893673.823404439</v>
      </c>
      <c r="J25" s="236">
        <f t="shared" si="4"/>
        <v>394177002.69427627</v>
      </c>
      <c r="K25" s="236">
        <f t="shared" si="4"/>
        <v>220383.29002191155</v>
      </c>
      <c r="L25" s="236">
        <f t="shared" si="4"/>
        <v>2052227.1677225071</v>
      </c>
      <c r="M25" s="236">
        <f t="shared" si="4"/>
        <v>14203789.72769611</v>
      </c>
      <c r="N25" s="236">
        <f t="shared" si="1"/>
        <v>1382850549.0638092</v>
      </c>
      <c r="O25" s="243"/>
      <c r="P25" s="243"/>
      <c r="Q25" s="243"/>
      <c r="R25" s="243"/>
    </row>
    <row r="26" spans="1:18">
      <c r="A26" s="234"/>
      <c r="B26" s="234"/>
      <c r="C26" s="234"/>
      <c r="D26" s="234"/>
      <c r="E26" s="234"/>
      <c r="F26" s="234"/>
      <c r="G26" s="234"/>
      <c r="H26" s="234"/>
      <c r="I26" s="234"/>
      <c r="J26" s="234"/>
      <c r="K26" s="234"/>
      <c r="L26" s="234"/>
      <c r="M26" s="234"/>
      <c r="N26" s="234"/>
      <c r="O26" s="243"/>
      <c r="P26" s="243"/>
      <c r="Q26" s="243"/>
      <c r="R26" s="243"/>
    </row>
    <row r="27" spans="1:18">
      <c r="A27" s="234"/>
      <c r="B27" s="416" t="s">
        <v>1556</v>
      </c>
      <c r="C27" s="234"/>
      <c r="D27" s="234"/>
      <c r="E27" s="234"/>
      <c r="F27" s="234"/>
      <c r="G27" s="234"/>
      <c r="H27" s="234"/>
      <c r="I27" s="234"/>
      <c r="J27" s="234"/>
      <c r="K27" s="234"/>
      <c r="L27" s="234"/>
      <c r="M27" s="234"/>
      <c r="N27" s="234"/>
      <c r="O27" s="243"/>
      <c r="P27" s="243"/>
      <c r="Q27" s="243"/>
      <c r="R27" s="243"/>
    </row>
    <row r="28" spans="1:18">
      <c r="A28" s="234"/>
      <c r="B28" s="416"/>
      <c r="C28" s="234"/>
      <c r="D28" s="234"/>
      <c r="E28" s="234"/>
      <c r="F28" s="234"/>
      <c r="G28" s="234"/>
      <c r="H28" s="234"/>
      <c r="I28" s="234"/>
      <c r="J28" s="234"/>
      <c r="K28" s="234"/>
      <c r="L28" s="234"/>
      <c r="M28" s="234"/>
      <c r="N28" s="234"/>
      <c r="O28" s="243"/>
      <c r="P28" s="243"/>
      <c r="Q28" s="243"/>
      <c r="R28" s="243"/>
    </row>
    <row r="29" spans="1:18">
      <c r="A29" s="234"/>
      <c r="B29" s="234"/>
      <c r="C29" s="84" t="s">
        <v>363</v>
      </c>
      <c r="D29" s="84" t="s">
        <v>347</v>
      </c>
      <c r="E29" s="84" t="s">
        <v>348</v>
      </c>
      <c r="F29" s="84" t="s">
        <v>349</v>
      </c>
      <c r="G29" s="84" t="s">
        <v>350</v>
      </c>
      <c r="H29" s="234"/>
      <c r="I29" s="234"/>
      <c r="J29" s="234"/>
      <c r="K29" s="234"/>
      <c r="L29" s="234"/>
      <c r="M29" s="234"/>
      <c r="N29" s="234"/>
      <c r="O29" s="243"/>
      <c r="P29" s="243"/>
      <c r="Q29" s="243"/>
      <c r="R29" s="243"/>
    </row>
    <row r="30" spans="1:18">
      <c r="A30" s="234"/>
      <c r="B30" s="234"/>
      <c r="C30" s="234"/>
      <c r="D30" s="546" t="s">
        <v>12</v>
      </c>
      <c r="E30" s="234"/>
      <c r="F30" s="234"/>
      <c r="G30" s="484" t="s">
        <v>1672</v>
      </c>
      <c r="H30" s="234"/>
      <c r="I30" s="234"/>
      <c r="J30" s="234"/>
      <c r="K30" s="234"/>
      <c r="L30" s="234"/>
      <c r="M30" s="234"/>
      <c r="N30" s="234"/>
      <c r="O30" s="547"/>
      <c r="P30" s="243"/>
      <c r="Q30" s="243"/>
      <c r="R30" s="243"/>
    </row>
    <row r="31" spans="1:18">
      <c r="A31" s="234"/>
      <c r="B31" s="234"/>
      <c r="C31" s="234"/>
      <c r="D31" s="546" t="s">
        <v>975</v>
      </c>
      <c r="E31" s="234"/>
      <c r="F31" s="234"/>
      <c r="G31" s="234"/>
      <c r="H31" s="234"/>
      <c r="I31" s="234"/>
      <c r="J31" s="234"/>
      <c r="K31" s="234"/>
      <c r="L31" s="234"/>
      <c r="M31" s="234"/>
      <c r="N31" s="234"/>
      <c r="O31" s="488"/>
      <c r="P31" s="243"/>
      <c r="Q31" s="243"/>
      <c r="R31" s="243"/>
    </row>
    <row r="32" spans="1:18">
      <c r="A32" s="234"/>
      <c r="B32" s="234"/>
      <c r="C32" s="125" t="s">
        <v>1782</v>
      </c>
      <c r="D32" s="84">
        <v>360</v>
      </c>
      <c r="E32" s="84">
        <v>361</v>
      </c>
      <c r="F32" s="84">
        <v>362</v>
      </c>
      <c r="G32" s="3" t="s">
        <v>196</v>
      </c>
      <c r="H32" s="991" t="s">
        <v>168</v>
      </c>
      <c r="I32" s="243"/>
      <c r="J32" s="243"/>
      <c r="K32" s="234"/>
      <c r="L32" s="234"/>
      <c r="M32" s="234"/>
      <c r="N32" s="234"/>
      <c r="O32" s="488"/>
      <c r="P32" s="243"/>
      <c r="Q32" s="243"/>
      <c r="R32" s="243"/>
    </row>
    <row r="33" spans="1:18">
      <c r="A33" s="600">
        <f>A25+1</f>
        <v>15</v>
      </c>
      <c r="C33" s="767" t="s">
        <v>2471</v>
      </c>
      <c r="D33" s="1120">
        <v>0</v>
      </c>
      <c r="E33" s="1120">
        <v>0</v>
      </c>
      <c r="F33" s="1120">
        <v>0</v>
      </c>
      <c r="G33" s="236">
        <f>SUM(D33:F33)</f>
        <v>0</v>
      </c>
      <c r="H33" s="502" t="s">
        <v>1783</v>
      </c>
      <c r="I33" s="243"/>
      <c r="J33" s="243"/>
      <c r="K33" s="234"/>
      <c r="L33" s="234"/>
      <c r="M33" s="234"/>
      <c r="N33" s="234"/>
      <c r="O33" s="488"/>
      <c r="P33" s="243"/>
      <c r="Q33" s="243"/>
      <c r="R33" s="243"/>
    </row>
    <row r="34" spans="1:18">
      <c r="A34" s="600">
        <v>16</v>
      </c>
      <c r="C34" s="767" t="s">
        <v>2483</v>
      </c>
      <c r="D34" s="418">
        <v>0</v>
      </c>
      <c r="E34" s="418">
        <v>0</v>
      </c>
      <c r="F34" s="418">
        <v>0</v>
      </c>
      <c r="G34" s="372">
        <f>SUM(D34:F34)</f>
        <v>0</v>
      </c>
      <c r="H34" s="502" t="s">
        <v>89</v>
      </c>
      <c r="I34" s="243"/>
      <c r="J34" s="243"/>
      <c r="K34" s="234"/>
      <c r="L34" s="234"/>
      <c r="O34" s="488"/>
      <c r="P34" s="243"/>
      <c r="Q34" s="243"/>
      <c r="R34" s="243"/>
    </row>
    <row r="35" spans="1:18">
      <c r="A35" s="600">
        <f>A34+1</f>
        <v>17</v>
      </c>
      <c r="C35" s="235" t="s">
        <v>1335</v>
      </c>
      <c r="D35" s="236">
        <f>AVERAGE(D33:D34)</f>
        <v>0</v>
      </c>
      <c r="E35" s="236">
        <f>AVERAGE(E33:E34)</f>
        <v>0</v>
      </c>
      <c r="F35" s="236">
        <f>AVERAGE(F33:F34)</f>
        <v>0</v>
      </c>
      <c r="G35" s="236">
        <f>AVERAGE(G33:G34)</f>
        <v>0</v>
      </c>
      <c r="H35" s="249" t="str">
        <f>"Average of Line "&amp;A33&amp;" and Line "&amp;A34&amp;""</f>
        <v>Average of Line 15 and Line 16</v>
      </c>
      <c r="I35" s="234"/>
      <c r="J35" s="234"/>
      <c r="K35" s="234"/>
      <c r="M35" s="665"/>
      <c r="N35" s="633"/>
      <c r="O35" s="488"/>
      <c r="P35" s="243"/>
      <c r="Q35" s="243"/>
      <c r="R35" s="243"/>
    </row>
    <row r="36" spans="1:18">
      <c r="C36" s="235"/>
      <c r="I36" s="234"/>
      <c r="J36" s="234"/>
      <c r="K36" s="234"/>
      <c r="M36" s="656"/>
      <c r="N36" s="1252"/>
      <c r="O36" s="488"/>
      <c r="P36" s="243"/>
      <c r="Q36" s="243"/>
      <c r="R36" s="243"/>
    </row>
    <row r="37" spans="1:18">
      <c r="B37" s="416" t="s">
        <v>1553</v>
      </c>
      <c r="I37" s="234"/>
      <c r="J37" s="234"/>
      <c r="K37" s="234"/>
      <c r="L37" s="234"/>
      <c r="M37" s="665"/>
      <c r="N37" s="1252"/>
      <c r="O37" s="488"/>
      <c r="P37" s="243"/>
      <c r="Q37" s="243"/>
      <c r="R37" s="243"/>
    </row>
    <row r="38" spans="1:18" ht="15">
      <c r="B38" s="375"/>
      <c r="C38" s="363" t="s">
        <v>363</v>
      </c>
      <c r="D38" s="363" t="s">
        <v>347</v>
      </c>
      <c r="E38" s="363" t="s">
        <v>348</v>
      </c>
      <c r="F38" s="363" t="s">
        <v>349</v>
      </c>
      <c r="G38" s="363" t="s">
        <v>350</v>
      </c>
      <c r="J38" s="234"/>
      <c r="K38" s="237"/>
      <c r="L38" s="234"/>
      <c r="O38" s="243"/>
      <c r="P38" s="243"/>
      <c r="Q38" s="243"/>
      <c r="R38" s="243"/>
    </row>
    <row r="39" spans="1:18" ht="15">
      <c r="B39" s="375"/>
      <c r="C39" s="363"/>
      <c r="D39" s="363"/>
      <c r="E39" s="569" t="s">
        <v>1810</v>
      </c>
      <c r="F39" s="363"/>
      <c r="G39" s="363"/>
      <c r="J39" s="234"/>
      <c r="K39" s="237"/>
      <c r="L39" s="234"/>
      <c r="O39" s="243"/>
      <c r="P39" s="243"/>
      <c r="Q39" s="243"/>
      <c r="R39" s="243"/>
    </row>
    <row r="40" spans="1:18">
      <c r="C40" s="14"/>
      <c r="D40" s="14"/>
      <c r="E40" s="476" t="s">
        <v>196</v>
      </c>
      <c r="F40" s="14"/>
      <c r="G40" s="14"/>
      <c r="J40" s="234"/>
      <c r="K40" s="237"/>
      <c r="L40" s="234"/>
      <c r="O40" s="243"/>
      <c r="P40" s="243"/>
      <c r="Q40" s="243"/>
      <c r="R40" s="243"/>
    </row>
    <row r="41" spans="1:18">
      <c r="B41" s="234"/>
      <c r="C41" s="14"/>
      <c r="D41" s="243"/>
      <c r="E41" s="476" t="s">
        <v>1809</v>
      </c>
      <c r="F41" s="111" t="s">
        <v>1224</v>
      </c>
      <c r="G41" s="111" t="s">
        <v>1225</v>
      </c>
      <c r="J41" s="234"/>
      <c r="K41" s="237"/>
      <c r="L41" s="234"/>
      <c r="O41" s="243"/>
      <c r="P41" s="243"/>
      <c r="Q41" s="243"/>
      <c r="R41" s="243"/>
    </row>
    <row r="42" spans="1:18">
      <c r="B42" s="234"/>
      <c r="C42" s="14"/>
      <c r="D42" s="243"/>
      <c r="E42" s="476" t="s">
        <v>1336</v>
      </c>
      <c r="F42" s="476" t="s">
        <v>1336</v>
      </c>
      <c r="G42" s="476" t="s">
        <v>1336</v>
      </c>
      <c r="J42" s="234"/>
      <c r="K42" s="237"/>
      <c r="L42" s="234"/>
      <c r="Q42" s="243"/>
      <c r="R42" s="243"/>
    </row>
    <row r="43" spans="1:18">
      <c r="B43" s="234"/>
      <c r="C43" s="125" t="s">
        <v>1782</v>
      </c>
      <c r="D43" s="243"/>
      <c r="E43" s="477" t="s">
        <v>1337</v>
      </c>
      <c r="F43" s="477" t="s">
        <v>1337</v>
      </c>
      <c r="G43" s="477" t="s">
        <v>1337</v>
      </c>
      <c r="H43" s="419" t="s">
        <v>179</v>
      </c>
      <c r="J43" s="234"/>
      <c r="K43" s="373"/>
      <c r="L43" s="234"/>
      <c r="O43" s="243"/>
      <c r="P43" s="243"/>
      <c r="Q43" s="243"/>
      <c r="R43" s="243"/>
    </row>
    <row r="44" spans="1:18">
      <c r="A44" s="600">
        <f>A35+1</f>
        <v>18</v>
      </c>
      <c r="B44" s="234"/>
      <c r="C44" s="767" t="s">
        <v>2471</v>
      </c>
      <c r="D44" s="1242" t="s">
        <v>1333</v>
      </c>
      <c r="E44" s="238">
        <f>SUM(F44:G44)</f>
        <v>1958254795</v>
      </c>
      <c r="F44" s="1120">
        <v>1011263915</v>
      </c>
      <c r="G44" s="620">
        <v>946990880</v>
      </c>
      <c r="H44" s="488" t="s">
        <v>1811</v>
      </c>
      <c r="I44" s="14"/>
      <c r="J44" s="243"/>
      <c r="L44" s="234"/>
      <c r="O44" s="243"/>
      <c r="P44" s="243"/>
      <c r="Q44" s="243"/>
      <c r="R44" s="243"/>
    </row>
    <row r="45" spans="1:18">
      <c r="A45" s="600">
        <f>A44+1</f>
        <v>19</v>
      </c>
      <c r="B45" s="234"/>
      <c r="C45" s="767" t="s">
        <v>2483</v>
      </c>
      <c r="D45" s="235" t="s">
        <v>1334</v>
      </c>
      <c r="E45" s="483">
        <f>SUM(F45:G45)</f>
        <v>1917414678</v>
      </c>
      <c r="F45" s="1120">
        <v>1073416375</v>
      </c>
      <c r="G45" s="620">
        <v>843998303</v>
      </c>
      <c r="H45" s="488" t="s">
        <v>1812</v>
      </c>
      <c r="I45" s="14"/>
      <c r="J45" s="243"/>
      <c r="K45" s="1265"/>
      <c r="L45" s="234"/>
      <c r="O45" s="243"/>
      <c r="P45" s="243"/>
      <c r="Q45" s="243"/>
      <c r="R45" s="243"/>
    </row>
    <row r="46" spans="1:18">
      <c r="A46" s="600">
        <f>A45+1</f>
        <v>20</v>
      </c>
      <c r="B46" s="234"/>
      <c r="D46" s="235" t="s">
        <v>1335</v>
      </c>
      <c r="E46" s="236">
        <f>AVERAGE(E44:E45)</f>
        <v>1937834736.5</v>
      </c>
      <c r="H46" s="249" t="str">
        <f>"Average of Line "&amp;A44&amp;" and Line "&amp;A45&amp;""</f>
        <v>Average of Line 18 and Line 19</v>
      </c>
      <c r="J46" s="234"/>
      <c r="K46" s="1265"/>
      <c r="L46" s="234"/>
      <c r="O46" s="243"/>
      <c r="P46" s="243"/>
      <c r="Q46" s="243"/>
      <c r="R46" s="243"/>
    </row>
    <row r="47" spans="1:18">
      <c r="I47" s="234"/>
      <c r="J47" s="234"/>
      <c r="K47" s="234"/>
      <c r="L47" s="234"/>
      <c r="O47" s="243"/>
      <c r="P47" s="243"/>
      <c r="Q47" s="243"/>
      <c r="R47" s="243"/>
    </row>
    <row r="48" spans="1:18">
      <c r="B48" s="1" t="s">
        <v>1338</v>
      </c>
      <c r="C48" s="670"/>
      <c r="D48" s="1248"/>
      <c r="E48" s="234"/>
      <c r="F48" s="234"/>
      <c r="G48" s="234"/>
      <c r="H48" s="234"/>
      <c r="I48" s="234"/>
      <c r="J48" s="234"/>
      <c r="K48" s="234"/>
      <c r="L48" s="234"/>
      <c r="M48" s="234"/>
      <c r="N48" s="234"/>
      <c r="O48" s="243"/>
      <c r="P48" s="243"/>
      <c r="Q48" s="243"/>
      <c r="R48" s="243"/>
    </row>
    <row r="49" spans="1:18">
      <c r="B49" s="1"/>
      <c r="C49" s="670"/>
      <c r="D49" s="1248"/>
      <c r="E49" s="234"/>
      <c r="F49" s="234"/>
      <c r="G49" s="234"/>
      <c r="H49" s="234"/>
      <c r="I49" s="234"/>
      <c r="J49" s="234"/>
      <c r="K49" s="234"/>
      <c r="L49" s="234"/>
      <c r="M49" s="234"/>
      <c r="N49" s="234"/>
      <c r="O49" s="243"/>
      <c r="P49" s="243"/>
      <c r="Q49" s="243"/>
      <c r="R49" s="243"/>
    </row>
    <row r="50" spans="1:18">
      <c r="B50" s="234"/>
      <c r="C50" s="1"/>
      <c r="D50" s="670"/>
      <c r="E50" s="1248"/>
      <c r="F50" s="373" t="s">
        <v>175</v>
      </c>
      <c r="G50" s="419" t="s">
        <v>179</v>
      </c>
      <c r="H50" s="234"/>
      <c r="I50" s="234"/>
      <c r="J50" s="234"/>
      <c r="K50" s="234"/>
      <c r="L50" s="234"/>
      <c r="M50" s="234"/>
      <c r="N50" s="234"/>
      <c r="O50" s="243"/>
      <c r="P50" s="243"/>
      <c r="Q50" s="243"/>
      <c r="R50" s="243"/>
    </row>
    <row r="51" spans="1:18">
      <c r="A51" s="600">
        <f>A46+1</f>
        <v>21</v>
      </c>
      <c r="B51" s="234"/>
      <c r="C51" s="670"/>
      <c r="D51" s="670"/>
      <c r="E51" s="1242" t="s">
        <v>1339</v>
      </c>
      <c r="F51" s="1243">
        <f>E46</f>
        <v>1937834736.5</v>
      </c>
      <c r="G51" s="249" t="str">
        <f>"Line "&amp;A46&amp;""</f>
        <v>Line 20</v>
      </c>
      <c r="H51" s="234"/>
      <c r="I51" s="234"/>
      <c r="J51" s="234"/>
      <c r="K51" s="234"/>
      <c r="L51" s="234"/>
      <c r="M51" s="234"/>
      <c r="N51" s="234"/>
      <c r="O51" s="243"/>
      <c r="P51" s="243"/>
      <c r="Q51" s="243"/>
      <c r="R51" s="243"/>
    </row>
    <row r="52" spans="1:18">
      <c r="A52" s="600">
        <f>A51+1</f>
        <v>22</v>
      </c>
      <c r="B52" s="234"/>
      <c r="C52" s="670"/>
      <c r="D52" s="670"/>
      <c r="E52" s="637" t="s">
        <v>241</v>
      </c>
      <c r="F52" s="1265">
        <f>'27-Allocators'!G14</f>
        <v>6.1650013139118928E-2</v>
      </c>
      <c r="G52" s="488" t="str">
        <f>"27-Allocators, Line "&amp;'27-Allocators'!A14&amp;""</f>
        <v>27-Allocators, Line 9</v>
      </c>
      <c r="H52" s="234"/>
      <c r="I52" s="234"/>
      <c r="J52" s="234"/>
      <c r="K52" s="234"/>
      <c r="L52" s="234"/>
      <c r="M52" s="234"/>
      <c r="N52" s="234"/>
      <c r="O52" s="243"/>
      <c r="P52" s="243"/>
      <c r="Q52" s="243"/>
      <c r="R52" s="243"/>
    </row>
    <row r="53" spans="1:18">
      <c r="A53" s="600">
        <f>A52+1</f>
        <v>23</v>
      </c>
      <c r="B53" s="234"/>
      <c r="C53" s="670"/>
      <c r="D53" s="670"/>
      <c r="E53" s="637" t="s">
        <v>1340</v>
      </c>
      <c r="F53" s="1243">
        <f>F51*F52</f>
        <v>119467536.96666607</v>
      </c>
      <c r="G53" s="488" t="str">
        <f>"Line "&amp;A51&amp;" * Line "&amp;A52&amp;""</f>
        <v>Line 21 * Line 22</v>
      </c>
      <c r="H53" s="234"/>
      <c r="I53" s="234"/>
      <c r="J53" s="234"/>
      <c r="K53" s="234"/>
      <c r="L53" s="234"/>
      <c r="M53" s="234"/>
      <c r="O53" s="243"/>
      <c r="P53" s="243"/>
      <c r="Q53" s="243"/>
      <c r="R53" s="243"/>
    </row>
    <row r="54" spans="1:18">
      <c r="B54" s="670"/>
      <c r="C54" s="670"/>
      <c r="D54" s="637"/>
      <c r="E54" s="1243"/>
      <c r="F54" s="234"/>
      <c r="G54" s="243"/>
      <c r="H54" s="234"/>
      <c r="I54" s="234"/>
      <c r="J54" s="234"/>
      <c r="K54" s="234"/>
      <c r="L54" s="234"/>
      <c r="M54" s="234"/>
      <c r="O54" s="243"/>
      <c r="P54" s="243"/>
      <c r="Q54" s="243"/>
      <c r="R54" s="243"/>
    </row>
    <row r="55" spans="1:18">
      <c r="B55" s="1" t="s">
        <v>2214</v>
      </c>
      <c r="C55" s="670"/>
      <c r="D55" s="1248"/>
      <c r="E55" s="234"/>
      <c r="F55" s="234"/>
      <c r="G55" s="243"/>
      <c r="H55" s="234"/>
      <c r="I55" s="234"/>
      <c r="J55" s="234"/>
      <c r="K55" s="234"/>
      <c r="L55" s="234"/>
      <c r="M55" s="234"/>
      <c r="O55" s="243"/>
      <c r="P55" s="243"/>
      <c r="Q55" s="243"/>
      <c r="R55" s="243"/>
    </row>
    <row r="56" spans="1:18">
      <c r="B56" s="234"/>
      <c r="C56" s="234"/>
      <c r="D56" s="234"/>
      <c r="E56" s="234"/>
      <c r="F56" s="234"/>
      <c r="G56" s="243"/>
      <c r="H56" s="234"/>
      <c r="I56" s="234"/>
      <c r="J56" s="234"/>
      <c r="K56" s="234"/>
      <c r="L56" s="234"/>
      <c r="M56" s="234"/>
      <c r="O56" s="1001"/>
      <c r="P56" s="1224"/>
      <c r="Q56" s="243"/>
      <c r="R56" s="243"/>
    </row>
    <row r="57" spans="1:18">
      <c r="B57" s="234"/>
      <c r="C57" s="234"/>
      <c r="D57" s="234"/>
      <c r="E57" s="234"/>
      <c r="F57" s="373" t="s">
        <v>175</v>
      </c>
      <c r="G57" s="547" t="s">
        <v>179</v>
      </c>
      <c r="H57" s="234"/>
      <c r="I57" s="234"/>
      <c r="J57" s="234"/>
      <c r="K57" s="234"/>
      <c r="L57" s="234"/>
      <c r="M57" s="234"/>
      <c r="O57" s="679"/>
      <c r="P57" s="679"/>
      <c r="Q57" s="243"/>
      <c r="R57" s="243"/>
    </row>
    <row r="58" spans="1:18">
      <c r="A58" s="600">
        <f>A53+1</f>
        <v>24</v>
      </c>
      <c r="B58" s="670"/>
      <c r="C58" s="670"/>
      <c r="E58" s="1242" t="s">
        <v>1341</v>
      </c>
      <c r="F58" s="1243">
        <f>E45</f>
        <v>1917414678</v>
      </c>
      <c r="G58" s="488" t="str">
        <f>"Line "&amp;A45&amp;""</f>
        <v>Line 19</v>
      </c>
      <c r="H58" s="234"/>
      <c r="I58" s="234"/>
      <c r="J58" s="234"/>
      <c r="K58" s="234"/>
      <c r="L58" s="234"/>
      <c r="M58" s="234"/>
      <c r="O58" s="1266"/>
      <c r="P58" s="681"/>
      <c r="Q58" s="243"/>
      <c r="R58" s="243"/>
    </row>
    <row r="59" spans="1:18">
      <c r="A59" s="600">
        <f>A58+1</f>
        <v>25</v>
      </c>
      <c r="B59" s="670"/>
      <c r="C59" s="670"/>
      <c r="E59" s="637" t="s">
        <v>241</v>
      </c>
      <c r="F59" s="1265">
        <f>'27-Allocators'!G14</f>
        <v>6.1650013139118928E-2</v>
      </c>
      <c r="G59" s="488" t="str">
        <f>"27-Allocators, Line "&amp;'27-Allocators'!A14&amp;""</f>
        <v>27-Allocators, Line 9</v>
      </c>
      <c r="H59" s="234"/>
      <c r="I59" s="234"/>
      <c r="J59" s="234"/>
      <c r="K59" s="234"/>
      <c r="L59" s="234"/>
      <c r="M59" s="234"/>
      <c r="O59" s="1266"/>
      <c r="P59" s="681"/>
      <c r="Q59" s="243"/>
      <c r="R59" s="243"/>
    </row>
    <row r="60" spans="1:18">
      <c r="A60" s="600">
        <f>A59+1</f>
        <v>26</v>
      </c>
      <c r="B60" s="670"/>
      <c r="C60" s="670"/>
      <c r="E60" s="637" t="s">
        <v>1342</v>
      </c>
      <c r="F60" s="1243">
        <f>F58*F59</f>
        <v>118208640.09183949</v>
      </c>
      <c r="G60" s="249" t="str">
        <f>"Line "&amp;A58&amp;" * Line "&amp;A59&amp;""</f>
        <v>Line 24 * Line 25</v>
      </c>
      <c r="H60" s="234"/>
      <c r="I60" s="234"/>
      <c r="J60" s="234"/>
      <c r="K60" s="234"/>
      <c r="L60" s="234"/>
      <c r="M60" s="234"/>
      <c r="Q60" s="243"/>
      <c r="R60" s="243"/>
    </row>
    <row r="61" spans="1:18">
      <c r="B61" s="234"/>
      <c r="C61" s="234"/>
      <c r="D61" s="234"/>
      <c r="E61" s="234"/>
      <c r="F61" s="234"/>
      <c r="G61" s="234"/>
      <c r="H61" s="234"/>
      <c r="I61" s="234"/>
      <c r="J61" s="234"/>
      <c r="K61" s="234"/>
      <c r="L61" s="234"/>
      <c r="M61" s="234"/>
      <c r="Q61" s="243"/>
      <c r="R61" s="243"/>
    </row>
    <row r="62" spans="1:18">
      <c r="Q62" s="243"/>
      <c r="R62" s="243"/>
    </row>
    <row r="63" spans="1:18">
      <c r="B63" s="1" t="s">
        <v>1554</v>
      </c>
      <c r="Q63" s="243"/>
      <c r="R63" s="243"/>
    </row>
    <row r="64" spans="1:18">
      <c r="Q64" s="243"/>
      <c r="R64" s="243"/>
    </row>
    <row r="65" spans="1:14">
      <c r="C65" s="1" t="s">
        <v>2550</v>
      </c>
      <c r="D65" s="503"/>
      <c r="E65" s="503"/>
      <c r="F65" s="503"/>
      <c r="G65" s="503"/>
      <c r="H65" s="503"/>
      <c r="I65" s="503"/>
      <c r="J65" s="503"/>
      <c r="K65" s="503"/>
      <c r="L65" s="503"/>
    </row>
    <row r="66" spans="1:14">
      <c r="A66" s="503"/>
      <c r="C66" s="503"/>
      <c r="D66" s="503"/>
      <c r="E66" s="503"/>
      <c r="F66" s="503"/>
      <c r="G66" s="503"/>
      <c r="H66" s="503"/>
      <c r="I66" s="503"/>
      <c r="J66" s="503"/>
      <c r="K66" s="503"/>
      <c r="L66" s="503"/>
    </row>
    <row r="67" spans="1:14">
      <c r="A67" s="416"/>
      <c r="C67" s="84" t="s">
        <v>363</v>
      </c>
      <c r="D67" s="84" t="s">
        <v>347</v>
      </c>
      <c r="E67" s="84" t="s">
        <v>348</v>
      </c>
      <c r="F67" s="84" t="s">
        <v>349</v>
      </c>
      <c r="G67" s="84" t="s">
        <v>350</v>
      </c>
      <c r="H67" s="84" t="s">
        <v>351</v>
      </c>
      <c r="I67" s="84" t="s">
        <v>352</v>
      </c>
      <c r="J67" s="84" t="s">
        <v>544</v>
      </c>
      <c r="K67" s="84" t="s">
        <v>961</v>
      </c>
      <c r="L67" s="84" t="s">
        <v>974</v>
      </c>
      <c r="M67" s="84" t="s">
        <v>977</v>
      </c>
      <c r="N67" s="84" t="s">
        <v>995</v>
      </c>
    </row>
    <row r="68" spans="1:14">
      <c r="A68" s="234"/>
      <c r="C68" s="251"/>
      <c r="D68" s="234"/>
      <c r="E68" s="234"/>
      <c r="F68" s="234"/>
      <c r="G68" s="234"/>
      <c r="H68" s="234"/>
      <c r="I68" s="234"/>
      <c r="J68" s="234"/>
      <c r="K68" s="234"/>
      <c r="L68" s="234"/>
      <c r="N68" s="251" t="s">
        <v>1238</v>
      </c>
    </row>
    <row r="69" spans="1:14">
      <c r="A69" s="51"/>
      <c r="C69" s="125" t="s">
        <v>1782</v>
      </c>
      <c r="D69" s="84">
        <v>350.1</v>
      </c>
      <c r="E69" s="84">
        <v>350.2</v>
      </c>
      <c r="F69" s="84">
        <v>352</v>
      </c>
      <c r="G69" s="84">
        <v>353</v>
      </c>
      <c r="H69" s="84">
        <v>354</v>
      </c>
      <c r="I69" s="84">
        <v>355</v>
      </c>
      <c r="J69" s="84">
        <v>356</v>
      </c>
      <c r="K69" s="84">
        <v>357</v>
      </c>
      <c r="L69" s="84">
        <v>358</v>
      </c>
      <c r="M69" s="84">
        <v>359</v>
      </c>
      <c r="N69" s="3" t="s">
        <v>196</v>
      </c>
    </row>
    <row r="70" spans="1:14">
      <c r="A70" s="600">
        <f>A60+1</f>
        <v>27</v>
      </c>
      <c r="C70" s="768" t="s">
        <v>2472</v>
      </c>
      <c r="D70" s="517">
        <f>'17-Depreciation'!C48</f>
        <v>0</v>
      </c>
      <c r="E70" s="517">
        <f>'17-Depreciation'!D48</f>
        <v>225583.59739690754</v>
      </c>
      <c r="F70" s="517">
        <f>'17-Depreciation'!E48</f>
        <v>1007565.0213038283</v>
      </c>
      <c r="G70" s="517">
        <f>'17-Depreciation'!F48</f>
        <v>6237114.8330042399</v>
      </c>
      <c r="H70" s="517">
        <f>'17-Depreciation'!G48</f>
        <v>4401399.6177432351</v>
      </c>
      <c r="I70" s="517">
        <f>'17-Depreciation'!H48</f>
        <v>950158.61521621933</v>
      </c>
      <c r="J70" s="517">
        <f>'17-Depreciation'!I48</f>
        <v>3150767.3759587468</v>
      </c>
      <c r="K70" s="517">
        <f>'17-Depreciation'!J48</f>
        <v>304.44752882100636</v>
      </c>
      <c r="L70" s="517">
        <f>'17-Depreciation'!K48</f>
        <v>41963.468362346241</v>
      </c>
      <c r="M70" s="517">
        <f>'17-Depreciation'!L48</f>
        <v>243213.80300619177</v>
      </c>
      <c r="N70" s="236">
        <f t="shared" ref="N70:N82" si="5">SUM(D70:M70)</f>
        <v>16258070.779520536</v>
      </c>
    </row>
    <row r="71" spans="1:14">
      <c r="A71" s="600">
        <f t="shared" ref="A71:A82" si="6">A70+1</f>
        <v>28</v>
      </c>
      <c r="C71" s="767" t="s">
        <v>2473</v>
      </c>
      <c r="D71" s="517">
        <f>'17-Depreciation'!C49</f>
        <v>0</v>
      </c>
      <c r="E71" s="517">
        <f>'17-Depreciation'!D49</f>
        <v>225607.03789604429</v>
      </c>
      <c r="F71" s="517">
        <f>'17-Depreciation'!E49</f>
        <v>1023261.8554022125</v>
      </c>
      <c r="G71" s="517">
        <f>'17-Depreciation'!F49</f>
        <v>6253706.8165471395</v>
      </c>
      <c r="H71" s="517">
        <f>'17-Depreciation'!G49</f>
        <v>4371369.9533594688</v>
      </c>
      <c r="I71" s="517">
        <f>'17-Depreciation'!H49</f>
        <v>955630.01242536923</v>
      </c>
      <c r="J71" s="517">
        <f>'17-Depreciation'!I49</f>
        <v>3155706.8466422656</v>
      </c>
      <c r="K71" s="517">
        <f>'17-Depreciation'!J49</f>
        <v>304.45084389426069</v>
      </c>
      <c r="L71" s="517">
        <f>'17-Depreciation'!K49</f>
        <v>41977.510775478644</v>
      </c>
      <c r="M71" s="517">
        <f>'17-Depreciation'!L49</f>
        <v>243555.64767855001</v>
      </c>
      <c r="N71" s="236">
        <f t="shared" si="5"/>
        <v>16271120.131570421</v>
      </c>
    </row>
    <row r="72" spans="1:14">
      <c r="A72" s="600">
        <f t="shared" si="6"/>
        <v>29</v>
      </c>
      <c r="C72" s="767" t="s">
        <v>2474</v>
      </c>
      <c r="D72" s="517">
        <f>'17-Depreciation'!C50</f>
        <v>0</v>
      </c>
      <c r="E72" s="517">
        <f>'17-Depreciation'!D50</f>
        <v>225602.44091989286</v>
      </c>
      <c r="F72" s="517">
        <f>'17-Depreciation'!E50</f>
        <v>1007134.2313849287</v>
      </c>
      <c r="G72" s="517">
        <f>'17-Depreciation'!F50</f>
        <v>6295913.0519306241</v>
      </c>
      <c r="H72" s="517">
        <f>'17-Depreciation'!G50</f>
        <v>4375765.670350899</v>
      </c>
      <c r="I72" s="517">
        <f>'17-Depreciation'!H50</f>
        <v>959033.33577828633</v>
      </c>
      <c r="J72" s="517">
        <f>'17-Depreciation'!I50</f>
        <v>3158034.6581515786</v>
      </c>
      <c r="K72" s="517">
        <f>'17-Depreciation'!J50</f>
        <v>304.45075568615761</v>
      </c>
      <c r="L72" s="517">
        <f>'17-Depreciation'!K50</f>
        <v>41978.363122232979</v>
      </c>
      <c r="M72" s="517">
        <f>'17-Depreciation'!L50</f>
        <v>243946.59053604017</v>
      </c>
      <c r="N72" s="236">
        <f t="shared" si="5"/>
        <v>16307712.792930165</v>
      </c>
    </row>
    <row r="73" spans="1:14">
      <c r="A73" s="600">
        <f t="shared" si="6"/>
        <v>30</v>
      </c>
      <c r="C73" s="768" t="s">
        <v>2475</v>
      </c>
      <c r="D73" s="517">
        <f>'17-Depreciation'!C51</f>
        <v>0</v>
      </c>
      <c r="E73" s="517">
        <f>'17-Depreciation'!D51</f>
        <v>225694.47100862031</v>
      </c>
      <c r="F73" s="517">
        <f>'17-Depreciation'!E51</f>
        <v>1020374.7412884677</v>
      </c>
      <c r="G73" s="517">
        <f>'17-Depreciation'!F51</f>
        <v>6332758.0081657292</v>
      </c>
      <c r="H73" s="517">
        <f>'17-Depreciation'!G51</f>
        <v>4373027.8876001127</v>
      </c>
      <c r="I73" s="517">
        <f>'17-Depreciation'!H51</f>
        <v>965190.28206318954</v>
      </c>
      <c r="J73" s="517">
        <f>'17-Depreciation'!I51</f>
        <v>3165449.5461575598</v>
      </c>
      <c r="K73" s="517">
        <f>'17-Depreciation'!J51</f>
        <v>304.45085180641018</v>
      </c>
      <c r="L73" s="517">
        <f>'17-Depreciation'!K51</f>
        <v>41990.094826965513</v>
      </c>
      <c r="M73" s="517">
        <f>'17-Depreciation'!L51</f>
        <v>247260.25816672342</v>
      </c>
      <c r="N73" s="236">
        <f t="shared" si="5"/>
        <v>16372049.740129173</v>
      </c>
    </row>
    <row r="74" spans="1:14">
      <c r="A74" s="600">
        <f t="shared" si="6"/>
        <v>31</v>
      </c>
      <c r="C74" s="767" t="s">
        <v>2476</v>
      </c>
      <c r="D74" s="517">
        <f>'17-Depreciation'!C52</f>
        <v>0</v>
      </c>
      <c r="E74" s="517">
        <f>'17-Depreciation'!D52</f>
        <v>225756.69193343419</v>
      </c>
      <c r="F74" s="517">
        <f>'17-Depreciation'!E52</f>
        <v>1052433.6541380894</v>
      </c>
      <c r="G74" s="517">
        <f>'17-Depreciation'!F52</f>
        <v>6359122.4206836661</v>
      </c>
      <c r="H74" s="517">
        <f>'17-Depreciation'!G52</f>
        <v>4383625.5826376835</v>
      </c>
      <c r="I74" s="517">
        <f>'17-Depreciation'!H52</f>
        <v>968841.60833036853</v>
      </c>
      <c r="J74" s="517">
        <f>'17-Depreciation'!I52</f>
        <v>3166758.4248763383</v>
      </c>
      <c r="K74" s="517">
        <f>'17-Depreciation'!J52</f>
        <v>304.45907217835946</v>
      </c>
      <c r="L74" s="517">
        <f>'17-Depreciation'!K52</f>
        <v>47521.050717346465</v>
      </c>
      <c r="M74" s="517">
        <f>'17-Depreciation'!L52</f>
        <v>247770.74355876318</v>
      </c>
      <c r="N74" s="236">
        <f t="shared" si="5"/>
        <v>16452134.635947866</v>
      </c>
    </row>
    <row r="75" spans="1:14">
      <c r="A75" s="600">
        <f t="shared" si="6"/>
        <v>32</v>
      </c>
      <c r="C75" s="767" t="s">
        <v>2477</v>
      </c>
      <c r="D75" s="517">
        <f>'17-Depreciation'!C53</f>
        <v>0</v>
      </c>
      <c r="E75" s="517">
        <f>'17-Depreciation'!D53</f>
        <v>225766.7728267796</v>
      </c>
      <c r="F75" s="517">
        <f>'17-Depreciation'!E53</f>
        <v>1053421.9414383643</v>
      </c>
      <c r="G75" s="517">
        <f>'17-Depreciation'!F53</f>
        <v>6361734.3859366933</v>
      </c>
      <c r="H75" s="517">
        <f>'17-Depreciation'!G53</f>
        <v>4370279.4528649552</v>
      </c>
      <c r="I75" s="517">
        <f>'17-Depreciation'!H53</f>
        <v>971124.7435617334</v>
      </c>
      <c r="J75" s="517">
        <f>'17-Depreciation'!I53</f>
        <v>3167634.0336603057</v>
      </c>
      <c r="K75" s="517">
        <f>'17-Depreciation'!J53</f>
        <v>304.45992006836337</v>
      </c>
      <c r="L75" s="517">
        <f>'17-Depreciation'!K53</f>
        <v>48643.772078519287</v>
      </c>
      <c r="M75" s="517">
        <f>'17-Depreciation'!L53</f>
        <v>248325.4964492156</v>
      </c>
      <c r="N75" s="236">
        <f t="shared" si="5"/>
        <v>16447235.058736637</v>
      </c>
    </row>
    <row r="76" spans="1:14">
      <c r="A76" s="600">
        <f t="shared" si="6"/>
        <v>33</v>
      </c>
      <c r="C76" s="768" t="s">
        <v>2478</v>
      </c>
      <c r="D76" s="517">
        <f>'17-Depreciation'!C54</f>
        <v>0</v>
      </c>
      <c r="E76" s="517">
        <f>'17-Depreciation'!D54</f>
        <v>225460.22911005083</v>
      </c>
      <c r="F76" s="517">
        <f>'17-Depreciation'!E54</f>
        <v>1062404.7198685934</v>
      </c>
      <c r="G76" s="517">
        <f>'17-Depreciation'!F54</f>
        <v>6422507.4456291338</v>
      </c>
      <c r="H76" s="517">
        <f>'17-Depreciation'!G54</f>
        <v>4494709.5161926895</v>
      </c>
      <c r="I76" s="517">
        <f>'17-Depreciation'!H54</f>
        <v>973926.41968384525</v>
      </c>
      <c r="J76" s="517">
        <f>'17-Depreciation'!I54</f>
        <v>3170082.610571966</v>
      </c>
      <c r="K76" s="517">
        <f>'17-Depreciation'!J54</f>
        <v>304.47140405474539</v>
      </c>
      <c r="L76" s="517">
        <f>'17-Depreciation'!K54</f>
        <v>48848.064957530907</v>
      </c>
      <c r="M76" s="517">
        <f>'17-Depreciation'!L54</f>
        <v>249834.11555100439</v>
      </c>
      <c r="N76" s="236">
        <f t="shared" si="5"/>
        <v>16648077.59296887</v>
      </c>
    </row>
    <row r="77" spans="1:14">
      <c r="A77" s="600">
        <f t="shared" si="6"/>
        <v>34</v>
      </c>
      <c r="C77" s="767" t="s">
        <v>2479</v>
      </c>
      <c r="D77" s="517">
        <f>'17-Depreciation'!C55</f>
        <v>0</v>
      </c>
      <c r="E77" s="517">
        <f>'17-Depreciation'!D55</f>
        <v>225469.68924774564</v>
      </c>
      <c r="F77" s="517">
        <f>'17-Depreciation'!E55</f>
        <v>1073549.2487121322</v>
      </c>
      <c r="G77" s="517">
        <f>'17-Depreciation'!F55</f>
        <v>6526692.8914938243</v>
      </c>
      <c r="H77" s="517">
        <f>'17-Depreciation'!G55</f>
        <v>4499135.0878472412</v>
      </c>
      <c r="I77" s="517">
        <f>'17-Depreciation'!H55</f>
        <v>975999.27373322798</v>
      </c>
      <c r="J77" s="517">
        <f>'17-Depreciation'!I55</f>
        <v>3170272.3668242185</v>
      </c>
      <c r="K77" s="517">
        <f>'17-Depreciation'!J55</f>
        <v>304.47355185389705</v>
      </c>
      <c r="L77" s="517">
        <f>'17-Depreciation'!K55</f>
        <v>48858.186520504503</v>
      </c>
      <c r="M77" s="517">
        <f>'17-Depreciation'!L55</f>
        <v>250178.70147308972</v>
      </c>
      <c r="N77" s="236">
        <f t="shared" si="5"/>
        <v>16770459.919403838</v>
      </c>
    </row>
    <row r="78" spans="1:14">
      <c r="A78" s="600">
        <f t="shared" si="6"/>
        <v>35</v>
      </c>
      <c r="C78" s="767" t="s">
        <v>2480</v>
      </c>
      <c r="D78" s="517">
        <f>'17-Depreciation'!C56</f>
        <v>0</v>
      </c>
      <c r="E78" s="517">
        <f>'17-Depreciation'!D56</f>
        <v>225492.18546291921</v>
      </c>
      <c r="F78" s="517">
        <f>'17-Depreciation'!E56</f>
        <v>1073073.9345191496</v>
      </c>
      <c r="G78" s="517">
        <f>'17-Depreciation'!F56</f>
        <v>6527124.2856593318</v>
      </c>
      <c r="H78" s="517">
        <f>'17-Depreciation'!G56</f>
        <v>4530843.7498756265</v>
      </c>
      <c r="I78" s="517">
        <f>'17-Depreciation'!H56</f>
        <v>977795.61832006031</v>
      </c>
      <c r="J78" s="517">
        <f>'17-Depreciation'!I56</f>
        <v>3155449.0582343843</v>
      </c>
      <c r="K78" s="517">
        <f>'17-Depreciation'!J56</f>
        <v>304.47589046277523</v>
      </c>
      <c r="L78" s="517">
        <f>'17-Depreciation'!K56</f>
        <v>48846.147687376208</v>
      </c>
      <c r="M78" s="517">
        <f>'17-Depreciation'!L56</f>
        <v>231985.84983574858</v>
      </c>
      <c r="N78" s="236">
        <f t="shared" si="5"/>
        <v>16770915.305485059</v>
      </c>
    </row>
    <row r="79" spans="1:14">
      <c r="A79" s="600">
        <f t="shared" si="6"/>
        <v>36</v>
      </c>
      <c r="C79" s="768" t="s">
        <v>2481</v>
      </c>
      <c r="D79" s="517">
        <f>'17-Depreciation'!C57</f>
        <v>0</v>
      </c>
      <c r="E79" s="517">
        <f>'17-Depreciation'!D57</f>
        <v>228525.63861875562</v>
      </c>
      <c r="F79" s="517">
        <f>'17-Depreciation'!E57</f>
        <v>1076670.3308589796</v>
      </c>
      <c r="G79" s="517">
        <f>'17-Depreciation'!F57</f>
        <v>6534473.676840757</v>
      </c>
      <c r="H79" s="517">
        <f>'17-Depreciation'!G57</f>
        <v>4529435.8456503255</v>
      </c>
      <c r="I79" s="517">
        <f>'17-Depreciation'!H57</f>
        <v>980011.77037426771</v>
      </c>
      <c r="J79" s="517">
        <f>'17-Depreciation'!I57</f>
        <v>3164515.1364059169</v>
      </c>
      <c r="K79" s="517">
        <f>'17-Depreciation'!J57</f>
        <v>245461.59467159308</v>
      </c>
      <c r="L79" s="517">
        <f>'17-Depreciation'!K57</f>
        <v>249884.52926724215</v>
      </c>
      <c r="M79" s="517">
        <f>'17-Depreciation'!L57</f>
        <v>231959.21612079532</v>
      </c>
      <c r="N79" s="236">
        <f t="shared" si="5"/>
        <v>17240937.738808632</v>
      </c>
    </row>
    <row r="80" spans="1:14">
      <c r="A80" s="600">
        <f t="shared" si="6"/>
        <v>37</v>
      </c>
      <c r="C80" s="768" t="s">
        <v>2482</v>
      </c>
      <c r="D80" s="517">
        <f>'17-Depreciation'!C58</f>
        <v>0</v>
      </c>
      <c r="E80" s="517">
        <f>'17-Depreciation'!D58</f>
        <v>228661.53820261138</v>
      </c>
      <c r="F80" s="517">
        <f>'17-Depreciation'!E58</f>
        <v>1108667.1642615672</v>
      </c>
      <c r="G80" s="517">
        <f>'17-Depreciation'!F58</f>
        <v>6563759.8903742395</v>
      </c>
      <c r="H80" s="517">
        <f>'17-Depreciation'!G58</f>
        <v>4537719.2950346982</v>
      </c>
      <c r="I80" s="517">
        <f>'17-Depreciation'!H58</f>
        <v>982673.48835581529</v>
      </c>
      <c r="J80" s="517">
        <f>'17-Depreciation'!I58</f>
        <v>3180784.0266526341</v>
      </c>
      <c r="K80" s="517">
        <f>'17-Depreciation'!J58</f>
        <v>248726.70802758439</v>
      </c>
      <c r="L80" s="517">
        <f>'17-Depreciation'!K58</f>
        <v>259133.69849849309</v>
      </c>
      <c r="M80" s="517">
        <f>'17-Depreciation'!L58</f>
        <v>232803.7062205761</v>
      </c>
      <c r="N80" s="236">
        <f t="shared" si="5"/>
        <v>17342929.515628219</v>
      </c>
    </row>
    <row r="81" spans="1:14">
      <c r="A81" s="600">
        <f t="shared" si="6"/>
        <v>38</v>
      </c>
      <c r="C81" s="767" t="s">
        <v>2483</v>
      </c>
      <c r="D81" s="112">
        <f>'17-Depreciation'!C59</f>
        <v>0</v>
      </c>
      <c r="E81" s="112">
        <f>'17-Depreciation'!D59</f>
        <v>228699.72757332303</v>
      </c>
      <c r="F81" s="112">
        <f>'17-Depreciation'!E59</f>
        <v>1115083.0177765409</v>
      </c>
      <c r="G81" s="112">
        <f>'17-Depreciation'!F59</f>
        <v>6589420.3341492666</v>
      </c>
      <c r="H81" s="112">
        <f>'17-Depreciation'!G59</f>
        <v>4514050.939002092</v>
      </c>
      <c r="I81" s="112">
        <f>'17-Depreciation'!H59</f>
        <v>985153.70687446324</v>
      </c>
      <c r="J81" s="112">
        <f>'17-Depreciation'!I59</f>
        <v>3180668.235004276</v>
      </c>
      <c r="K81" s="112">
        <f>'17-Depreciation'!J59</f>
        <v>253493.40597844089</v>
      </c>
      <c r="L81" s="112">
        <f>'17-Depreciation'!K59</f>
        <v>263000.45846956351</v>
      </c>
      <c r="M81" s="112">
        <f>'17-Depreciation'!L59</f>
        <v>233073.15865286867</v>
      </c>
      <c r="N81" s="372">
        <f t="shared" si="5"/>
        <v>17362642.983480833</v>
      </c>
    </row>
    <row r="82" spans="1:14">
      <c r="A82" s="600">
        <f t="shared" si="6"/>
        <v>39</v>
      </c>
      <c r="C82" s="1241" t="s">
        <v>4</v>
      </c>
      <c r="D82" s="236">
        <f>SUM(D70:D81)</f>
        <v>0</v>
      </c>
      <c r="E82" s="236">
        <f t="shared" ref="E82:M82" si="7">SUM(E70:E81)</f>
        <v>2716320.0201970846</v>
      </c>
      <c r="F82" s="236">
        <f t="shared" si="7"/>
        <v>12673639.860952852</v>
      </c>
      <c r="G82" s="236">
        <f t="shared" si="7"/>
        <v>77004328.040414661</v>
      </c>
      <c r="H82" s="236">
        <f t="shared" si="7"/>
        <v>53381362.598159023</v>
      </c>
      <c r="I82" s="236">
        <f t="shared" si="7"/>
        <v>11645538.874716848</v>
      </c>
      <c r="J82" s="236">
        <f t="shared" si="7"/>
        <v>37986122.319140188</v>
      </c>
      <c r="K82" s="236">
        <f t="shared" si="7"/>
        <v>750421.84849644429</v>
      </c>
      <c r="L82" s="236">
        <f t="shared" si="7"/>
        <v>1182645.3452835996</v>
      </c>
      <c r="M82" s="236">
        <f t="shared" si="7"/>
        <v>2903907.287249567</v>
      </c>
      <c r="N82" s="236">
        <f t="shared" si="5"/>
        <v>200244286.19461027</v>
      </c>
    </row>
    <row r="84" spans="1:14">
      <c r="C84" s="1" t="s">
        <v>2551</v>
      </c>
      <c r="D84" s="503"/>
      <c r="E84" s="503"/>
      <c r="F84" s="503"/>
      <c r="G84" s="503"/>
      <c r="H84" s="503"/>
      <c r="I84" s="503"/>
      <c r="J84" s="503"/>
      <c r="K84" s="503"/>
      <c r="L84" s="503"/>
    </row>
    <row r="85" spans="1:14">
      <c r="C85" s="503"/>
      <c r="D85" s="503"/>
      <c r="E85" s="503"/>
      <c r="F85" s="503"/>
      <c r="G85" s="503"/>
      <c r="H85" s="503"/>
      <c r="I85" s="503"/>
      <c r="J85" s="503"/>
      <c r="K85" s="503"/>
      <c r="L85" s="503"/>
    </row>
    <row r="86" spans="1:14">
      <c r="C86" s="84" t="s">
        <v>363</v>
      </c>
      <c r="D86" s="84" t="s">
        <v>347</v>
      </c>
      <c r="E86" s="84" t="s">
        <v>348</v>
      </c>
      <c r="F86" s="84" t="s">
        <v>349</v>
      </c>
      <c r="G86" s="84" t="s">
        <v>350</v>
      </c>
      <c r="H86" s="84" t="s">
        <v>351</v>
      </c>
      <c r="I86" s="84" t="s">
        <v>352</v>
      </c>
      <c r="J86" s="84" t="s">
        <v>544</v>
      </c>
      <c r="K86" s="84" t="s">
        <v>961</v>
      </c>
      <c r="L86" s="84" t="s">
        <v>974</v>
      </c>
      <c r="M86" s="84" t="s">
        <v>977</v>
      </c>
      <c r="N86" s="84"/>
    </row>
    <row r="87" spans="1:14">
      <c r="C87" s="251"/>
      <c r="D87" s="234"/>
      <c r="E87" s="234"/>
      <c r="F87" s="234"/>
      <c r="G87" s="234"/>
      <c r="H87" s="234"/>
      <c r="I87" s="234"/>
      <c r="J87" s="234"/>
      <c r="K87" s="234"/>
      <c r="L87" s="234"/>
      <c r="N87" s="251"/>
    </row>
    <row r="88" spans="1:14">
      <c r="C88" s="125" t="s">
        <v>1782</v>
      </c>
      <c r="D88" s="84">
        <v>350.1</v>
      </c>
      <c r="E88" s="84">
        <v>350.2</v>
      </c>
      <c r="F88" s="84">
        <v>352</v>
      </c>
      <c r="G88" s="84">
        <v>353</v>
      </c>
      <c r="H88" s="84">
        <v>354</v>
      </c>
      <c r="I88" s="84">
        <v>355</v>
      </c>
      <c r="J88" s="84">
        <v>356</v>
      </c>
      <c r="K88" s="84">
        <v>357</v>
      </c>
      <c r="L88" s="84">
        <v>358</v>
      </c>
      <c r="M88" s="84">
        <v>359</v>
      </c>
      <c r="N88" s="3"/>
    </row>
    <row r="89" spans="1:14">
      <c r="A89" s="600">
        <f>A82+1</f>
        <v>40</v>
      </c>
      <c r="C89" s="768" t="s">
        <v>2472</v>
      </c>
      <c r="D89" s="1268">
        <f>'6-PlantInService'!C166</f>
        <v>0.9957816370153405</v>
      </c>
      <c r="E89" s="1268">
        <f>'6-PlantInService'!D166</f>
        <v>1.0319438609181216E-2</v>
      </c>
      <c r="F89" s="1268">
        <f>'6-PlantInService'!E166</f>
        <v>0.11795216177244006</v>
      </c>
      <c r="G89" s="1268">
        <f>'6-PlantInService'!F166</f>
        <v>4.652532572704466E-2</v>
      </c>
      <c r="H89" s="1268">
        <f>'6-PlantInService'!G166</f>
        <v>-0.91741561703990493</v>
      </c>
      <c r="I89" s="1268">
        <f>'6-PlantInService'!H166</f>
        <v>6.5562842677338987E-2</v>
      </c>
      <c r="J89" s="1268">
        <f>'6-PlantInService'!I166</f>
        <v>0.32047540733159108</v>
      </c>
      <c r="K89" s="1268">
        <f>'6-PlantInService'!J166</f>
        <v>0.13706970789505754</v>
      </c>
      <c r="L89" s="1268">
        <f>'6-PlantInService'!K166</f>
        <v>5.4440189594199197E-2</v>
      </c>
      <c r="M89" s="1268">
        <f>'6-PlantInService'!L166</f>
        <v>-2.7733993386472068E-3</v>
      </c>
      <c r="N89" s="236"/>
    </row>
    <row r="90" spans="1:14">
      <c r="A90" s="600">
        <f t="shared" ref="A90:A100" si="8">A89+1</f>
        <v>41</v>
      </c>
      <c r="C90" s="767" t="s">
        <v>2473</v>
      </c>
      <c r="D90" s="1268">
        <f>'6-PlantInService'!C167</f>
        <v>6.6906708122538695E-4</v>
      </c>
      <c r="E90" s="1268">
        <f>'6-PlantInService'!D167</f>
        <v>-2.0237714609233921E-3</v>
      </c>
      <c r="F90" s="1268">
        <f>'6-PlantInService'!E167</f>
        <v>1.7970092673652054E-2</v>
      </c>
      <c r="G90" s="1268">
        <f>'6-PlantInService'!F167</f>
        <v>2.2961969437865843E-2</v>
      </c>
      <c r="H90" s="1268">
        <f>'6-PlantInService'!G167</f>
        <v>-1.7318823790504095E-3</v>
      </c>
      <c r="I90" s="1268">
        <f>'6-PlantInService'!H167</f>
        <v>7.1741526976804318E-2</v>
      </c>
      <c r="J90" s="1268">
        <f>'6-PlantInService'!I167</f>
        <v>7.9614071781197535E-3</v>
      </c>
      <c r="K90" s="1268">
        <f>'6-PlantInService'!J167</f>
        <v>-3.6471769988975942E-3</v>
      </c>
      <c r="L90" s="1268">
        <f>'6-PlantInService'!K167</f>
        <v>3.3044120314896668E-3</v>
      </c>
      <c r="M90" s="1268">
        <f>'6-PlantInService'!L167</f>
        <v>3.4744406952741955E-4</v>
      </c>
      <c r="N90" s="236"/>
    </row>
    <row r="91" spans="1:14">
      <c r="A91" s="600">
        <f t="shared" si="8"/>
        <v>42</v>
      </c>
      <c r="C91" s="767" t="s">
        <v>2474</v>
      </c>
      <c r="D91" s="1268">
        <f>'6-PlantInService'!C168</f>
        <v>-1.1252332179656581E-3</v>
      </c>
      <c r="E91" s="1268">
        <f>'6-PlantInService'!D168</f>
        <v>4.0515299835565295E-2</v>
      </c>
      <c r="F91" s="1268">
        <f>'6-PlantInService'!E168</f>
        <v>0.10086294565502936</v>
      </c>
      <c r="G91" s="1268">
        <f>'6-PlantInService'!F168</f>
        <v>0.10284560896518398</v>
      </c>
      <c r="H91" s="1268">
        <f>'6-PlantInService'!G168</f>
        <v>-0.10920485362807174</v>
      </c>
      <c r="I91" s="1268">
        <f>'6-PlantInService'!H168</f>
        <v>0.17010764179262244</v>
      </c>
      <c r="J91" s="1268">
        <f>'6-PlantInService'!I168</f>
        <v>0.32699765152839083</v>
      </c>
      <c r="K91" s="1268">
        <f>'6-PlantInService'!J168</f>
        <v>3.9743239237053311E-3</v>
      </c>
      <c r="L91" s="1268">
        <f>'6-PlantInService'!K168</f>
        <v>4.5481942731656226E-2</v>
      </c>
      <c r="M91" s="1268">
        <f>'6-PlantInService'!L168</f>
        <v>0.55669688147099239</v>
      </c>
      <c r="N91" s="236"/>
    </row>
    <row r="92" spans="1:14">
      <c r="A92" s="600">
        <f t="shared" si="8"/>
        <v>43</v>
      </c>
      <c r="C92" s="768" t="s">
        <v>2475</v>
      </c>
      <c r="D92" s="1268">
        <f>'6-PlantInService'!C169</f>
        <v>6.1739610271194321E-4</v>
      </c>
      <c r="E92" s="1268">
        <f>'6-PlantInService'!D169</f>
        <v>2.4477417464539484E-3</v>
      </c>
      <c r="F92" s="1268">
        <f>'6-PlantInService'!E169</f>
        <v>0.27744095213051329</v>
      </c>
      <c r="G92" s="1268">
        <f>'6-PlantInService'!F169</f>
        <v>5.9640251917857892E-2</v>
      </c>
      <c r="H92" s="1268">
        <f>'6-PlantInService'!G169</f>
        <v>0.19665046494765789</v>
      </c>
      <c r="I92" s="1268">
        <f>'6-PlantInService'!H169</f>
        <v>8.8442215998670276E-2</v>
      </c>
      <c r="J92" s="1268">
        <f>'6-PlantInService'!I169</f>
        <v>-8.0091485241429432E-3</v>
      </c>
      <c r="K92" s="1268">
        <f>'6-PlantInService'!J169</f>
        <v>0.33989112621035844</v>
      </c>
      <c r="L92" s="1268">
        <f>'6-PlantInService'!K169</f>
        <v>0.26452396231320013</v>
      </c>
      <c r="M92" s="1268">
        <f>'6-PlantInService'!L169</f>
        <v>2.6501709937064109E-2</v>
      </c>
      <c r="N92" s="236"/>
    </row>
    <row r="93" spans="1:14">
      <c r="A93" s="600">
        <f t="shared" si="8"/>
        <v>44</v>
      </c>
      <c r="C93" s="767" t="s">
        <v>2476</v>
      </c>
      <c r="D93" s="1268">
        <f>'6-PlantInService'!C170</f>
        <v>-6.1670600617260189E-4</v>
      </c>
      <c r="E93" s="1268">
        <f>'6-PlantInService'!D170</f>
        <v>4.1596973825938858E-3</v>
      </c>
      <c r="F93" s="1268">
        <f>'6-PlantInService'!E170</f>
        <v>8.4218485443015387E-3</v>
      </c>
      <c r="G93" s="1268">
        <f>'6-PlantInService'!F170</f>
        <v>8.2493614802687919E-3</v>
      </c>
      <c r="H93" s="1268">
        <f>'6-PlantInService'!G170</f>
        <v>-0.42995936469146467</v>
      </c>
      <c r="I93" s="1268">
        <f>'6-PlantInService'!H170</f>
        <v>5.8183152499488459E-2</v>
      </c>
      <c r="J93" s="1268">
        <f>'6-PlantInService'!I170</f>
        <v>1.6216039075593894E-2</v>
      </c>
      <c r="K93" s="1268">
        <f>'6-PlantInService'!J170</f>
        <v>3.5058059428446142E-2</v>
      </c>
      <c r="L93" s="1268">
        <f>'6-PlantInService'!K170</f>
        <v>5.1021396416655367E-2</v>
      </c>
      <c r="M93" s="1268">
        <f>'6-PlantInService'!L170</f>
        <v>6.3782061870306647E-2</v>
      </c>
      <c r="N93" s="236"/>
    </row>
    <row r="94" spans="1:14">
      <c r="A94" s="600">
        <f t="shared" si="8"/>
        <v>45</v>
      </c>
      <c r="C94" s="767" t="s">
        <v>2477</v>
      </c>
      <c r="D94" s="1268">
        <f>'6-PlantInService'!C171</f>
        <v>-8.1900903948602588E-4</v>
      </c>
      <c r="E94" s="1268">
        <f>'6-PlantInService'!D171</f>
        <v>-0.45822153853021658</v>
      </c>
      <c r="F94" s="1268">
        <f>'6-PlantInService'!E171</f>
        <v>6.7291937803818785E-2</v>
      </c>
      <c r="G94" s="1268">
        <f>'6-PlantInService'!F171</f>
        <v>0.17082338984956019</v>
      </c>
      <c r="H94" s="1268">
        <f>'6-PlantInService'!G171</f>
        <v>3.3739393889215257</v>
      </c>
      <c r="I94" s="1268">
        <f>'6-PlantInService'!H171</f>
        <v>0.12490942617689244</v>
      </c>
      <c r="J94" s="1268">
        <f>'6-PlantInService'!I171</f>
        <v>5.608559441623482E-2</v>
      </c>
      <c r="K94" s="1268">
        <f>'6-PlantInService'!J171</f>
        <v>0.47483314488061068</v>
      </c>
      <c r="L94" s="1268">
        <f>'6-PlantInService'!K171</f>
        <v>0.77577479181824949</v>
      </c>
      <c r="M94" s="1268">
        <f>'6-PlantInService'!L171</f>
        <v>0.18564964117503321</v>
      </c>
      <c r="N94" s="236"/>
    </row>
    <row r="95" spans="1:14">
      <c r="A95" s="600">
        <f t="shared" si="8"/>
        <v>46</v>
      </c>
      <c r="C95" s="768" t="s">
        <v>2478</v>
      </c>
      <c r="D95" s="1268">
        <f>'6-PlantInService'!C172</f>
        <v>3.5218645659253378E-3</v>
      </c>
      <c r="E95" s="1268">
        <f>'6-PlantInService'!D172</f>
        <v>2.0134906353649943E-3</v>
      </c>
      <c r="F95" s="1268">
        <f>'6-PlantInService'!E172</f>
        <v>8.4845999013100984E-2</v>
      </c>
      <c r="G95" s="1268">
        <f>'6-PlantInService'!F172</f>
        <v>0.29156701050323358</v>
      </c>
      <c r="H95" s="1268">
        <f>'6-PlantInService'!G172</f>
        <v>9.6357466796652178E-2</v>
      </c>
      <c r="I95" s="1268">
        <f>'6-PlantInService'!H172</f>
        <v>5.3282883942297847E-2</v>
      </c>
      <c r="J95" s="1268">
        <f>'6-PlantInService'!I172</f>
        <v>-2.716719488789314E-2</v>
      </c>
      <c r="K95" s="1268">
        <f>'6-PlantInService'!J172</f>
        <v>8.8805941753513404E-2</v>
      </c>
      <c r="L95" s="1268">
        <f>'6-PlantInService'!K172</f>
        <v>3.1819263446328669E-2</v>
      </c>
      <c r="M95" s="1268">
        <f>'6-PlantInService'!L172</f>
        <v>2.2295887245356326E-2</v>
      </c>
      <c r="N95" s="236"/>
    </row>
    <row r="96" spans="1:14">
      <c r="A96" s="600">
        <f t="shared" si="8"/>
        <v>47</v>
      </c>
      <c r="C96" s="767" t="s">
        <v>2479</v>
      </c>
      <c r="D96" s="1268">
        <f>'6-PlantInService'!C173</f>
        <v>1.1057626369935813E-3</v>
      </c>
      <c r="E96" s="1268">
        <f>'6-PlantInService'!D173</f>
        <v>8.8949399450011356E-3</v>
      </c>
      <c r="F96" s="1268">
        <f>'6-PlantInService'!E173</f>
        <v>-7.7602649096751228E-3</v>
      </c>
      <c r="G96" s="1268">
        <f>'6-PlantInService'!F173</f>
        <v>2.2013738391290405E-3</v>
      </c>
      <c r="H96" s="1268">
        <f>'6-PlantInService'!G173</f>
        <v>-0.2064798687683739</v>
      </c>
      <c r="I96" s="1268">
        <f>'6-PlantInService'!H173</f>
        <v>7.0081619764482322E-2</v>
      </c>
      <c r="J96" s="1268">
        <f>'6-PlantInService'!I173</f>
        <v>1.4339830918770606E-2</v>
      </c>
      <c r="K96" s="1268">
        <f>'6-PlantInService'!J173</f>
        <v>9.6695430605051466E-2</v>
      </c>
      <c r="L96" s="1268">
        <f>'6-PlantInService'!K173</f>
        <v>-3.6095628936954345E-2</v>
      </c>
      <c r="M96" s="1268">
        <f>'6-PlantInService'!L173</f>
        <v>-1.3108449137511687E-3</v>
      </c>
      <c r="N96" s="236"/>
    </row>
    <row r="97" spans="1:14">
      <c r="A97" s="600">
        <f t="shared" si="8"/>
        <v>48</v>
      </c>
      <c r="C97" s="767" t="s">
        <v>2480</v>
      </c>
      <c r="D97" s="1268">
        <f>'6-PlantInService'!C174</f>
        <v>8.6522086142988292E-4</v>
      </c>
      <c r="E97" s="1268">
        <f>'6-PlantInService'!D174</f>
        <v>1.3354575691587487</v>
      </c>
      <c r="F97" s="1268">
        <f>'6-PlantInService'!E174</f>
        <v>6.4788253225260793E-3</v>
      </c>
      <c r="G97" s="1268">
        <f>'6-PlantInService'!F174</f>
        <v>2.022691856590933E-2</v>
      </c>
      <c r="H97" s="1268">
        <f>'6-PlantInService'!G174</f>
        <v>-8.1299799408000001E-2</v>
      </c>
      <c r="I97" s="1268">
        <f>'6-PlantInService'!H174</f>
        <v>7.190660858504147E-2</v>
      </c>
      <c r="J97" s="1268">
        <f>'6-PlantInService'!I174</f>
        <v>0.25906472374628647</v>
      </c>
      <c r="K97" s="1268">
        <f>'6-PlantInService'!J174</f>
        <v>0.12315866055193762</v>
      </c>
      <c r="L97" s="1268">
        <f>'6-PlantInService'!K174</f>
        <v>1.3589558620028039E-2</v>
      </c>
      <c r="M97" s="1268">
        <f>'6-PlantInService'!L174</f>
        <v>5.7165524926724933E-4</v>
      </c>
      <c r="N97" s="236"/>
    </row>
    <row r="98" spans="1:14">
      <c r="A98" s="600">
        <f t="shared" si="8"/>
        <v>49</v>
      </c>
      <c r="C98" s="768" t="s">
        <v>2481</v>
      </c>
      <c r="D98" s="1268">
        <f>'6-PlantInService'!C175</f>
        <v>-6.8860980781259773E-15</v>
      </c>
      <c r="E98" s="1268">
        <f>'6-PlantInService'!D175</f>
        <v>4.9881929538211155E-2</v>
      </c>
      <c r="F98" s="1268">
        <f>'6-PlantInService'!E175</f>
        <v>0.24349568636309277</v>
      </c>
      <c r="G98" s="1268">
        <f>'6-PlantInService'!F175</f>
        <v>8.8908042178306501E-2</v>
      </c>
      <c r="H98" s="1268">
        <f>'6-PlantInService'!G175</f>
        <v>-0.20240108776745291</v>
      </c>
      <c r="I98" s="1268">
        <f>'6-PlantInService'!H175</f>
        <v>6.3084613652862692E-2</v>
      </c>
      <c r="J98" s="1268">
        <f>'6-PlantInService'!I175</f>
        <v>5.2901013036619933E-2</v>
      </c>
      <c r="K98" s="1268">
        <f>'6-PlantInService'!J175</f>
        <v>-0.90081580478781431</v>
      </c>
      <c r="L98" s="1268">
        <f>'6-PlantInService'!K175</f>
        <v>-2.4894448944522429E-2</v>
      </c>
      <c r="M98" s="1268">
        <f>'6-PlantInService'!L175</f>
        <v>-6.1148085806935412E-3</v>
      </c>
      <c r="N98" s="236"/>
    </row>
    <row r="99" spans="1:14">
      <c r="A99" s="600">
        <f t="shared" si="8"/>
        <v>50</v>
      </c>
      <c r="C99" s="768" t="s">
        <v>2482</v>
      </c>
      <c r="D99" s="1268">
        <f>'6-PlantInService'!C176</f>
        <v>0</v>
      </c>
      <c r="E99" s="1268">
        <f>'6-PlantInService'!D176</f>
        <v>5.4883313853274131E-3</v>
      </c>
      <c r="F99" s="1268">
        <f>'6-PlantInService'!E176</f>
        <v>4.8434767742663115E-2</v>
      </c>
      <c r="G99" s="1268">
        <f>'6-PlantInService'!F176</f>
        <v>7.129002204621647E-2</v>
      </c>
      <c r="H99" s="1268">
        <f>'6-PlantInService'!G176</f>
        <v>-0.69802563214856006</v>
      </c>
      <c r="I99" s="1268">
        <f>'6-PlantInService'!H176</f>
        <v>7.1493232929446343E-2</v>
      </c>
      <c r="J99" s="1268">
        <f>'6-PlantInService'!I176</f>
        <v>-0.10156052310782547</v>
      </c>
      <c r="K99" s="1268">
        <f>'6-PlantInService'!J176</f>
        <v>0.71343336536314805</v>
      </c>
      <c r="L99" s="1268">
        <f>'6-PlantInService'!K176</f>
        <v>-0.16277895012346585</v>
      </c>
      <c r="M99" s="1268">
        <f>'6-PlantInService'!L176</f>
        <v>-6.3064294214967734E-4</v>
      </c>
      <c r="N99" s="236"/>
    </row>
    <row r="100" spans="1:14">
      <c r="A100" s="600">
        <f t="shared" si="8"/>
        <v>51</v>
      </c>
      <c r="C100" s="767" t="s">
        <v>2483</v>
      </c>
      <c r="D100" s="1268">
        <f>'6-PlantInService'!C177</f>
        <v>4.5907320520839851E-15</v>
      </c>
      <c r="E100" s="1268">
        <f>'6-PlantInService'!D177</f>
        <v>1.06687175469223E-3</v>
      </c>
      <c r="F100" s="1268">
        <f>'6-PlantInService'!E177</f>
        <v>3.4565047888537086E-2</v>
      </c>
      <c r="G100" s="1268">
        <f>'6-PlantInService'!F177</f>
        <v>0.11476072548942369</v>
      </c>
      <c r="H100" s="1268">
        <f>'6-PlantInService'!G177</f>
        <v>-2.0429214834957007E-2</v>
      </c>
      <c r="I100" s="1268">
        <f>'6-PlantInService'!H177</f>
        <v>9.1204235004052406E-2</v>
      </c>
      <c r="J100" s="1268">
        <f>'6-PlantInService'!I177</f>
        <v>8.2695199288254168E-2</v>
      </c>
      <c r="K100" s="1268">
        <f>'6-PlantInService'!J177</f>
        <v>-0.10845677882511688</v>
      </c>
      <c r="L100" s="1268">
        <f>'6-PlantInService'!K177</f>
        <v>-1.6186488966864122E-2</v>
      </c>
      <c r="M100" s="1268">
        <f>'6-PlantInService'!L177</f>
        <v>0.15498441475769423</v>
      </c>
      <c r="N100" s="372"/>
    </row>
    <row r="102" spans="1:14">
      <c r="C102" s="1" t="s">
        <v>2552</v>
      </c>
    </row>
    <row r="104" spans="1:14">
      <c r="C104" s="507" t="s">
        <v>2553</v>
      </c>
    </row>
    <row r="105" spans="1:14">
      <c r="C105" s="16"/>
      <c r="D105" s="84">
        <v>350.1</v>
      </c>
      <c r="E105" s="84">
        <v>350.2</v>
      </c>
      <c r="F105" s="84">
        <v>352</v>
      </c>
      <c r="G105" s="84">
        <v>353</v>
      </c>
      <c r="H105" s="84">
        <v>354</v>
      </c>
      <c r="I105" s="84">
        <v>355</v>
      </c>
      <c r="J105" s="84">
        <v>356</v>
      </c>
      <c r="K105" s="84">
        <v>357</v>
      </c>
      <c r="L105" s="84">
        <v>358</v>
      </c>
      <c r="M105" s="84">
        <v>359</v>
      </c>
      <c r="N105" s="3" t="s">
        <v>196</v>
      </c>
    </row>
    <row r="106" spans="1:14">
      <c r="A106" s="600">
        <f>A100+1</f>
        <v>52</v>
      </c>
      <c r="C106" s="16"/>
      <c r="D106" s="7">
        <f t="shared" ref="D106:M106" si="9">D24-D12</f>
        <v>0</v>
      </c>
      <c r="E106" s="7">
        <f t="shared" si="9"/>
        <v>2630976.4684263635</v>
      </c>
      <c r="F106" s="7">
        <f t="shared" si="9"/>
        <v>9410586.1599947438</v>
      </c>
      <c r="G106" s="7">
        <f t="shared" si="9"/>
        <v>67140996.684829831</v>
      </c>
      <c r="H106" s="7">
        <f t="shared" si="9"/>
        <v>58489637.725107968</v>
      </c>
      <c r="I106" s="7">
        <f t="shared" si="9"/>
        <v>-275249.04471515119</v>
      </c>
      <c r="J106" s="7">
        <f t="shared" si="9"/>
        <v>21738186.223919511</v>
      </c>
      <c r="K106" s="7">
        <f t="shared" si="9"/>
        <v>707584.43073596619</v>
      </c>
      <c r="L106" s="7">
        <f t="shared" si="9"/>
        <v>1268762.8601035553</v>
      </c>
      <c r="M106" s="7">
        <f t="shared" si="9"/>
        <v>1058206.0478258226</v>
      </c>
      <c r="N106" s="7">
        <f>SUM(D106:M106)</f>
        <v>162169687.55622861</v>
      </c>
    </row>
    <row r="107" spans="1:14">
      <c r="C107" s="507" t="s">
        <v>2554</v>
      </c>
    </row>
    <row r="108" spans="1:14">
      <c r="C108" s="16"/>
      <c r="D108" s="84">
        <v>350.1</v>
      </c>
      <c r="E108" s="84">
        <v>350.2</v>
      </c>
      <c r="F108" s="84">
        <v>352</v>
      </c>
      <c r="G108" s="84">
        <v>353</v>
      </c>
      <c r="H108" s="84">
        <v>354</v>
      </c>
      <c r="I108" s="84">
        <v>355</v>
      </c>
      <c r="J108" s="84">
        <v>356</v>
      </c>
      <c r="K108" s="84">
        <v>357</v>
      </c>
      <c r="L108" s="84">
        <v>358</v>
      </c>
      <c r="M108" s="84">
        <v>359</v>
      </c>
      <c r="N108" s="3" t="s">
        <v>196</v>
      </c>
    </row>
    <row r="109" spans="1:14">
      <c r="A109" s="600">
        <f>A106+1</f>
        <v>53</v>
      </c>
      <c r="C109" s="16"/>
      <c r="D109" s="7">
        <f t="shared" ref="D109:M109" si="10">D82</f>
        <v>0</v>
      </c>
      <c r="E109" s="7">
        <f t="shared" si="10"/>
        <v>2716320.0201970846</v>
      </c>
      <c r="F109" s="7">
        <f t="shared" si="10"/>
        <v>12673639.860952852</v>
      </c>
      <c r="G109" s="7">
        <f t="shared" si="10"/>
        <v>77004328.040414661</v>
      </c>
      <c r="H109" s="7">
        <f t="shared" si="10"/>
        <v>53381362.598159023</v>
      </c>
      <c r="I109" s="7">
        <f t="shared" si="10"/>
        <v>11645538.874716848</v>
      </c>
      <c r="J109" s="7">
        <f t="shared" si="10"/>
        <v>37986122.319140188</v>
      </c>
      <c r="K109" s="7">
        <f t="shared" si="10"/>
        <v>750421.84849644429</v>
      </c>
      <c r="L109" s="7">
        <f t="shared" si="10"/>
        <v>1182645.3452835996</v>
      </c>
      <c r="M109" s="7">
        <f t="shared" si="10"/>
        <v>2903907.287249567</v>
      </c>
      <c r="N109" s="7">
        <f>SUM(D109:M109)</f>
        <v>200244286.19461027</v>
      </c>
    </row>
    <row r="110" spans="1:14">
      <c r="C110" s="507" t="s">
        <v>2555</v>
      </c>
    </row>
    <row r="111" spans="1:14">
      <c r="D111" s="84">
        <v>350.1</v>
      </c>
      <c r="E111" s="84">
        <v>350.2</v>
      </c>
      <c r="F111" s="84">
        <v>352</v>
      </c>
      <c r="G111" s="84">
        <v>353</v>
      </c>
      <c r="H111" s="84">
        <v>354</v>
      </c>
      <c r="I111" s="84">
        <v>355</v>
      </c>
      <c r="J111" s="84">
        <v>356</v>
      </c>
      <c r="K111" s="84">
        <v>357</v>
      </c>
      <c r="L111" s="84">
        <v>358</v>
      </c>
      <c r="M111" s="84">
        <v>359</v>
      </c>
      <c r="N111" s="3" t="s">
        <v>196</v>
      </c>
    </row>
    <row r="112" spans="1:14">
      <c r="A112" s="600">
        <f>A109+1</f>
        <v>54</v>
      </c>
      <c r="D112" s="7">
        <f t="shared" ref="D112:M112" si="11">D106-D109</f>
        <v>0</v>
      </c>
      <c r="E112" s="7">
        <f t="shared" si="11"/>
        <v>-85343.551770721097</v>
      </c>
      <c r="F112" s="7">
        <f t="shared" si="11"/>
        <v>-3263053.7009581085</v>
      </c>
      <c r="G112" s="7">
        <f t="shared" si="11"/>
        <v>-9863331.35558483</v>
      </c>
      <c r="H112" s="7">
        <f t="shared" si="11"/>
        <v>5108275.1269489452</v>
      </c>
      <c r="I112" s="7">
        <f t="shared" si="11"/>
        <v>-11920787.919431999</v>
      </c>
      <c r="J112" s="7">
        <f t="shared" si="11"/>
        <v>-16247936.095220678</v>
      </c>
      <c r="K112" s="7">
        <f t="shared" si="11"/>
        <v>-42837.4177604781</v>
      </c>
      <c r="L112" s="7">
        <f t="shared" si="11"/>
        <v>86117.514819955686</v>
      </c>
      <c r="M112" s="7">
        <f t="shared" si="11"/>
        <v>-1845701.2394237444</v>
      </c>
      <c r="N112" s="7">
        <f>SUM(D112:M112)</f>
        <v>-38074598.638381653</v>
      </c>
    </row>
    <row r="114" spans="1:14">
      <c r="C114" s="1" t="s">
        <v>2556</v>
      </c>
      <c r="D114" s="503"/>
      <c r="E114" s="503"/>
      <c r="F114" s="503"/>
      <c r="G114" s="503"/>
      <c r="H114" s="503"/>
      <c r="I114" s="503"/>
      <c r="J114" s="503"/>
      <c r="K114" s="503"/>
      <c r="L114" s="503"/>
    </row>
    <row r="115" spans="1:14">
      <c r="C115" s="503"/>
      <c r="D115" s="503"/>
      <c r="E115" s="503"/>
      <c r="F115" s="503"/>
      <c r="G115" s="503"/>
      <c r="H115" s="503"/>
      <c r="I115" s="503"/>
      <c r="J115" s="503"/>
      <c r="K115" s="503"/>
      <c r="L115" s="503"/>
    </row>
    <row r="116" spans="1:14">
      <c r="C116" s="84" t="s">
        <v>363</v>
      </c>
      <c r="D116" s="84" t="s">
        <v>347</v>
      </c>
      <c r="E116" s="84" t="s">
        <v>348</v>
      </c>
      <c r="F116" s="84" t="s">
        <v>349</v>
      </c>
      <c r="G116" s="84" t="s">
        <v>350</v>
      </c>
      <c r="H116" s="84" t="s">
        <v>351</v>
      </c>
      <c r="I116" s="84" t="s">
        <v>352</v>
      </c>
      <c r="J116" s="84" t="s">
        <v>544</v>
      </c>
      <c r="K116" s="84" t="s">
        <v>961</v>
      </c>
      <c r="L116" s="84" t="s">
        <v>974</v>
      </c>
      <c r="M116" s="84" t="s">
        <v>977</v>
      </c>
      <c r="N116" s="84" t="s">
        <v>995</v>
      </c>
    </row>
    <row r="117" spans="1:14">
      <c r="C117" s="251"/>
      <c r="D117" s="234"/>
      <c r="E117" s="234"/>
      <c r="F117" s="234"/>
      <c r="G117" s="234"/>
      <c r="H117" s="234"/>
      <c r="I117" s="234"/>
      <c r="J117" s="234"/>
      <c r="K117" s="234"/>
      <c r="L117" s="234"/>
      <c r="N117" s="251" t="s">
        <v>1238</v>
      </c>
    </row>
    <row r="118" spans="1:14">
      <c r="C118" s="125" t="s">
        <v>1782</v>
      </c>
      <c r="D118" s="84">
        <v>350.1</v>
      </c>
      <c r="E118" s="84">
        <v>350.2</v>
      </c>
      <c r="F118" s="84">
        <v>352</v>
      </c>
      <c r="G118" s="84">
        <v>353</v>
      </c>
      <c r="H118" s="84">
        <v>354</v>
      </c>
      <c r="I118" s="84">
        <v>355</v>
      </c>
      <c r="J118" s="84">
        <v>356</v>
      </c>
      <c r="K118" s="84">
        <v>357</v>
      </c>
      <c r="L118" s="84">
        <v>358</v>
      </c>
      <c r="M118" s="84">
        <v>359</v>
      </c>
      <c r="N118" s="3" t="s">
        <v>196</v>
      </c>
    </row>
    <row r="119" spans="1:14">
      <c r="A119" s="600">
        <f>A112+1</f>
        <v>55</v>
      </c>
      <c r="C119" s="768" t="s">
        <v>2472</v>
      </c>
      <c r="D119" s="238">
        <f>D$112*D89</f>
        <v>0</v>
      </c>
      <c r="E119" s="238">
        <f t="shared" ref="E119:M119" si="12">E$112*E89</f>
        <v>-880.69754318743526</v>
      </c>
      <c r="F119" s="238">
        <f t="shared" si="12"/>
        <v>-384884.23800757003</v>
      </c>
      <c r="G119" s="238">
        <f t="shared" si="12"/>
        <v>-458894.70407235716</v>
      </c>
      <c r="H119" s="238">
        <f t="shared" si="12"/>
        <v>-4686411.3775994657</v>
      </c>
      <c r="I119" s="238">
        <f t="shared" si="12"/>
        <v>-781560.7429516433</v>
      </c>
      <c r="J119" s="238">
        <f t="shared" si="12"/>
        <v>-5207063.9384135082</v>
      </c>
      <c r="K119" s="238">
        <f t="shared" si="12"/>
        <v>-5871.7123394072833</v>
      </c>
      <c r="L119" s="238">
        <f t="shared" si="12"/>
        <v>4688.2538341796462</v>
      </c>
      <c r="M119" s="238">
        <f t="shared" si="12"/>
        <v>5118.8665967581428</v>
      </c>
      <c r="N119" s="236">
        <f>SUM(D119:M119)</f>
        <v>-11515760.2904962</v>
      </c>
    </row>
    <row r="120" spans="1:14">
      <c r="A120" s="600">
        <f t="shared" ref="A120:A131" si="13">A119+1</f>
        <v>56</v>
      </c>
      <c r="C120" s="767" t="s">
        <v>2473</v>
      </c>
      <c r="D120" s="238">
        <f t="shared" ref="D120:M130" si="14">D$112*D90</f>
        <v>0</v>
      </c>
      <c r="E120" s="238">
        <f t="shared" si="14"/>
        <v>172.71584444742336</v>
      </c>
      <c r="F120" s="238">
        <f t="shared" si="14"/>
        <v>-58637.377405320527</v>
      </c>
      <c r="G120" s="238">
        <f t="shared" si="14"/>
        <v>-226481.51314248276</v>
      </c>
      <c r="H120" s="238">
        <f t="shared" si="14"/>
        <v>-8846.9316797043721</v>
      </c>
      <c r="I120" s="238">
        <f t="shared" si="14"/>
        <v>-855215.52810669376</v>
      </c>
      <c r="J120" s="238">
        <f t="shared" si="14"/>
        <v>-129356.43505812094</v>
      </c>
      <c r="K120" s="238">
        <f t="shared" si="14"/>
        <v>156.23564474818301</v>
      </c>
      <c r="L120" s="238">
        <f t="shared" si="14"/>
        <v>284.56775209305124</v>
      </c>
      <c r="M120" s="238">
        <f t="shared" si="14"/>
        <v>-641.27794975718791</v>
      </c>
      <c r="N120" s="236">
        <f t="shared" ref="N120:N130" si="15">SUM(D120:M120)</f>
        <v>-1278565.5441007908</v>
      </c>
    </row>
    <row r="121" spans="1:14">
      <c r="A121" s="600">
        <f t="shared" si="13"/>
        <v>57</v>
      </c>
      <c r="C121" s="767" t="s">
        <v>2474</v>
      </c>
      <c r="D121" s="238">
        <f t="shared" si="14"/>
        <v>0</v>
      </c>
      <c r="E121" s="238">
        <f t="shared" si="14"/>
        <v>-3457.7195890228545</v>
      </c>
      <c r="F121" s="238">
        <f t="shared" si="14"/>
        <v>-329121.20810918015</v>
      </c>
      <c r="G121" s="238">
        <f t="shared" si="14"/>
        <v>-1014400.3196905154</v>
      </c>
      <c r="H121" s="238">
        <f t="shared" si="14"/>
        <v>-557848.43753037916</v>
      </c>
      <c r="I121" s="238">
        <f t="shared" si="14"/>
        <v>-2027817.1212845596</v>
      </c>
      <c r="J121" s="238">
        <f t="shared" si="14"/>
        <v>-5313036.9453205345</v>
      </c>
      <c r="K121" s="238">
        <f t="shared" si="14"/>
        <v>-170.24977423522776</v>
      </c>
      <c r="L121" s="238">
        <f t="shared" si="14"/>
        <v>3916.7918772337807</v>
      </c>
      <c r="M121" s="238">
        <f t="shared" si="14"/>
        <v>-1027496.124114344</v>
      </c>
      <c r="N121" s="236">
        <f t="shared" si="15"/>
        <v>-10269431.333535535</v>
      </c>
    </row>
    <row r="122" spans="1:14">
      <c r="A122" s="600">
        <f t="shared" si="13"/>
        <v>58</v>
      </c>
      <c r="C122" s="768" t="s">
        <v>2475</v>
      </c>
      <c r="D122" s="238">
        <f t="shared" si="14"/>
        <v>0</v>
      </c>
      <c r="E122" s="238">
        <f t="shared" si="14"/>
        <v>-208.89897445984781</v>
      </c>
      <c r="F122" s="238">
        <f t="shared" si="14"/>
        <v>-905304.72564681282</v>
      </c>
      <c r="G122" s="238">
        <f t="shared" si="14"/>
        <v>-588251.56679638603</v>
      </c>
      <c r="H122" s="238">
        <f t="shared" si="14"/>
        <v>1004544.6787950662</v>
      </c>
      <c r="I122" s="238">
        <f t="shared" si="14"/>
        <v>-1054300.9000447441</v>
      </c>
      <c r="J122" s="238">
        <f t="shared" si="14"/>
        <v>130132.13339740555</v>
      </c>
      <c r="K122" s="238">
        <f t="shared" si="14"/>
        <v>-14560.058166552511</v>
      </c>
      <c r="L122" s="238">
        <f t="shared" si="14"/>
        <v>22780.146244740412</v>
      </c>
      <c r="M122" s="238">
        <f t="shared" si="14"/>
        <v>-48914.238877687785</v>
      </c>
      <c r="N122" s="236">
        <f t="shared" si="15"/>
        <v>-1454083.4300694312</v>
      </c>
    </row>
    <row r="123" spans="1:14">
      <c r="A123" s="600">
        <f t="shared" si="13"/>
        <v>59</v>
      </c>
      <c r="C123" s="767" t="s">
        <v>2476</v>
      </c>
      <c r="D123" s="238">
        <f t="shared" si="14"/>
        <v>0</v>
      </c>
      <c r="E123" s="238">
        <f t="shared" si="14"/>
        <v>-355.00334892193433</v>
      </c>
      <c r="F123" s="238">
        <f t="shared" si="14"/>
        <v>-27480.944061391794</v>
      </c>
      <c r="G123" s="238">
        <f t="shared" si="14"/>
        <v>-81366.185751888857</v>
      </c>
      <c r="H123" s="238">
        <f t="shared" si="14"/>
        <v>-2196350.7282521795</v>
      </c>
      <c r="I123" s="238">
        <f t="shared" si="14"/>
        <v>-693589.02143037179</v>
      </c>
      <c r="J123" s="238">
        <f t="shared" si="14"/>
        <v>-263477.16661785095</v>
      </c>
      <c r="K123" s="238">
        <f t="shared" si="14"/>
        <v>-1501.7967376080155</v>
      </c>
      <c r="L123" s="238">
        <f t="shared" si="14"/>
        <v>4393.8358620461522</v>
      </c>
      <c r="M123" s="238">
        <f t="shared" si="14"/>
        <v>-117722.63064702692</v>
      </c>
      <c r="N123" s="236">
        <f t="shared" si="15"/>
        <v>-3377449.6409851937</v>
      </c>
    </row>
    <row r="124" spans="1:14">
      <c r="A124" s="600">
        <f t="shared" si="13"/>
        <v>60</v>
      </c>
      <c r="C124" s="767" t="s">
        <v>2477</v>
      </c>
      <c r="D124" s="238">
        <f t="shared" si="14"/>
        <v>0</v>
      </c>
      <c r="E124" s="238">
        <f t="shared" si="14"/>
        <v>39106.253596013012</v>
      </c>
      <c r="F124" s="238">
        <f t="shared" si="14"/>
        <v>-219577.20669539375</v>
      </c>
      <c r="G124" s="238">
        <f t="shared" si="14"/>
        <v>-1684887.6973704584</v>
      </c>
      <c r="H124" s="238">
        <f t="shared" si="14"/>
        <v>17235010.660261154</v>
      </c>
      <c r="I124" s="238">
        <f t="shared" si="14"/>
        <v>-1489018.7785926824</v>
      </c>
      <c r="J124" s="238">
        <f t="shared" si="14"/>
        <v>-911275.15393744898</v>
      </c>
      <c r="K124" s="238">
        <f t="shared" si="14"/>
        <v>-20340.625793772342</v>
      </c>
      <c r="L124" s="238">
        <f t="shared" si="14"/>
        <v>66807.797131356143</v>
      </c>
      <c r="M124" s="238">
        <f t="shared" si="14"/>
        <v>-342653.77281533222</v>
      </c>
      <c r="N124" s="236">
        <f t="shared" si="15"/>
        <v>12673171.475783434</v>
      </c>
    </row>
    <row r="125" spans="1:14">
      <c r="A125" s="600">
        <f t="shared" si="13"/>
        <v>61</v>
      </c>
      <c r="C125" s="768" t="s">
        <v>2478</v>
      </c>
      <c r="D125" s="238">
        <f t="shared" si="14"/>
        <v>0</v>
      </c>
      <c r="E125" s="238">
        <f t="shared" si="14"/>
        <v>-171.83844227913451</v>
      </c>
      <c r="F125" s="238">
        <f t="shared" si="14"/>
        <v>-276857.05109118717</v>
      </c>
      <c r="G125" s="238">
        <f t="shared" si="14"/>
        <v>-2875822.0369506753</v>
      </c>
      <c r="H125" s="238">
        <f t="shared" si="14"/>
        <v>492220.45093314716</v>
      </c>
      <c r="I125" s="238">
        <f t="shared" si="14"/>
        <v>-635173.95921184146</v>
      </c>
      <c r="J125" s="238">
        <f t="shared" si="14"/>
        <v>441410.84642489359</v>
      </c>
      <c r="K125" s="238">
        <f t="shared" si="14"/>
        <v>-3804.2172265079389</v>
      </c>
      <c r="L125" s="238">
        <f t="shared" si="14"/>
        <v>2740.1958913992835</v>
      </c>
      <c r="M125" s="238">
        <f t="shared" si="14"/>
        <v>-41151.546722806226</v>
      </c>
      <c r="N125" s="236">
        <f t="shared" si="15"/>
        <v>-2896609.1563958568</v>
      </c>
    </row>
    <row r="126" spans="1:14">
      <c r="A126" s="600">
        <f t="shared" si="13"/>
        <v>62</v>
      </c>
      <c r="C126" s="767" t="s">
        <v>2479</v>
      </c>
      <c r="D126" s="238">
        <f t="shared" si="14"/>
        <v>0</v>
      </c>
      <c r="E126" s="238">
        <f t="shared" si="14"/>
        <v>-759.12576769365944</v>
      </c>
      <c r="F126" s="238">
        <f t="shared" si="14"/>
        <v>25322.161133930753</v>
      </c>
      <c r="G126" s="238">
        <f t="shared" si="14"/>
        <v>-21712.87961284562</v>
      </c>
      <c r="H126" s="238">
        <f t="shared" si="14"/>
        <v>-1054755.9778451668</v>
      </c>
      <c r="I126" s="238">
        <f t="shared" si="14"/>
        <v>-835428.12626266771</v>
      </c>
      <c r="J126" s="238">
        <f t="shared" si="14"/>
        <v>-232992.65638445443</v>
      </c>
      <c r="K126" s="238">
        <f t="shared" si="14"/>
        <v>-4142.1825563579096</v>
      </c>
      <c r="L126" s="238">
        <f t="shared" si="14"/>
        <v>-3108.465859913787</v>
      </c>
      <c r="M126" s="238">
        <f t="shared" si="14"/>
        <v>2419.4280820028434</v>
      </c>
      <c r="N126" s="236">
        <f t="shared" si="15"/>
        <v>-2125157.8250731663</v>
      </c>
    </row>
    <row r="127" spans="1:14">
      <c r="A127" s="600">
        <f t="shared" si="13"/>
        <v>63</v>
      </c>
      <c r="C127" s="767" t="s">
        <v>2480</v>
      </c>
      <c r="D127" s="238">
        <f t="shared" si="14"/>
        <v>0</v>
      </c>
      <c r="E127" s="238">
        <f t="shared" si="14"/>
        <v>-113972.69219110101</v>
      </c>
      <c r="F127" s="238">
        <f t="shared" si="14"/>
        <v>-21140.754946529833</v>
      </c>
      <c r="G127" s="238">
        <f t="shared" si="14"/>
        <v>-199504.80011799443</v>
      </c>
      <c r="H127" s="238">
        <f t="shared" si="14"/>
        <v>-415301.74314182496</v>
      </c>
      <c r="I127" s="238">
        <f t="shared" si="14"/>
        <v>-857183.43094788759</v>
      </c>
      <c r="J127" s="238">
        <f t="shared" si="14"/>
        <v>-4209267.075955661</v>
      </c>
      <c r="K127" s="238">
        <f t="shared" si="14"/>
        <v>-5275.7989928842662</v>
      </c>
      <c r="L127" s="238">
        <f t="shared" si="14"/>
        <v>1170.2990158569212</v>
      </c>
      <c r="M127" s="238">
        <f t="shared" si="14"/>
        <v>-1055.1048020956516</v>
      </c>
      <c r="N127" s="236">
        <f t="shared" si="15"/>
        <v>-5821531.1020801216</v>
      </c>
    </row>
    <row r="128" spans="1:14">
      <c r="A128" s="600">
        <f t="shared" si="13"/>
        <v>64</v>
      </c>
      <c r="C128" s="768" t="s">
        <v>2481</v>
      </c>
      <c r="D128" s="238">
        <f t="shared" si="14"/>
        <v>0</v>
      </c>
      <c r="E128" s="238">
        <f t="shared" si="14"/>
        <v>-4257.1010359677857</v>
      </c>
      <c r="F128" s="238">
        <f t="shared" si="14"/>
        <v>-794539.50055442471</v>
      </c>
      <c r="G128" s="238">
        <f t="shared" si="14"/>
        <v>-876929.48018094909</v>
      </c>
      <c r="H128" s="238">
        <f t="shared" si="14"/>
        <v>-1033920.4423098902</v>
      </c>
      <c r="I128" s="238">
        <f t="shared" si="14"/>
        <v>-752018.3003350806</v>
      </c>
      <c r="J128" s="238">
        <f t="shared" si="14"/>
        <v>-859532.2791914366</v>
      </c>
      <c r="K128" s="238">
        <f t="shared" si="14"/>
        <v>38588.622954936887</v>
      </c>
      <c r="L128" s="238">
        <f t="shared" si="14"/>
        <v>-2143.8480759145405</v>
      </c>
      <c r="M128" s="238">
        <f t="shared" si="14"/>
        <v>11286.109776225016</v>
      </c>
      <c r="N128" s="236">
        <f t="shared" si="15"/>
        <v>-4273466.2189525012</v>
      </c>
    </row>
    <row r="129" spans="1:14">
      <c r="A129" s="600">
        <f t="shared" si="13"/>
        <v>65</v>
      </c>
      <c r="C129" s="768" t="s">
        <v>2482</v>
      </c>
      <c r="D129" s="238">
        <f t="shared" si="14"/>
        <v>0</v>
      </c>
      <c r="E129" s="238">
        <f t="shared" si="14"/>
        <v>-468.3936937185635</v>
      </c>
      <c r="F129" s="238">
        <f t="shared" si="14"/>
        <v>-158045.2481377433</v>
      </c>
      <c r="G129" s="238">
        <f t="shared" si="14"/>
        <v>-703157.10978878068</v>
      </c>
      <c r="H129" s="238">
        <f t="shared" si="14"/>
        <v>-3565706.9746773033</v>
      </c>
      <c r="I129" s="238">
        <f t="shared" si="14"/>
        <v>-852255.66742648196</v>
      </c>
      <c r="J129" s="238">
        <f t="shared" si="14"/>
        <v>1650148.8892531311</v>
      </c>
      <c r="K129" s="238">
        <f t="shared" si="14"/>
        <v>-30561.64311632498</v>
      </c>
      <c r="L129" s="238">
        <f t="shared" si="14"/>
        <v>-14018.118649634398</v>
      </c>
      <c r="M129" s="238">
        <f t="shared" si="14"/>
        <v>1163.9784599594961</v>
      </c>
      <c r="N129" s="236">
        <f t="shared" si="15"/>
        <v>-3672900.2877768972</v>
      </c>
    </row>
    <row r="130" spans="1:14">
      <c r="A130" s="600">
        <f t="shared" si="13"/>
        <v>66</v>
      </c>
      <c r="C130" s="767" t="s">
        <v>2483</v>
      </c>
      <c r="D130" s="483">
        <f t="shared" si="14"/>
        <v>0</v>
      </c>
      <c r="E130" s="483">
        <f t="shared" si="14"/>
        <v>-91.050624829296382</v>
      </c>
      <c r="F130" s="483">
        <f t="shared" si="14"/>
        <v>-112787.6074364852</v>
      </c>
      <c r="G130" s="483">
        <f t="shared" si="14"/>
        <v>-1131923.062109496</v>
      </c>
      <c r="H130" s="483">
        <f t="shared" si="14"/>
        <v>-104358.05000450728</v>
      </c>
      <c r="I130" s="483">
        <f t="shared" si="14"/>
        <v>-1087226.3428373451</v>
      </c>
      <c r="J130" s="483">
        <f t="shared" si="14"/>
        <v>-1343626.3134170922</v>
      </c>
      <c r="K130" s="483">
        <f t="shared" si="14"/>
        <v>4646.0083434873068</v>
      </c>
      <c r="L130" s="483">
        <f t="shared" si="14"/>
        <v>-1393.9402034869702</v>
      </c>
      <c r="M130" s="483">
        <f t="shared" si="14"/>
        <v>-286054.92640963988</v>
      </c>
      <c r="N130" s="372">
        <f t="shared" si="15"/>
        <v>-4062815.2846993944</v>
      </c>
    </row>
    <row r="131" spans="1:14">
      <c r="A131" s="600">
        <f t="shared" si="13"/>
        <v>67</v>
      </c>
      <c r="C131" s="1241" t="s">
        <v>4</v>
      </c>
      <c r="D131" s="236">
        <f>SUM(D119:D130)</f>
        <v>0</v>
      </c>
      <c r="E131" s="236">
        <f t="shared" ref="E131:M131" si="16">SUM(E119:E130)</f>
        <v>-85343.551770721097</v>
      </c>
      <c r="F131" s="236">
        <f t="shared" si="16"/>
        <v>-3263053.7009581085</v>
      </c>
      <c r="G131" s="236">
        <f t="shared" si="16"/>
        <v>-9863331.35558483</v>
      </c>
      <c r="H131" s="236">
        <f t="shared" si="16"/>
        <v>5108275.1269489462</v>
      </c>
      <c r="I131" s="236">
        <f t="shared" si="16"/>
        <v>-11920787.919431999</v>
      </c>
      <c r="J131" s="236">
        <f t="shared" si="16"/>
        <v>-16247936.095220678</v>
      </c>
      <c r="K131" s="236">
        <f t="shared" si="16"/>
        <v>-42837.4177604781</v>
      </c>
      <c r="L131" s="236">
        <f t="shared" si="16"/>
        <v>86117.514819955686</v>
      </c>
      <c r="M131" s="236">
        <f t="shared" si="16"/>
        <v>-1845701.2394237446</v>
      </c>
      <c r="N131" s="236">
        <f>SUM(N119:N130)</f>
        <v>-38074598.63838166</v>
      </c>
    </row>
    <row r="133" spans="1:14">
      <c r="B133" s="419" t="s">
        <v>232</v>
      </c>
    </row>
    <row r="134" spans="1:14">
      <c r="B134" s="987" t="s">
        <v>2371</v>
      </c>
      <c r="C134" s="14"/>
      <c r="D134" s="14"/>
      <c r="E134" s="14"/>
      <c r="F134" s="14"/>
      <c r="G134" s="14"/>
      <c r="H134" s="14"/>
      <c r="I134" s="14"/>
      <c r="J134" s="14"/>
    </row>
    <row r="135" spans="1:14">
      <c r="B135" s="1267" t="s">
        <v>1905</v>
      </c>
      <c r="C135" s="14"/>
      <c r="D135" s="14"/>
      <c r="E135" s="14"/>
      <c r="F135" s="14"/>
      <c r="G135" s="14"/>
      <c r="H135" s="14"/>
      <c r="I135" s="14"/>
      <c r="J135" s="14"/>
    </row>
    <row r="136" spans="1:14">
      <c r="B136" s="643" t="s">
        <v>1885</v>
      </c>
      <c r="C136" s="627"/>
      <c r="D136" s="627"/>
      <c r="E136" s="627"/>
      <c r="F136" s="627"/>
      <c r="G136" s="627"/>
      <c r="H136" s="627"/>
      <c r="I136" s="627"/>
      <c r="J136" s="14"/>
      <c r="K136" s="14"/>
      <c r="L136" s="627"/>
      <c r="M136" s="627"/>
      <c r="N136" s="14"/>
    </row>
    <row r="137" spans="1:14">
      <c r="B137" s="992" t="s">
        <v>2864</v>
      </c>
      <c r="C137" s="627"/>
      <c r="D137" s="627"/>
      <c r="E137" s="627"/>
      <c r="F137" s="627"/>
      <c r="G137" s="627"/>
      <c r="H137" s="627"/>
      <c r="I137" s="627"/>
      <c r="J137" s="627"/>
      <c r="K137" s="627"/>
      <c r="L137" s="627"/>
      <c r="M137" s="627"/>
      <c r="N137" s="14"/>
    </row>
    <row r="138" spans="1:14">
      <c r="B138" s="992" t="s">
        <v>2557</v>
      </c>
      <c r="C138" s="627"/>
      <c r="D138" s="627"/>
      <c r="E138" s="627"/>
      <c r="F138" s="627"/>
      <c r="G138" s="627"/>
      <c r="H138" s="627"/>
      <c r="I138" s="627"/>
      <c r="J138" s="627"/>
      <c r="K138" s="627"/>
      <c r="L138" s="627"/>
      <c r="M138" s="627"/>
      <c r="N138" s="14"/>
    </row>
    <row r="139" spans="1:14">
      <c r="B139" s="992" t="s">
        <v>1886</v>
      </c>
      <c r="C139" s="627"/>
      <c r="D139" s="627"/>
      <c r="E139" s="627"/>
      <c r="F139" s="627"/>
      <c r="G139" s="627"/>
      <c r="H139" s="627"/>
      <c r="I139" s="627"/>
      <c r="J139" s="627"/>
      <c r="K139" s="627"/>
      <c r="L139" s="627"/>
      <c r="M139" s="627"/>
      <c r="N139" s="14"/>
    </row>
    <row r="140" spans="1:14">
      <c r="B140" s="643" t="s">
        <v>1887</v>
      </c>
      <c r="C140" s="627"/>
      <c r="D140" s="627"/>
      <c r="E140" s="627"/>
      <c r="F140" s="627"/>
      <c r="G140" s="627"/>
      <c r="H140" s="627"/>
      <c r="I140" s="627"/>
      <c r="J140" s="627"/>
      <c r="K140" s="627"/>
      <c r="L140" s="627"/>
      <c r="M140" s="627"/>
      <c r="N140" s="14"/>
    </row>
    <row r="141" spans="1:14">
      <c r="B141" s="992" t="s">
        <v>2357</v>
      </c>
      <c r="C141" s="627"/>
      <c r="D141" s="627"/>
      <c r="E141" s="627"/>
      <c r="F141" s="627"/>
      <c r="G141" s="627"/>
      <c r="H141" s="627"/>
      <c r="I141" s="627"/>
      <c r="J141" s="627"/>
      <c r="K141" s="627"/>
      <c r="L141" s="627"/>
      <c r="M141" s="627"/>
      <c r="N141" s="14"/>
    </row>
    <row r="142" spans="1:14">
      <c r="B142" s="992" t="s">
        <v>2558</v>
      </c>
      <c r="C142" s="627"/>
      <c r="D142" s="627"/>
      <c r="E142" s="627"/>
      <c r="F142" s="627"/>
      <c r="G142" s="627"/>
      <c r="H142" s="627"/>
      <c r="I142" s="627"/>
      <c r="J142" s="627"/>
      <c r="K142" s="627"/>
      <c r="L142" s="627"/>
      <c r="M142" s="627"/>
      <c r="N142" s="14"/>
    </row>
    <row r="143" spans="1:14">
      <c r="B143" s="992" t="s">
        <v>2358</v>
      </c>
      <c r="C143" s="627"/>
      <c r="D143" s="627"/>
      <c r="E143" s="627"/>
      <c r="F143" s="627"/>
      <c r="G143" s="627"/>
      <c r="H143" s="627"/>
      <c r="I143" s="627"/>
      <c r="J143" s="627"/>
      <c r="K143" s="627"/>
      <c r="L143" s="627"/>
      <c r="M143" s="627"/>
      <c r="N143" s="14"/>
    </row>
    <row r="144" spans="1:14">
      <c r="B144" s="505"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502"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505" t="s">
        <v>2559</v>
      </c>
      <c r="C147" s="14"/>
      <c r="D147" s="14"/>
      <c r="E147" s="14"/>
      <c r="F147" s="14"/>
      <c r="G147" s="14"/>
      <c r="H147" s="14"/>
      <c r="I147" s="14"/>
      <c r="J147" s="14"/>
    </row>
    <row r="148" spans="2:10">
      <c r="B148" s="505"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505" t="str">
        <f>"7) Line "&amp;A106&amp;" - Line "&amp;A109&amp;"."</f>
        <v>7) Line 52 - Line 53.</v>
      </c>
      <c r="C150" s="14"/>
      <c r="D150" s="14"/>
      <c r="E150" s="14"/>
      <c r="F150" s="14"/>
      <c r="G150" s="14"/>
      <c r="H150" s="14"/>
      <c r="I150" s="14"/>
      <c r="J150" s="14"/>
    </row>
    <row r="151" spans="2:10">
      <c r="B151" s="505" t="s">
        <v>2560</v>
      </c>
      <c r="C151" s="14"/>
      <c r="D151" s="14"/>
      <c r="E151" s="14"/>
      <c r="F151" s="14"/>
      <c r="G151" s="14"/>
      <c r="H151" s="14"/>
      <c r="I151" s="14"/>
      <c r="J151" s="14"/>
    </row>
    <row r="152" spans="2:10">
      <c r="B152" s="502" t="s">
        <v>2561</v>
      </c>
      <c r="C152" s="14"/>
      <c r="D152" s="14"/>
      <c r="E152" s="14"/>
      <c r="F152" s="14"/>
      <c r="G152" s="14"/>
      <c r="H152" s="14"/>
      <c r="I152" s="14"/>
      <c r="J152" s="14"/>
    </row>
    <row r="153" spans="2:10">
      <c r="B153" s="505"/>
      <c r="C153" s="14"/>
      <c r="D153" s="14"/>
      <c r="E153" s="14"/>
      <c r="F153" s="14"/>
      <c r="G153" s="14"/>
      <c r="H153" s="14"/>
      <c r="I153" s="14"/>
      <c r="J153" s="14"/>
    </row>
    <row r="154" spans="2:10">
      <c r="B154" s="505"/>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&amp;RExhibit SCE-4
TO2018 Formula Rate Spreadsheet</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0"/>
  <sheetViews>
    <sheetView zoomScaleNormal="100" zoomScaleSheetLayoutView="80" workbookViewId="0"/>
  </sheetViews>
  <sheetFormatPr defaultRowHeight="12.75"/>
  <cols>
    <col min="1" max="1" width="4.7109375" customWidth="1"/>
    <col min="2" max="2" width="9.7109375" style="561" customWidth="1"/>
    <col min="3" max="3" width="44.7109375" style="561" customWidth="1"/>
    <col min="4" max="8" width="15.7109375" style="561" customWidth="1"/>
    <col min="9" max="9" width="16.140625" style="561" bestFit="1" customWidth="1"/>
    <col min="10" max="10" width="33.7109375" style="561" customWidth="1"/>
    <col min="11" max="11" width="9.140625" style="14"/>
  </cols>
  <sheetData>
    <row r="1" spans="1:12">
      <c r="A1" s="993" t="s">
        <v>1231</v>
      </c>
      <c r="B1" s="243"/>
      <c r="C1" s="243"/>
      <c r="D1" s="243"/>
      <c r="E1" s="243"/>
      <c r="F1" s="417" t="s">
        <v>304</v>
      </c>
      <c r="G1" s="417"/>
      <c r="H1" s="243"/>
      <c r="I1" s="234"/>
      <c r="J1" s="234"/>
      <c r="K1" s="560"/>
      <c r="L1" s="560"/>
    </row>
    <row r="2" spans="1:12">
      <c r="A2" s="234"/>
      <c r="B2" s="632"/>
      <c r="C2" s="633"/>
      <c r="D2" s="633"/>
      <c r="E2" s="234"/>
      <c r="F2" s="234"/>
      <c r="G2" s="234"/>
      <c r="H2" s="234"/>
      <c r="I2" s="234"/>
      <c r="J2" s="234"/>
      <c r="K2" s="560"/>
      <c r="L2" s="560"/>
    </row>
    <row r="3" spans="1:12">
      <c r="A3" s="234"/>
      <c r="B3" s="632" t="s">
        <v>1574</v>
      </c>
      <c r="C3" s="633"/>
      <c r="D3" s="633"/>
      <c r="E3" s="234"/>
      <c r="F3" s="234"/>
      <c r="G3" s="234"/>
      <c r="H3" s="234"/>
      <c r="I3" s="234"/>
      <c r="J3" s="234"/>
      <c r="K3" s="560"/>
      <c r="L3" s="560"/>
    </row>
    <row r="4" spans="1:12">
      <c r="A4" s="234"/>
      <c r="B4" s="632"/>
      <c r="C4" s="633"/>
      <c r="D4" s="633"/>
      <c r="E4" s="234"/>
      <c r="F4" s="234"/>
      <c r="G4" s="234"/>
      <c r="H4" s="234"/>
      <c r="I4" s="234"/>
      <c r="J4" s="234"/>
      <c r="K4" s="560"/>
      <c r="L4" s="560"/>
    </row>
    <row r="5" spans="1:12">
      <c r="A5" s="234"/>
      <c r="B5" s="634" t="s">
        <v>1575</v>
      </c>
      <c r="C5" s="633"/>
      <c r="D5" s="633"/>
      <c r="E5" s="234"/>
      <c r="F5" s="234"/>
      <c r="G5" s="234"/>
      <c r="H5" s="234"/>
      <c r="I5" s="234"/>
      <c r="J5" s="234"/>
      <c r="K5" s="560"/>
      <c r="L5" s="560"/>
    </row>
    <row r="6" spans="1:12">
      <c r="A6" s="234"/>
      <c r="B6" s="632"/>
      <c r="C6" s="84" t="s">
        <v>363</v>
      </c>
      <c r="D6" s="84" t="s">
        <v>347</v>
      </c>
      <c r="E6" s="234"/>
      <c r="I6" s="234"/>
      <c r="J6" s="234"/>
      <c r="K6" s="560"/>
      <c r="L6" s="560"/>
    </row>
    <row r="7" spans="1:12">
      <c r="A7" s="234"/>
      <c r="C7" s="633"/>
      <c r="D7" s="234"/>
      <c r="E7" s="234"/>
      <c r="I7" s="234"/>
      <c r="J7" s="234"/>
      <c r="K7" s="560"/>
      <c r="L7" s="560"/>
    </row>
    <row r="8" spans="1:12">
      <c r="A8" s="234"/>
      <c r="B8" s="632"/>
      <c r="C8" s="243"/>
      <c r="D8" s="111" t="s">
        <v>196</v>
      </c>
      <c r="J8" s="234"/>
      <c r="K8" s="560"/>
      <c r="L8" s="560"/>
    </row>
    <row r="9" spans="1:12">
      <c r="A9" s="53" t="s">
        <v>332</v>
      </c>
      <c r="B9" s="632"/>
      <c r="C9" s="547" t="s">
        <v>99</v>
      </c>
      <c r="D9" s="125" t="s">
        <v>201</v>
      </c>
      <c r="E9" s="373" t="s">
        <v>179</v>
      </c>
      <c r="J9" s="234"/>
      <c r="K9" s="560"/>
      <c r="L9" s="560"/>
    </row>
    <row r="10" spans="1:12" ht="15">
      <c r="A10" s="395">
        <v>1</v>
      </c>
      <c r="B10" s="632"/>
      <c r="C10" s="505" t="s">
        <v>1236</v>
      </c>
      <c r="D10" s="517">
        <f>+D67</f>
        <v>13441449.546588581</v>
      </c>
      <c r="E10" s="502" t="str">
        <f>"Line "&amp;A67&amp;", Col. 2"</f>
        <v>Line 353, Col. 2</v>
      </c>
      <c r="J10" s="234"/>
      <c r="K10" s="560"/>
      <c r="L10" s="560"/>
    </row>
    <row r="11" spans="1:12">
      <c r="A11" s="600">
        <f>A10+1</f>
        <v>2</v>
      </c>
      <c r="B11" s="632"/>
      <c r="C11" s="505" t="s">
        <v>1234</v>
      </c>
      <c r="D11" s="517">
        <f>+D87</f>
        <v>-1533846891.0100083</v>
      </c>
      <c r="E11" s="502" t="str">
        <f>"Line "&amp;A87&amp;", Col. 2"</f>
        <v>Line 452, Col. 2</v>
      </c>
      <c r="J11" s="234"/>
      <c r="K11" s="560"/>
      <c r="L11" s="560"/>
    </row>
    <row r="12" spans="1:12">
      <c r="A12" s="600">
        <f t="shared" ref="A12:A23" si="0">A11+1</f>
        <v>3</v>
      </c>
      <c r="B12" s="632"/>
      <c r="C12" s="505" t="s">
        <v>1235</v>
      </c>
      <c r="D12" s="517">
        <f>+D127</f>
        <v>-30203163.690619916</v>
      </c>
      <c r="E12" s="502" t="str">
        <f>"Line "&amp;A127&amp;", Col. 2"</f>
        <v>Line 803, Col. 2</v>
      </c>
      <c r="I12" s="562"/>
      <c r="J12" s="234"/>
      <c r="K12" s="560"/>
      <c r="L12" s="560"/>
    </row>
    <row r="13" spans="1:12">
      <c r="A13" s="600">
        <f>A12+1</f>
        <v>4</v>
      </c>
      <c r="B13" s="632"/>
      <c r="C13" s="505" t="s">
        <v>1578</v>
      </c>
      <c r="D13" s="518">
        <f>SUM(D10:D12)</f>
        <v>-1550608605.1540396</v>
      </c>
      <c r="E13" s="580" t="str">
        <f>"Sum of Lines "&amp;A10&amp;" to "&amp;A12&amp;""</f>
        <v>Sum of Lines 1 to 3</v>
      </c>
      <c r="J13" s="234"/>
      <c r="K13" s="560"/>
      <c r="L13" s="560"/>
    </row>
    <row r="14" spans="1:12">
      <c r="A14" s="600">
        <f t="shared" si="0"/>
        <v>5</v>
      </c>
      <c r="B14" s="632"/>
      <c r="D14" s="243"/>
      <c r="E14" s="243"/>
      <c r="G14" s="563"/>
      <c r="H14" s="249"/>
      <c r="I14" s="243"/>
      <c r="J14" s="234"/>
      <c r="K14" s="560"/>
      <c r="L14" s="560"/>
    </row>
    <row r="15" spans="1:12">
      <c r="A15" s="600">
        <f t="shared" si="0"/>
        <v>6</v>
      </c>
      <c r="B15" s="634" t="s">
        <v>1577</v>
      </c>
      <c r="E15" s="243"/>
      <c r="G15" s="562"/>
      <c r="H15" s="564"/>
      <c r="I15" s="562"/>
      <c r="J15" s="234"/>
      <c r="K15" s="560"/>
      <c r="L15" s="560"/>
    </row>
    <row r="16" spans="1:12">
      <c r="A16" s="600">
        <f t="shared" si="0"/>
        <v>7</v>
      </c>
      <c r="B16" s="634"/>
      <c r="D16" s="111" t="s">
        <v>385</v>
      </c>
      <c r="E16" s="243"/>
      <c r="G16" s="562"/>
      <c r="H16" s="564"/>
      <c r="I16" s="562"/>
      <c r="J16" s="234"/>
      <c r="K16" s="560"/>
      <c r="L16" s="560"/>
    </row>
    <row r="17" spans="1:12">
      <c r="A17" s="600">
        <f t="shared" si="0"/>
        <v>8</v>
      </c>
      <c r="B17" s="632"/>
      <c r="D17" s="125" t="s">
        <v>201</v>
      </c>
      <c r="E17" s="373" t="s">
        <v>179</v>
      </c>
      <c r="G17" s="565"/>
      <c r="H17" s="562"/>
      <c r="I17" s="562"/>
      <c r="J17" s="234"/>
      <c r="K17" s="560"/>
      <c r="L17" s="560"/>
    </row>
    <row r="18" spans="1:12">
      <c r="A18" s="600">
        <f t="shared" si="0"/>
        <v>9</v>
      </c>
      <c r="B18" s="632"/>
      <c r="C18" s="505" t="s">
        <v>1578</v>
      </c>
      <c r="D18" s="537">
        <v>-1310937724</v>
      </c>
      <c r="E18" s="488" t="str">
        <f>"Previous Year Informational Filing, Line "&amp;A13&amp;", Col. 2"</f>
        <v>Previous Year Informational Filing, Line 4, Col. 2</v>
      </c>
      <c r="G18" s="562"/>
      <c r="H18" s="562"/>
      <c r="I18" s="562"/>
      <c r="K18" s="560"/>
      <c r="L18" s="560"/>
    </row>
    <row r="19" spans="1:12">
      <c r="A19" s="600">
        <f t="shared" si="0"/>
        <v>10</v>
      </c>
      <c r="B19" s="632"/>
      <c r="D19" s="243"/>
      <c r="E19" s="243"/>
      <c r="F19" s="562"/>
      <c r="G19" s="562"/>
      <c r="H19" s="562"/>
      <c r="I19" s="562"/>
      <c r="J19" s="234"/>
      <c r="K19" s="560"/>
      <c r="L19" s="560"/>
    </row>
    <row r="20" spans="1:12">
      <c r="A20" s="600">
        <f t="shared" si="0"/>
        <v>11</v>
      </c>
      <c r="B20" s="634" t="s">
        <v>1579</v>
      </c>
      <c r="D20" s="243"/>
      <c r="E20" s="243"/>
      <c r="F20" s="562"/>
      <c r="G20" s="562"/>
      <c r="H20" s="562"/>
      <c r="I20" s="562"/>
      <c r="J20" s="234"/>
      <c r="K20" s="560"/>
      <c r="L20" s="560"/>
    </row>
    <row r="21" spans="1:12">
      <c r="A21" s="600">
        <f t="shared" si="0"/>
        <v>12</v>
      </c>
      <c r="B21" s="633"/>
      <c r="C21" s="635"/>
      <c r="D21" s="636" t="s">
        <v>231</v>
      </c>
      <c r="E21" s="234"/>
      <c r="F21" s="234"/>
      <c r="G21" s="234"/>
      <c r="H21" s="234"/>
      <c r="I21" s="234"/>
      <c r="J21" s="234"/>
      <c r="K21" s="560"/>
      <c r="L21" s="560"/>
    </row>
    <row r="22" spans="1:12">
      <c r="A22" s="600">
        <f t="shared" si="0"/>
        <v>13</v>
      </c>
      <c r="B22" s="633"/>
      <c r="D22" s="125" t="s">
        <v>201</v>
      </c>
      <c r="E22" s="373" t="s">
        <v>179</v>
      </c>
      <c r="F22" s="234"/>
      <c r="G22" s="565"/>
      <c r="H22" s="234"/>
      <c r="I22" s="234"/>
      <c r="J22" s="234"/>
      <c r="K22" s="560"/>
      <c r="L22" s="560"/>
    </row>
    <row r="23" spans="1:12">
      <c r="A23" s="600">
        <f t="shared" si="0"/>
        <v>14</v>
      </c>
      <c r="B23" s="633"/>
      <c r="C23" s="637" t="s">
        <v>2633</v>
      </c>
      <c r="D23" s="1138">
        <f>J153</f>
        <v>-1384321609.812227</v>
      </c>
      <c r="E23" s="249" t="str">
        <f>"Line "&amp;A153&amp;""</f>
        <v>Line 819</v>
      </c>
      <c r="F23" s="234"/>
      <c r="G23" s="562"/>
      <c r="H23" s="234"/>
      <c r="I23" s="234"/>
      <c r="J23" s="234"/>
      <c r="K23" s="560"/>
      <c r="L23" s="560"/>
    </row>
    <row r="24" spans="1:12">
      <c r="A24" s="600"/>
      <c r="B24" s="633"/>
      <c r="C24" s="635"/>
      <c r="D24" s="638"/>
      <c r="E24" s="234"/>
      <c r="F24" s="234"/>
      <c r="G24" s="234"/>
      <c r="H24" s="234"/>
      <c r="I24" s="234"/>
      <c r="J24" s="234"/>
      <c r="K24" s="560"/>
      <c r="L24" s="560"/>
    </row>
    <row r="25" spans="1:12">
      <c r="A25" s="600"/>
      <c r="B25" s="632" t="s">
        <v>1580</v>
      </c>
      <c r="C25" s="635"/>
      <c r="D25" s="638"/>
      <c r="E25" s="234"/>
      <c r="F25" s="234"/>
      <c r="G25" s="234"/>
      <c r="H25" s="234"/>
      <c r="I25" s="234"/>
      <c r="J25" s="234"/>
    </row>
    <row r="26" spans="1:12">
      <c r="A26" s="600"/>
      <c r="B26" s="632"/>
      <c r="C26" s="84" t="s">
        <v>363</v>
      </c>
      <c r="D26" s="84" t="s">
        <v>347</v>
      </c>
      <c r="E26" s="84" t="s">
        <v>348</v>
      </c>
      <c r="F26" s="84" t="s">
        <v>349</v>
      </c>
      <c r="G26" s="84" t="s">
        <v>350</v>
      </c>
      <c r="H26" s="84" t="s">
        <v>351</v>
      </c>
      <c r="I26" s="84" t="s">
        <v>352</v>
      </c>
      <c r="J26" s="234"/>
    </row>
    <row r="27" spans="1:12">
      <c r="A27" s="503"/>
      <c r="B27" s="636"/>
      <c r="C27" s="636"/>
      <c r="D27" s="636" t="s">
        <v>1581</v>
      </c>
      <c r="E27" s="636" t="s">
        <v>1582</v>
      </c>
      <c r="F27" s="636"/>
      <c r="G27" s="636"/>
      <c r="H27" s="636" t="s">
        <v>1289</v>
      </c>
      <c r="I27" s="994" t="s">
        <v>1908</v>
      </c>
      <c r="J27" s="234"/>
    </row>
    <row r="28" spans="1:12">
      <c r="A28" s="503"/>
      <c r="B28" s="639" t="s">
        <v>1583</v>
      </c>
      <c r="C28" s="639" t="s">
        <v>1584</v>
      </c>
      <c r="D28" s="639" t="s">
        <v>1585</v>
      </c>
      <c r="E28" s="639" t="s">
        <v>1586</v>
      </c>
      <c r="F28" s="639" t="s">
        <v>1587</v>
      </c>
      <c r="G28" s="639" t="s">
        <v>1588</v>
      </c>
      <c r="H28" s="639" t="s">
        <v>1576</v>
      </c>
      <c r="I28" s="639" t="s">
        <v>100</v>
      </c>
      <c r="J28" s="234"/>
    </row>
    <row r="29" spans="1:12">
      <c r="A29" s="600"/>
      <c r="B29" s="633" t="s">
        <v>1590</v>
      </c>
      <c r="C29" s="633"/>
      <c r="D29" s="633"/>
      <c r="E29" s="234"/>
      <c r="F29" s="234"/>
      <c r="G29" s="234"/>
      <c r="H29" s="234"/>
      <c r="I29" s="234"/>
      <c r="J29" s="234"/>
    </row>
    <row r="30" spans="1:12">
      <c r="A30" s="190">
        <f>100</f>
        <v>100</v>
      </c>
      <c r="B30" s="1121">
        <v>190</v>
      </c>
      <c r="C30" s="1107" t="s">
        <v>2484</v>
      </c>
      <c r="D30" s="1111">
        <v>888877</v>
      </c>
      <c r="E30" s="1123">
        <f>D30*G174</f>
        <v>728.56624932271041</v>
      </c>
      <c r="F30" s="1120"/>
      <c r="G30" s="1123">
        <f>D30-E30</f>
        <v>888148.43375067727</v>
      </c>
      <c r="H30" s="1123"/>
      <c r="I30" s="1124" t="s">
        <v>2485</v>
      </c>
      <c r="J30" s="1115"/>
    </row>
    <row r="31" spans="1:12">
      <c r="A31" s="190">
        <f t="shared" ref="A31:A46" si="1">A30+1</f>
        <v>101</v>
      </c>
      <c r="B31" s="1121">
        <v>190</v>
      </c>
      <c r="C31" s="1107" t="s">
        <v>2486</v>
      </c>
      <c r="D31" s="1111">
        <v>4269587</v>
      </c>
      <c r="E31" s="1123">
        <f>D31*G166</f>
        <v>11388.036305101026</v>
      </c>
      <c r="F31" s="1120"/>
      <c r="G31" s="1123"/>
      <c r="H31" s="1123">
        <f>D31-E31</f>
        <v>4258198.9636948993</v>
      </c>
      <c r="I31" s="1124" t="s">
        <v>2487</v>
      </c>
      <c r="J31" s="1115"/>
    </row>
    <row r="32" spans="1:12">
      <c r="A32" s="1119">
        <f t="shared" si="1"/>
        <v>102</v>
      </c>
      <c r="B32" s="1121">
        <v>190</v>
      </c>
      <c r="C32" s="1107" t="s">
        <v>2488</v>
      </c>
      <c r="D32" s="1111">
        <v>1094107</v>
      </c>
      <c r="E32" s="1123">
        <f>D32*G174</f>
        <v>896.78260698355643</v>
      </c>
      <c r="F32" s="1120"/>
      <c r="G32" s="1123">
        <f>D32-E32</f>
        <v>1093210.2173930164</v>
      </c>
      <c r="H32" s="1123"/>
      <c r="I32" s="1124" t="s">
        <v>2485</v>
      </c>
      <c r="J32" s="1115"/>
    </row>
    <row r="33" spans="1:12">
      <c r="A33" s="1119">
        <f t="shared" si="1"/>
        <v>103</v>
      </c>
      <c r="B33" s="1121">
        <v>190</v>
      </c>
      <c r="C33" s="1107" t="s">
        <v>2489</v>
      </c>
      <c r="D33" s="1111">
        <v>3098046</v>
      </c>
      <c r="E33" s="1123">
        <f>D33*G166</f>
        <v>8263.2489566023633</v>
      </c>
      <c r="F33" s="1123"/>
      <c r="G33" s="1123"/>
      <c r="H33" s="1123">
        <f>D33-E33</f>
        <v>3089782.7510433975</v>
      </c>
      <c r="I33" s="1124" t="s">
        <v>2487</v>
      </c>
      <c r="J33" s="1115"/>
    </row>
    <row r="34" spans="1:12">
      <c r="A34" s="1119">
        <f t="shared" si="1"/>
        <v>104</v>
      </c>
      <c r="B34" s="1121">
        <v>190</v>
      </c>
      <c r="C34" s="1107" t="s">
        <v>2490</v>
      </c>
      <c r="D34" s="1111">
        <v>45946549</v>
      </c>
      <c r="E34" s="1123">
        <f>D34*G166</f>
        <v>122550.72167544618</v>
      </c>
      <c r="F34" s="1120"/>
      <c r="G34" s="1123"/>
      <c r="H34" s="1123">
        <f>D34-E34</f>
        <v>45823998.278324552</v>
      </c>
      <c r="I34" s="1124" t="s">
        <v>2487</v>
      </c>
      <c r="J34" s="1115"/>
    </row>
    <row r="35" spans="1:12" ht="12.75" customHeight="1">
      <c r="A35" s="1119">
        <f t="shared" si="1"/>
        <v>105</v>
      </c>
      <c r="B35" s="1121">
        <v>190</v>
      </c>
      <c r="C35" s="1107" t="s">
        <v>2491</v>
      </c>
      <c r="D35" s="1111">
        <v>18594295</v>
      </c>
      <c r="E35" s="1123">
        <f>D35*G166</f>
        <v>49595.547889704198</v>
      </c>
      <c r="F35" s="1120"/>
      <c r="G35" s="1123"/>
      <c r="H35" s="1123">
        <f>D35-E35</f>
        <v>18544699.452110294</v>
      </c>
      <c r="I35" s="1124" t="s">
        <v>2487</v>
      </c>
      <c r="J35" s="1115"/>
    </row>
    <row r="36" spans="1:12">
      <c r="A36" s="1119">
        <f t="shared" si="1"/>
        <v>106</v>
      </c>
      <c r="B36" s="1121">
        <v>190</v>
      </c>
      <c r="C36" s="1107" t="s">
        <v>2492</v>
      </c>
      <c r="D36" s="1111">
        <v>53413524</v>
      </c>
      <c r="E36" s="1123">
        <f>D36*G166</f>
        <v>142466.97643012897</v>
      </c>
      <c r="F36" s="1120"/>
      <c r="G36" s="1123"/>
      <c r="H36" s="1123">
        <f>D36-E36</f>
        <v>53271057.023569874</v>
      </c>
      <c r="I36" s="1124" t="s">
        <v>2487</v>
      </c>
      <c r="J36" s="1115"/>
    </row>
    <row r="37" spans="1:12">
      <c r="A37" s="1119">
        <f t="shared" si="1"/>
        <v>107</v>
      </c>
      <c r="B37" s="1121">
        <v>190</v>
      </c>
      <c r="C37" s="1107" t="s">
        <v>2493</v>
      </c>
      <c r="D37" s="1111">
        <v>1263638</v>
      </c>
      <c r="E37" s="1123">
        <f>D37*G174</f>
        <v>1035.7383509323013</v>
      </c>
      <c r="F37" s="1120"/>
      <c r="G37" s="1123">
        <f>D37-E37</f>
        <v>1262602.2616490677</v>
      </c>
      <c r="H37" s="1123"/>
      <c r="I37" s="1124" t="s">
        <v>2485</v>
      </c>
      <c r="J37" s="1115"/>
    </row>
    <row r="38" spans="1:12">
      <c r="A38" s="1119">
        <f t="shared" si="1"/>
        <v>108</v>
      </c>
      <c r="B38" s="1121">
        <v>190</v>
      </c>
      <c r="C38" s="1107" t="s">
        <v>2494</v>
      </c>
      <c r="D38" s="1111">
        <v>1564283</v>
      </c>
      <c r="E38" s="1123">
        <f>D38*G174</f>
        <v>1282.1614218719546</v>
      </c>
      <c r="F38" s="1120"/>
      <c r="G38" s="1123">
        <f>D38-E38</f>
        <v>1563000.838578128</v>
      </c>
      <c r="H38" s="1123"/>
      <c r="I38" s="1124" t="s">
        <v>2485</v>
      </c>
      <c r="J38" s="1115"/>
    </row>
    <row r="39" spans="1:12">
      <c r="A39" s="1119">
        <f t="shared" si="1"/>
        <v>109</v>
      </c>
      <c r="B39" s="1121">
        <v>190</v>
      </c>
      <c r="C39" s="1107" t="s">
        <v>2495</v>
      </c>
      <c r="D39" s="1111">
        <v>369377416.2941739</v>
      </c>
      <c r="E39" s="1123">
        <f>D39</f>
        <v>369377416.2941739</v>
      </c>
      <c r="F39" s="1120"/>
      <c r="G39" s="1123"/>
      <c r="H39" s="1123"/>
      <c r="I39" s="1124" t="s">
        <v>2496</v>
      </c>
      <c r="J39" s="1115"/>
    </row>
    <row r="40" spans="1:12">
      <c r="A40" s="1119">
        <f t="shared" si="1"/>
        <v>110</v>
      </c>
      <c r="B40" s="1121">
        <v>190</v>
      </c>
      <c r="C40" s="1107" t="s">
        <v>2497</v>
      </c>
      <c r="D40" s="1111">
        <v>238433</v>
      </c>
      <c r="E40" s="1123">
        <f t="shared" ref="E40:E45" si="2">D40</f>
        <v>238433</v>
      </c>
      <c r="F40" s="537"/>
      <c r="G40" s="1123"/>
      <c r="H40" s="1123"/>
      <c r="I40" s="1124" t="s">
        <v>2498</v>
      </c>
      <c r="J40" s="777"/>
    </row>
    <row r="41" spans="1:12">
      <c r="A41" s="1119">
        <f t="shared" si="1"/>
        <v>111</v>
      </c>
      <c r="B41" s="1121">
        <v>190</v>
      </c>
      <c r="C41" s="1107" t="s">
        <v>2499</v>
      </c>
      <c r="D41" s="1111">
        <v>85326766.055438191</v>
      </c>
      <c r="E41" s="1123">
        <f t="shared" si="2"/>
        <v>85326766.055438191</v>
      </c>
      <c r="F41" s="1120"/>
      <c r="G41" s="1123"/>
      <c r="H41" s="1123"/>
      <c r="I41" s="1126" t="s">
        <v>2500</v>
      </c>
      <c r="J41" s="1115"/>
    </row>
    <row r="42" spans="1:12">
      <c r="A42" s="1119">
        <f t="shared" si="1"/>
        <v>112</v>
      </c>
      <c r="B42" s="1121">
        <v>190</v>
      </c>
      <c r="C42" s="1107" t="s">
        <v>2501</v>
      </c>
      <c r="D42" s="1111">
        <v>16661615</v>
      </c>
      <c r="E42" s="1123">
        <f>D42*G166</f>
        <v>44440.616041227368</v>
      </c>
      <c r="F42" s="1120"/>
      <c r="G42" s="1123"/>
      <c r="H42" s="1123">
        <f>D42-E42</f>
        <v>16617174.383958772</v>
      </c>
      <c r="I42" s="1124" t="s">
        <v>2487</v>
      </c>
      <c r="J42" s="1115"/>
    </row>
    <row r="43" spans="1:12">
      <c r="A43" s="1119">
        <f t="shared" si="1"/>
        <v>113</v>
      </c>
      <c r="B43" s="1121">
        <v>190</v>
      </c>
      <c r="C43" s="1107" t="s">
        <v>2502</v>
      </c>
      <c r="D43" s="1111">
        <v>9929442</v>
      </c>
      <c r="E43" s="1123">
        <f t="shared" si="2"/>
        <v>9929442</v>
      </c>
      <c r="F43" s="1120"/>
      <c r="G43" s="1123"/>
      <c r="H43" s="1123"/>
      <c r="I43" s="1124" t="s">
        <v>2503</v>
      </c>
      <c r="J43" s="1115"/>
    </row>
    <row r="44" spans="1:12">
      <c r="A44" s="1119">
        <f t="shared" si="1"/>
        <v>114</v>
      </c>
      <c r="B44" s="1121">
        <v>190</v>
      </c>
      <c r="C44" s="1107" t="s">
        <v>2504</v>
      </c>
      <c r="D44" s="1111">
        <v>11348185</v>
      </c>
      <c r="E44" s="1123">
        <f t="shared" si="2"/>
        <v>11348185</v>
      </c>
      <c r="F44" s="1120"/>
      <c r="G44" s="1123"/>
      <c r="H44" s="1120"/>
      <c r="I44" s="1124" t="s">
        <v>2505</v>
      </c>
      <c r="J44" s="1115"/>
    </row>
    <row r="45" spans="1:12">
      <c r="A45" s="1119">
        <f t="shared" si="1"/>
        <v>115</v>
      </c>
      <c r="B45" s="1121">
        <v>190</v>
      </c>
      <c r="C45" s="1107" t="s">
        <v>2506</v>
      </c>
      <c r="D45" s="1111">
        <v>274818698.54434097</v>
      </c>
      <c r="E45" s="1123">
        <f t="shared" si="2"/>
        <v>274818698.54434097</v>
      </c>
      <c r="F45" s="1120"/>
      <c r="G45" s="1123"/>
      <c r="H45" s="1120"/>
      <c r="I45" s="1124" t="s">
        <v>2507</v>
      </c>
      <c r="J45" s="1115"/>
    </row>
    <row r="46" spans="1:12" s="1112" customFormat="1">
      <c r="A46" s="1119">
        <f t="shared" si="1"/>
        <v>116</v>
      </c>
      <c r="B46" s="1121">
        <v>190</v>
      </c>
      <c r="C46" s="1107" t="s">
        <v>2508</v>
      </c>
      <c r="D46" s="1111">
        <v>19586959</v>
      </c>
      <c r="E46" s="1123">
        <v>0</v>
      </c>
      <c r="F46" s="1120"/>
      <c r="G46" s="1120">
        <f>D46</f>
        <v>19586959</v>
      </c>
      <c r="H46" s="1120"/>
      <c r="I46" s="1118" t="s">
        <v>2509</v>
      </c>
      <c r="J46" s="1115"/>
      <c r="K46" s="14"/>
    </row>
    <row r="47" spans="1:12">
      <c r="A47" s="111"/>
      <c r="B47" s="642"/>
      <c r="C47" s="643"/>
      <c r="D47" s="644"/>
      <c r="E47" s="238"/>
      <c r="F47" s="238"/>
      <c r="G47" s="238"/>
      <c r="H47" s="238"/>
      <c r="I47" s="243"/>
      <c r="J47" s="243"/>
      <c r="K47" s="560"/>
      <c r="L47" s="560"/>
    </row>
    <row r="48" spans="1:12">
      <c r="A48" s="111"/>
      <c r="B48" s="632" t="s">
        <v>1591</v>
      </c>
      <c r="C48" s="635"/>
      <c r="D48" s="638"/>
      <c r="E48" s="234"/>
      <c r="F48" s="234"/>
      <c r="G48" s="234"/>
      <c r="H48" s="234"/>
      <c r="I48" s="234"/>
      <c r="J48" s="243"/>
      <c r="K48" s="560"/>
      <c r="L48" s="560"/>
    </row>
    <row r="49" spans="1:12">
      <c r="A49" s="111"/>
      <c r="B49" s="632"/>
      <c r="C49" s="84" t="s">
        <v>363</v>
      </c>
      <c r="D49" s="84" t="s">
        <v>347</v>
      </c>
      <c r="E49" s="84" t="s">
        <v>348</v>
      </c>
      <c r="F49" s="84" t="s">
        <v>349</v>
      </c>
      <c r="G49" s="84" t="s">
        <v>350</v>
      </c>
      <c r="H49" s="84" t="s">
        <v>351</v>
      </c>
      <c r="I49" s="84" t="s">
        <v>352</v>
      </c>
      <c r="J49" s="243"/>
      <c r="K49" s="560"/>
      <c r="L49" s="560"/>
    </row>
    <row r="50" spans="1:12">
      <c r="A50" s="111"/>
      <c r="B50" s="636"/>
      <c r="C50" s="636"/>
      <c r="D50" s="636" t="s">
        <v>1581</v>
      </c>
      <c r="E50" s="636" t="s">
        <v>1582</v>
      </c>
      <c r="F50" s="636"/>
      <c r="G50" s="636"/>
      <c r="H50" s="636"/>
      <c r="I50" s="994" t="s">
        <v>1908</v>
      </c>
      <c r="J50" s="243"/>
      <c r="K50" s="560"/>
      <c r="L50" s="560"/>
    </row>
    <row r="51" spans="1:12">
      <c r="A51" s="111"/>
      <c r="B51" s="639" t="s">
        <v>1583</v>
      </c>
      <c r="C51" s="639" t="s">
        <v>1584</v>
      </c>
      <c r="D51" s="639" t="s">
        <v>1585</v>
      </c>
      <c r="E51" s="639" t="s">
        <v>1586</v>
      </c>
      <c r="F51" s="639" t="s">
        <v>1587</v>
      </c>
      <c r="G51" s="639" t="s">
        <v>1588</v>
      </c>
      <c r="H51" s="639" t="s">
        <v>1589</v>
      </c>
      <c r="I51" s="639" t="s">
        <v>100</v>
      </c>
      <c r="J51" s="238"/>
      <c r="K51" s="560"/>
      <c r="L51" s="560"/>
    </row>
    <row r="52" spans="1:12">
      <c r="A52" s="111"/>
      <c r="B52" s="633" t="s">
        <v>1590</v>
      </c>
      <c r="C52" s="633"/>
      <c r="D52" s="633"/>
      <c r="E52" s="234"/>
      <c r="F52" s="234"/>
      <c r="G52" s="234"/>
      <c r="H52" s="234"/>
      <c r="I52" s="234"/>
      <c r="J52" s="243"/>
      <c r="K52" s="560"/>
      <c r="L52" s="560"/>
    </row>
    <row r="53" spans="1:12">
      <c r="A53" s="190">
        <f>A46+1</f>
        <v>117</v>
      </c>
      <c r="B53" s="1105" t="s">
        <v>513</v>
      </c>
      <c r="C53" s="640"/>
      <c r="D53" s="641"/>
      <c r="E53" s="239"/>
      <c r="F53" s="239"/>
      <c r="G53" s="239"/>
      <c r="H53" s="239"/>
      <c r="I53" s="417"/>
      <c r="J53" s="417"/>
      <c r="K53" s="560"/>
      <c r="L53" s="560"/>
    </row>
    <row r="54" spans="1:12">
      <c r="A54" s="600"/>
      <c r="B54" s="645"/>
      <c r="C54" s="633"/>
      <c r="D54" s="646"/>
      <c r="E54" s="236"/>
      <c r="F54" s="236"/>
      <c r="G54" s="236"/>
      <c r="H54" s="236"/>
      <c r="I54" s="373" t="s">
        <v>179</v>
      </c>
      <c r="J54" s="234"/>
      <c r="K54" s="560"/>
      <c r="L54" s="560"/>
    </row>
    <row r="55" spans="1:12">
      <c r="A55" s="111">
        <v>250</v>
      </c>
      <c r="B55" s="633"/>
      <c r="C55" s="633" t="s">
        <v>1592</v>
      </c>
      <c r="D55" s="655">
        <f>SUM(D30:D46)+SUM(D53:D53)</f>
        <v>917420420.89395308</v>
      </c>
      <c r="E55" s="655">
        <f>SUM(E30:E46)+SUM(E53:E53)</f>
        <v>751421589.28988028</v>
      </c>
      <c r="F55" s="647">
        <f>SUM(F30:F46)+SUM(F53:F53)</f>
        <v>0</v>
      </c>
      <c r="G55" s="647">
        <f>SUM(G30:G46)+SUM(G53:G53)</f>
        <v>24393920.751370892</v>
      </c>
      <c r="H55" s="647">
        <f>SUM(H30:H46)+SUM(H53:H53)</f>
        <v>141604910.85270178</v>
      </c>
      <c r="I55" s="249" t="str">
        <f>"Sum of Above Lines beginning on Line "&amp;A30&amp;""</f>
        <v>Sum of Above Lines beginning on Line 100</v>
      </c>
      <c r="J55" s="234"/>
      <c r="K55" s="560"/>
      <c r="L55" s="560"/>
    </row>
    <row r="56" spans="1:12">
      <c r="A56" s="600"/>
      <c r="B56" s="633"/>
      <c r="C56" s="633"/>
      <c r="D56" s="648"/>
      <c r="E56" s="236"/>
      <c r="F56" s="236"/>
      <c r="G56" s="236"/>
      <c r="H56" s="236"/>
      <c r="I56" s="234"/>
      <c r="J56" s="234"/>
    </row>
    <row r="57" spans="1:12">
      <c r="A57" s="600"/>
      <c r="B57" s="633" t="s">
        <v>1593</v>
      </c>
      <c r="C57" s="633"/>
      <c r="D57" s="648"/>
      <c r="E57" s="236"/>
      <c r="F57" s="236"/>
      <c r="G57" s="236"/>
      <c r="H57" s="236"/>
      <c r="I57" s="994" t="s">
        <v>1908</v>
      </c>
      <c r="J57" s="234"/>
    </row>
    <row r="58" spans="1:12">
      <c r="A58" s="600"/>
      <c r="C58" s="84" t="s">
        <v>363</v>
      </c>
      <c r="D58" s="84" t="s">
        <v>347</v>
      </c>
      <c r="E58" s="84" t="s">
        <v>348</v>
      </c>
      <c r="F58" s="84" t="s">
        <v>349</v>
      </c>
      <c r="G58" s="84" t="s">
        <v>350</v>
      </c>
      <c r="H58" s="84" t="s">
        <v>351</v>
      </c>
      <c r="I58" s="84" t="s">
        <v>352</v>
      </c>
      <c r="J58" s="234"/>
    </row>
    <row r="59" spans="1:12">
      <c r="A59" s="190">
        <v>300</v>
      </c>
      <c r="B59" s="1121">
        <v>190</v>
      </c>
      <c r="C59" s="1107" t="s">
        <v>2497</v>
      </c>
      <c r="D59" s="1111">
        <v>4384411</v>
      </c>
      <c r="E59" s="1123"/>
      <c r="F59" s="1123"/>
      <c r="G59" s="1123"/>
      <c r="H59" s="1123"/>
      <c r="I59" s="1124" t="s">
        <v>2510</v>
      </c>
      <c r="J59" s="1124"/>
    </row>
    <row r="60" spans="1:12">
      <c r="A60" s="190">
        <f t="shared" ref="A60" si="3">A59+1</f>
        <v>301</v>
      </c>
      <c r="B60" s="1106" t="s">
        <v>513</v>
      </c>
      <c r="C60" s="1107"/>
      <c r="D60" s="1108"/>
      <c r="E60" s="1109"/>
      <c r="F60" s="1109"/>
      <c r="G60" s="1109"/>
      <c r="H60" s="1109"/>
      <c r="I60" s="1110"/>
      <c r="J60" s="776"/>
    </row>
    <row r="61" spans="1:12">
      <c r="A61" s="600"/>
      <c r="B61" s="645"/>
      <c r="C61" s="643"/>
      <c r="D61" s="644"/>
      <c r="E61" s="238"/>
      <c r="F61" s="238"/>
      <c r="G61" s="238"/>
      <c r="H61" s="238"/>
      <c r="I61" s="243"/>
      <c r="J61" s="243"/>
    </row>
    <row r="62" spans="1:12">
      <c r="A62" s="600"/>
      <c r="B62" s="645"/>
      <c r="C62" s="84" t="s">
        <v>363</v>
      </c>
      <c r="D62" s="84" t="s">
        <v>347</v>
      </c>
      <c r="E62" s="84" t="s">
        <v>348</v>
      </c>
      <c r="F62" s="84" t="s">
        <v>349</v>
      </c>
      <c r="G62" s="84" t="s">
        <v>350</v>
      </c>
      <c r="H62" s="84" t="s">
        <v>351</v>
      </c>
      <c r="I62" s="373" t="s">
        <v>179</v>
      </c>
      <c r="J62" s="234"/>
    </row>
    <row r="63" spans="1:12">
      <c r="A63" s="579">
        <v>350</v>
      </c>
      <c r="B63" s="633"/>
      <c r="C63" s="633" t="s">
        <v>1594</v>
      </c>
      <c r="D63" s="655">
        <f>SUM(D59:D60)</f>
        <v>4384411</v>
      </c>
      <c r="E63" s="655">
        <f>SUM(E59:E60)</f>
        <v>0</v>
      </c>
      <c r="F63" s="647">
        <f>SUM(F59:F60)</f>
        <v>0</v>
      </c>
      <c r="G63" s="647">
        <f>SUM(G59:G60)</f>
        <v>0</v>
      </c>
      <c r="H63" s="647">
        <f>SUM(H59:H60)</f>
        <v>0</v>
      </c>
      <c r="I63" s="249" t="str">
        <f>"Sum of Above Lines beginning on Line "&amp;A59&amp;""</f>
        <v>Sum of Above Lines beginning on Line 300</v>
      </c>
      <c r="J63" s="234"/>
    </row>
    <row r="64" spans="1:12">
      <c r="A64" s="579"/>
      <c r="B64" s="633"/>
      <c r="C64" s="633"/>
      <c r="D64" s="647"/>
      <c r="E64" s="647"/>
      <c r="F64" s="647"/>
      <c r="G64" s="647"/>
      <c r="H64" s="647"/>
      <c r="I64" s="249"/>
      <c r="J64" s="234"/>
    </row>
    <row r="65" spans="1:10">
      <c r="A65" s="579">
        <f t="shared" ref="A65" si="4">A63+1</f>
        <v>351</v>
      </c>
      <c r="B65" s="633"/>
      <c r="C65" s="633" t="s">
        <v>1595</v>
      </c>
      <c r="D65" s="647">
        <f>+D63+D55</f>
        <v>921804831.89395308</v>
      </c>
      <c r="E65" s="647">
        <f>+E63+E55</f>
        <v>751421589.28988028</v>
      </c>
      <c r="F65" s="647">
        <f>+F63+F55</f>
        <v>0</v>
      </c>
      <c r="G65" s="647">
        <f>+G63+G55</f>
        <v>24393920.751370892</v>
      </c>
      <c r="H65" s="647">
        <f>+H63+H55</f>
        <v>141604910.85270178</v>
      </c>
      <c r="I65" s="566" t="str">
        <f>"Line "&amp;A55&amp;" + Line "&amp;A63&amp;""</f>
        <v>Line 250 + Line 350</v>
      </c>
      <c r="J65" s="234"/>
    </row>
    <row r="66" spans="1:10">
      <c r="A66" s="579">
        <f>+A65+1</f>
        <v>352</v>
      </c>
      <c r="B66" s="633"/>
      <c r="C66" s="633" t="s">
        <v>1639</v>
      </c>
      <c r="D66" s="647"/>
      <c r="E66" s="647"/>
      <c r="F66" s="647"/>
      <c r="G66" s="649">
        <f>'27-Allocators'!$G$27</f>
        <v>0.1931425858096622</v>
      </c>
      <c r="H66" s="649">
        <f>'27-Allocators'!$G$14</f>
        <v>6.1650013139118928E-2</v>
      </c>
      <c r="I66" s="780" t="str">
        <f>"27-Allocators Lines "&amp;'27-Allocators'!A27&amp;" and "&amp;'27-Allocators'!A14&amp;" respectively."</f>
        <v>27-Allocators Lines 22 and 9 respectively.</v>
      </c>
      <c r="J66" s="234"/>
    </row>
    <row r="67" spans="1:10">
      <c r="A67" s="579">
        <f>+A66+1</f>
        <v>353</v>
      </c>
      <c r="B67" s="633"/>
      <c r="C67" s="633" t="s">
        <v>1640</v>
      </c>
      <c r="D67" s="647">
        <f>SUM(F67:H67)</f>
        <v>13441449.546588581</v>
      </c>
      <c r="E67" s="647"/>
      <c r="F67" s="650">
        <f>+F65</f>
        <v>0</v>
      </c>
      <c r="G67" s="650">
        <f>+G65*G66</f>
        <v>4711504.931955752</v>
      </c>
      <c r="H67" s="650">
        <f>+H65*H66</f>
        <v>8729944.61463283</v>
      </c>
      <c r="I67" s="566" t="str">
        <f>"Line "&amp;A65&amp;" * Line "&amp;A66&amp;" for Cols 5 and 6.  Col. 4 100% ISO."</f>
        <v>Line 351 * Line 352 for Cols 5 and 6.  Col. 4 100% ISO.</v>
      </c>
      <c r="J67" s="234"/>
    </row>
    <row r="68" spans="1:10">
      <c r="A68" s="579"/>
      <c r="B68" s="633"/>
      <c r="C68" s="651" t="s">
        <v>1642</v>
      </c>
      <c r="D68" s="647"/>
      <c r="E68" s="647"/>
      <c r="F68" s="647"/>
      <c r="G68" s="647"/>
      <c r="H68" s="647"/>
      <c r="I68" s="566"/>
      <c r="J68" s="234"/>
    </row>
    <row r="69" spans="1:10">
      <c r="A69" s="579"/>
      <c r="B69" s="633"/>
      <c r="C69" s="633"/>
      <c r="D69" s="647"/>
      <c r="E69" s="647"/>
      <c r="F69" s="647"/>
      <c r="G69" s="647"/>
      <c r="H69" s="647"/>
      <c r="I69" s="566"/>
      <c r="J69" s="234"/>
    </row>
    <row r="70" spans="1:10">
      <c r="A70" s="579">
        <f>+A67+1</f>
        <v>354</v>
      </c>
      <c r="B70" s="633"/>
      <c r="C70" s="633" t="s">
        <v>1596</v>
      </c>
      <c r="D70" s="1122">
        <v>921804832</v>
      </c>
      <c r="E70" s="652" t="str">
        <f>"Must match amount on Line "&amp;A65&amp;", Col. 2"</f>
        <v>Must match amount on Line 351, Col. 2</v>
      </c>
      <c r="G70" s="647"/>
      <c r="H70" s="647"/>
      <c r="I70" s="566" t="s">
        <v>1237</v>
      </c>
      <c r="J70" s="234"/>
    </row>
    <row r="71" spans="1:10">
      <c r="A71" s="600"/>
      <c r="B71" s="633"/>
      <c r="C71" s="633"/>
      <c r="D71" s="653"/>
      <c r="E71" s="653"/>
      <c r="F71" s="653"/>
      <c r="G71" s="653"/>
      <c r="H71" s="653"/>
      <c r="I71" s="567"/>
      <c r="J71" s="234"/>
    </row>
    <row r="72" spans="1:10">
      <c r="A72" s="503"/>
      <c r="B72" s="632" t="s">
        <v>1597</v>
      </c>
      <c r="C72" s="654"/>
      <c r="D72" s="653"/>
      <c r="E72" s="234"/>
      <c r="F72" s="234"/>
      <c r="G72" s="234"/>
      <c r="H72" s="234"/>
      <c r="I72" s="234"/>
      <c r="J72" s="234"/>
    </row>
    <row r="73" spans="1:10">
      <c r="A73" s="503"/>
      <c r="C73" s="84" t="s">
        <v>363</v>
      </c>
      <c r="D73" s="84" t="s">
        <v>347</v>
      </c>
      <c r="E73" s="84" t="s">
        <v>348</v>
      </c>
      <c r="F73" s="84" t="s">
        <v>349</v>
      </c>
      <c r="G73" s="84" t="s">
        <v>350</v>
      </c>
      <c r="H73" s="84" t="s">
        <v>351</v>
      </c>
      <c r="I73" s="84" t="s">
        <v>352</v>
      </c>
      <c r="J73" s="234"/>
    </row>
    <row r="74" spans="1:10">
      <c r="A74" s="503"/>
      <c r="B74" s="636"/>
      <c r="C74" s="636"/>
      <c r="D74" s="636" t="s">
        <v>1581</v>
      </c>
      <c r="E74" s="636" t="s">
        <v>1582</v>
      </c>
      <c r="F74" s="636"/>
      <c r="G74" s="636"/>
      <c r="H74" s="636" t="s">
        <v>1289</v>
      </c>
      <c r="I74" s="994" t="s">
        <v>1908</v>
      </c>
      <c r="J74" s="234"/>
    </row>
    <row r="75" spans="1:10">
      <c r="A75" s="503"/>
      <c r="B75" s="639" t="s">
        <v>1598</v>
      </c>
      <c r="C75" s="639" t="s">
        <v>1584</v>
      </c>
      <c r="D75" s="639" t="s">
        <v>1585</v>
      </c>
      <c r="E75" s="639" t="s">
        <v>1586</v>
      </c>
      <c r="F75" s="639" t="s">
        <v>1587</v>
      </c>
      <c r="G75" s="639" t="s">
        <v>1588</v>
      </c>
      <c r="H75" s="639" t="s">
        <v>1576</v>
      </c>
      <c r="I75" s="639" t="s">
        <v>100</v>
      </c>
      <c r="J75" s="234"/>
    </row>
    <row r="76" spans="1:10">
      <c r="A76" s="190">
        <v>400</v>
      </c>
      <c r="B76" s="1125">
        <v>282</v>
      </c>
      <c r="C76" s="1126" t="s">
        <v>2511</v>
      </c>
      <c r="D76" s="1127">
        <v>-1533846891.0100083</v>
      </c>
      <c r="E76" s="1123"/>
      <c r="F76" s="1123">
        <f>D76</f>
        <v>-1533846891.0100083</v>
      </c>
      <c r="G76" s="1123"/>
      <c r="H76" s="1123"/>
      <c r="I76" s="1124" t="s">
        <v>2512</v>
      </c>
      <c r="J76" s="1124"/>
    </row>
    <row r="77" spans="1:10">
      <c r="A77" s="190">
        <f>A76+1</f>
        <v>401</v>
      </c>
      <c r="B77" s="1125">
        <v>282</v>
      </c>
      <c r="C77" s="1128" t="s">
        <v>2502</v>
      </c>
      <c r="D77" s="1127">
        <v>-8737861331.241251</v>
      </c>
      <c r="E77" s="1123">
        <f>D77</f>
        <v>-8737861331.241251</v>
      </c>
      <c r="F77" s="1123"/>
      <c r="G77" s="1123"/>
      <c r="H77" s="1123"/>
      <c r="I77" s="1124" t="s">
        <v>2513</v>
      </c>
      <c r="J77" s="1124"/>
    </row>
    <row r="78" spans="1:10">
      <c r="A78" s="190">
        <f t="shared" ref="A78:A81" si="5">A77+1</f>
        <v>402</v>
      </c>
      <c r="B78" s="1125">
        <v>282</v>
      </c>
      <c r="C78" s="1126" t="s">
        <v>2506</v>
      </c>
      <c r="D78" s="1127">
        <v>0</v>
      </c>
      <c r="E78" s="1123">
        <f>D78</f>
        <v>0</v>
      </c>
      <c r="F78" s="1123"/>
      <c r="G78" s="1123"/>
      <c r="H78" s="1123"/>
      <c r="I78" s="1124" t="s">
        <v>2507</v>
      </c>
      <c r="J78" s="1124"/>
    </row>
    <row r="79" spans="1:10">
      <c r="A79" s="190">
        <f t="shared" si="5"/>
        <v>403</v>
      </c>
      <c r="B79" s="1125">
        <v>282</v>
      </c>
      <c r="C79" s="1126" t="s">
        <v>2514</v>
      </c>
      <c r="D79" s="1127">
        <v>-9484309.043520486</v>
      </c>
      <c r="E79" s="1123">
        <f t="shared" ref="E79:E81" si="6">D79</f>
        <v>-9484309.043520486</v>
      </c>
      <c r="F79" s="1123"/>
      <c r="G79" s="1123"/>
      <c r="H79" s="1123"/>
      <c r="I79" s="1124" t="s">
        <v>2515</v>
      </c>
      <c r="J79" s="1124"/>
    </row>
    <row r="80" spans="1:10">
      <c r="A80" s="190">
        <f t="shared" si="5"/>
        <v>404</v>
      </c>
      <c r="B80" s="1125">
        <v>282</v>
      </c>
      <c r="C80" s="1126" t="s">
        <v>2516</v>
      </c>
      <c r="D80" s="1127">
        <v>-4223920.0954154301</v>
      </c>
      <c r="E80" s="1123">
        <f t="shared" si="6"/>
        <v>-4223920.0954154301</v>
      </c>
      <c r="F80" s="1123"/>
      <c r="G80" s="1123"/>
      <c r="H80" s="1123"/>
      <c r="I80" s="1124" t="s">
        <v>2517</v>
      </c>
      <c r="J80" s="1124"/>
    </row>
    <row r="81" spans="1:11">
      <c r="A81" s="190">
        <f t="shared" si="5"/>
        <v>405</v>
      </c>
      <c r="B81" s="1125">
        <v>282</v>
      </c>
      <c r="C81" s="1128" t="s">
        <v>2502</v>
      </c>
      <c r="D81" s="1127">
        <f>-1300717.89380599-10252929</f>
        <v>-11553646.89380599</v>
      </c>
      <c r="E81" s="1123">
        <f t="shared" si="6"/>
        <v>-11553646.89380599</v>
      </c>
      <c r="F81" s="1123"/>
      <c r="G81" s="1123"/>
      <c r="H81" s="1123"/>
      <c r="I81" s="1124" t="s">
        <v>2510</v>
      </c>
      <c r="J81" s="1124"/>
    </row>
    <row r="82" spans="1:11" s="1112" customFormat="1">
      <c r="A82" s="1119">
        <f>A81+1</f>
        <v>406</v>
      </c>
      <c r="B82" s="1116" t="s">
        <v>513</v>
      </c>
      <c r="C82" s="1113"/>
      <c r="D82" s="1117"/>
      <c r="E82" s="1114"/>
      <c r="F82" s="1114"/>
      <c r="G82" s="1114"/>
      <c r="H82" s="1114"/>
      <c r="I82" s="1115"/>
      <c r="J82" s="1115"/>
      <c r="K82" s="14"/>
    </row>
    <row r="83" spans="1:11">
      <c r="A83" s="600"/>
      <c r="B83" s="569"/>
      <c r="C83" s="505"/>
      <c r="D83" s="655"/>
      <c r="E83" s="238"/>
      <c r="F83" s="238"/>
      <c r="G83" s="238"/>
      <c r="H83" s="238"/>
      <c r="I83" s="243"/>
      <c r="J83" s="243"/>
    </row>
    <row r="84" spans="1:11">
      <c r="A84" s="600"/>
      <c r="B84" s="569"/>
      <c r="C84" s="84" t="s">
        <v>363</v>
      </c>
      <c r="D84" s="84" t="s">
        <v>347</v>
      </c>
      <c r="E84" s="84" t="s">
        <v>348</v>
      </c>
      <c r="F84" s="84" t="s">
        <v>349</v>
      </c>
      <c r="G84" s="84" t="s">
        <v>350</v>
      </c>
      <c r="H84" s="84" t="s">
        <v>351</v>
      </c>
      <c r="I84" s="373" t="s">
        <v>179</v>
      </c>
      <c r="J84" s="243"/>
    </row>
    <row r="85" spans="1:11">
      <c r="A85" s="111">
        <v>450</v>
      </c>
      <c r="B85" s="504"/>
      <c r="C85" s="503" t="s">
        <v>1638</v>
      </c>
      <c r="D85" s="647">
        <f>SUM(D76:D82)</f>
        <v>-10296970098.284</v>
      </c>
      <c r="E85" s="647">
        <f>SUM(E76:E82)</f>
        <v>-8763123207.2739925</v>
      </c>
      <c r="F85" s="647">
        <f>SUM(F76:F82)</f>
        <v>-1533846891.0100083</v>
      </c>
      <c r="G85" s="647">
        <f>SUM(G76:G82)</f>
        <v>0</v>
      </c>
      <c r="H85" s="647">
        <f>SUM(H76:H82)</f>
        <v>0</v>
      </c>
      <c r="I85" s="249" t="str">
        <f>"Sum of Above Lines beginning on Line "&amp;A76&amp;""</f>
        <v>Sum of Above Lines beginning on Line 400</v>
      </c>
      <c r="J85" s="234"/>
    </row>
    <row r="86" spans="1:11">
      <c r="A86" s="579">
        <f>+A85+1</f>
        <v>451</v>
      </c>
      <c r="B86" s="633"/>
      <c r="C86" s="633" t="s">
        <v>1639</v>
      </c>
      <c r="D86" s="647"/>
      <c r="E86" s="647"/>
      <c r="F86" s="647"/>
      <c r="G86" s="649">
        <f>'27-Allocators'!$G$27</f>
        <v>0.1931425858096622</v>
      </c>
      <c r="H86" s="649">
        <f>'27-Allocators'!$G$14</f>
        <v>6.1650013139118928E-2</v>
      </c>
      <c r="I86" s="780" t="str">
        <f>"27-Allocators Lines "&amp;'27-Allocators'!A27&amp;" and "&amp;'27-Allocators'!A14&amp;" respectively."</f>
        <v>27-Allocators Lines 22 and 9 respectively.</v>
      </c>
      <c r="J86" s="234"/>
    </row>
    <row r="87" spans="1:11">
      <c r="A87" s="579">
        <f>+A86+1</f>
        <v>452</v>
      </c>
      <c r="B87" s="633"/>
      <c r="C87" s="633" t="s">
        <v>1641</v>
      </c>
      <c r="D87" s="647">
        <f>SUM(F87:H87)</f>
        <v>-1533846891.0100083</v>
      </c>
      <c r="E87" s="647"/>
      <c r="F87" s="650">
        <f>+F85</f>
        <v>-1533846891.0100083</v>
      </c>
      <c r="G87" s="650">
        <f>+G85*G86</f>
        <v>0</v>
      </c>
      <c r="H87" s="650">
        <f>+H85*H86</f>
        <v>0</v>
      </c>
      <c r="I87" s="566" t="str">
        <f>"Line "&amp;A85&amp;" * Line "&amp;A86&amp;" for Cols 5 and 6.  Col. 4 100% ISO."</f>
        <v>Line 450 * Line 451 for Cols 5 and 6.  Col. 4 100% ISO.</v>
      </c>
      <c r="J87" s="234"/>
    </row>
    <row r="88" spans="1:11">
      <c r="A88" s="579"/>
      <c r="B88" s="633"/>
      <c r="C88" s="651" t="s">
        <v>1642</v>
      </c>
      <c r="D88" s="647"/>
      <c r="E88" s="647"/>
      <c r="F88" s="647"/>
      <c r="G88" s="647"/>
      <c r="H88" s="647"/>
      <c r="I88" s="566"/>
      <c r="J88" s="234"/>
    </row>
    <row r="89" spans="1:11">
      <c r="A89" s="111"/>
      <c r="B89" s="504"/>
      <c r="C89" s="503"/>
      <c r="D89" s="647"/>
      <c r="E89" s="647"/>
      <c r="F89" s="647"/>
      <c r="G89" s="647"/>
      <c r="H89" s="647"/>
      <c r="I89" s="249"/>
      <c r="J89" s="234"/>
    </row>
    <row r="90" spans="1:11">
      <c r="A90" s="111">
        <f>+A87+1</f>
        <v>453</v>
      </c>
      <c r="B90" s="504"/>
      <c r="C90" s="633" t="s">
        <v>1599</v>
      </c>
      <c r="D90" s="1122">
        <v>-10296970098</v>
      </c>
      <c r="E90" s="652" t="str">
        <f>"Must match amount on Line "&amp;A85&amp;", Col. 2"</f>
        <v>Must match amount on Line 450, Col. 2</v>
      </c>
      <c r="F90" s="647"/>
      <c r="G90" s="647"/>
      <c r="H90" s="647"/>
      <c r="I90" s="249" t="s">
        <v>1600</v>
      </c>
      <c r="J90" s="234"/>
    </row>
    <row r="91" spans="1:11">
      <c r="A91" s="600"/>
      <c r="B91" s="504"/>
      <c r="C91" s="503"/>
      <c r="D91" s="647"/>
      <c r="E91" s="647"/>
      <c r="F91" s="647"/>
      <c r="G91" s="647"/>
      <c r="H91" s="647"/>
      <c r="I91" s="249"/>
      <c r="J91" s="234"/>
    </row>
    <row r="92" spans="1:11">
      <c r="A92" s="600"/>
      <c r="B92" s="504"/>
      <c r="C92" s="503"/>
      <c r="D92" s="647"/>
      <c r="E92" s="647"/>
      <c r="F92" s="647"/>
      <c r="G92" s="647"/>
      <c r="H92" s="647"/>
      <c r="I92" s="567"/>
      <c r="J92" s="234"/>
    </row>
    <row r="93" spans="1:11">
      <c r="A93" s="503"/>
      <c r="B93" s="632" t="s">
        <v>1601</v>
      </c>
      <c r="C93" s="656"/>
      <c r="D93" s="647"/>
      <c r="E93" s="236"/>
      <c r="F93" s="236"/>
      <c r="G93" s="236"/>
      <c r="H93" s="236"/>
      <c r="I93" s="234"/>
      <c r="J93" s="234"/>
    </row>
    <row r="94" spans="1:11">
      <c r="A94" s="503"/>
      <c r="B94" s="632"/>
      <c r="C94" s="84" t="s">
        <v>363</v>
      </c>
      <c r="D94" s="84" t="s">
        <v>347</v>
      </c>
      <c r="E94" s="84" t="s">
        <v>348</v>
      </c>
      <c r="F94" s="84" t="s">
        <v>349</v>
      </c>
      <c r="G94" s="84" t="s">
        <v>350</v>
      </c>
      <c r="H94" s="84" t="s">
        <v>351</v>
      </c>
      <c r="I94" s="84" t="s">
        <v>352</v>
      </c>
      <c r="J94" s="234"/>
    </row>
    <row r="95" spans="1:11">
      <c r="A95" s="503"/>
      <c r="B95" s="636"/>
      <c r="C95" s="636"/>
      <c r="D95" s="657" t="s">
        <v>1581</v>
      </c>
      <c r="E95" s="657" t="s">
        <v>1582</v>
      </c>
      <c r="F95" s="657"/>
      <c r="G95" s="657"/>
      <c r="H95" s="657" t="s">
        <v>1289</v>
      </c>
      <c r="I95" s="994" t="s">
        <v>1908</v>
      </c>
      <c r="J95" s="234"/>
    </row>
    <row r="96" spans="1:11">
      <c r="A96" s="503"/>
      <c r="B96" s="639" t="s">
        <v>1602</v>
      </c>
      <c r="C96" s="639" t="s">
        <v>1584</v>
      </c>
      <c r="D96" s="658" t="s">
        <v>1585</v>
      </c>
      <c r="E96" s="658" t="s">
        <v>1586</v>
      </c>
      <c r="F96" s="658" t="s">
        <v>1587</v>
      </c>
      <c r="G96" s="658" t="s">
        <v>1588</v>
      </c>
      <c r="H96" s="658" t="s">
        <v>1576</v>
      </c>
      <c r="I96" s="639" t="s">
        <v>100</v>
      </c>
      <c r="J96" s="234"/>
    </row>
    <row r="97" spans="1:10">
      <c r="A97" s="600"/>
      <c r="B97" s="633" t="s">
        <v>1590</v>
      </c>
      <c r="C97" s="234"/>
      <c r="D97" s="236"/>
      <c r="E97" s="236"/>
      <c r="F97" s="236"/>
      <c r="G97" s="236"/>
      <c r="H97" s="236"/>
      <c r="I97" s="234"/>
      <c r="J97" s="234"/>
    </row>
    <row r="98" spans="1:10">
      <c r="A98" s="190">
        <v>500</v>
      </c>
      <c r="B98" s="1125">
        <v>283</v>
      </c>
      <c r="C98" s="1128" t="s">
        <v>2518</v>
      </c>
      <c r="D98" s="778">
        <v>-91617728.731816009</v>
      </c>
      <c r="E98" s="1123"/>
      <c r="F98" s="1123"/>
      <c r="G98" s="1123">
        <f>D98</f>
        <v>-91617728.731816009</v>
      </c>
      <c r="H98" s="1123"/>
      <c r="I98" s="1124" t="s">
        <v>2519</v>
      </c>
      <c r="J98" s="1115"/>
    </row>
    <row r="99" spans="1:10">
      <c r="A99" s="190">
        <f t="shared" ref="A99:A106" si="7">A98+1</f>
        <v>501</v>
      </c>
      <c r="B99" s="1125">
        <v>283</v>
      </c>
      <c r="C99" s="1128" t="s">
        <v>2520</v>
      </c>
      <c r="D99" s="778">
        <v>-63685749</v>
      </c>
      <c r="E99" s="1123">
        <f>D99*G174</f>
        <v>-52199.896368381174</v>
      </c>
      <c r="F99" s="1123"/>
      <c r="G99" s="1123">
        <f>D99-E99</f>
        <v>-63633549.103631616</v>
      </c>
      <c r="H99" s="1123"/>
      <c r="I99" s="1124" t="s">
        <v>2485</v>
      </c>
      <c r="J99" s="1115"/>
    </row>
    <row r="100" spans="1:10">
      <c r="A100" s="190">
        <f t="shared" si="7"/>
        <v>502</v>
      </c>
      <c r="B100" s="1125">
        <v>283</v>
      </c>
      <c r="C100" s="1128" t="s">
        <v>2521</v>
      </c>
      <c r="D100" s="778">
        <v>-3537910</v>
      </c>
      <c r="E100" s="1123">
        <f>D100*G166</f>
        <v>-9436.4741892318798</v>
      </c>
      <c r="F100" s="1123"/>
      <c r="G100" s="1123"/>
      <c r="H100" s="1123">
        <f>D100-E100</f>
        <v>-3528473.5258107679</v>
      </c>
      <c r="I100" s="1124" t="s">
        <v>2487</v>
      </c>
      <c r="J100" s="1115"/>
    </row>
    <row r="101" spans="1:10">
      <c r="A101" s="190">
        <f t="shared" si="7"/>
        <v>503</v>
      </c>
      <c r="B101" s="1125">
        <v>283</v>
      </c>
      <c r="C101" s="1128" t="s">
        <v>2497</v>
      </c>
      <c r="D101" s="778">
        <v>-133742405</v>
      </c>
      <c r="E101" s="1123">
        <f>D101</f>
        <v>-133742405</v>
      </c>
      <c r="F101" s="1123"/>
      <c r="G101" s="1123"/>
      <c r="H101" s="1123"/>
      <c r="I101" s="1124" t="s">
        <v>2498</v>
      </c>
      <c r="J101" s="1115"/>
    </row>
    <row r="102" spans="1:10">
      <c r="A102" s="190">
        <f t="shared" si="7"/>
        <v>504</v>
      </c>
      <c r="B102" s="1125">
        <v>283</v>
      </c>
      <c r="C102" s="1128" t="s">
        <v>2522</v>
      </c>
      <c r="D102" s="778">
        <v>0</v>
      </c>
      <c r="E102" s="1123">
        <f>D102</f>
        <v>0</v>
      </c>
      <c r="F102" s="1123"/>
      <c r="G102" s="1123"/>
      <c r="H102" s="1123"/>
      <c r="I102" s="1124" t="s">
        <v>2515</v>
      </c>
      <c r="J102" s="1115"/>
    </row>
    <row r="103" spans="1:10">
      <c r="A103" s="190">
        <f t="shared" si="7"/>
        <v>505</v>
      </c>
      <c r="B103" s="1125">
        <v>283</v>
      </c>
      <c r="C103" s="1128" t="s">
        <v>2495</v>
      </c>
      <c r="D103" s="778">
        <v>-348213646.73293912</v>
      </c>
      <c r="E103" s="1123">
        <f>D103</f>
        <v>-348213646.73293912</v>
      </c>
      <c r="F103" s="1123"/>
      <c r="G103" s="1123"/>
      <c r="H103" s="1123"/>
      <c r="I103" s="1124" t="s">
        <v>2496</v>
      </c>
      <c r="J103" s="1115"/>
    </row>
    <row r="104" spans="1:10">
      <c r="A104" s="190">
        <f t="shared" si="7"/>
        <v>506</v>
      </c>
      <c r="B104" s="1125">
        <v>283</v>
      </c>
      <c r="C104" s="1128" t="s">
        <v>2502</v>
      </c>
      <c r="D104" s="778">
        <v>0</v>
      </c>
      <c r="E104" s="1123">
        <f>D104</f>
        <v>0</v>
      </c>
      <c r="F104" s="1123"/>
      <c r="G104" s="1123"/>
      <c r="H104" s="1123"/>
      <c r="I104" s="1124" t="s">
        <v>2513</v>
      </c>
      <c r="J104" s="1115"/>
    </row>
    <row r="105" spans="1:10">
      <c r="A105" s="1119">
        <f t="shared" si="7"/>
        <v>507</v>
      </c>
      <c r="B105" s="1125">
        <v>283</v>
      </c>
      <c r="C105" s="1128" t="s">
        <v>2504</v>
      </c>
      <c r="D105" s="778">
        <v>0</v>
      </c>
      <c r="E105" s="1123">
        <f t="shared" ref="E105" si="8">D105</f>
        <v>0</v>
      </c>
      <c r="F105" s="1123"/>
      <c r="G105" s="1123"/>
      <c r="H105" s="1123"/>
      <c r="I105" s="1124" t="s">
        <v>2498</v>
      </c>
      <c r="J105" s="1115"/>
    </row>
    <row r="106" spans="1:10">
      <c r="A106" s="190">
        <f t="shared" si="7"/>
        <v>508</v>
      </c>
      <c r="B106" s="1125">
        <v>283</v>
      </c>
      <c r="C106" s="1128" t="s">
        <v>2506</v>
      </c>
      <c r="D106" s="778">
        <v>-25131600.880884171</v>
      </c>
      <c r="E106" s="1153">
        <f>D106</f>
        <v>-25131600.880884171</v>
      </c>
      <c r="F106" s="1123"/>
      <c r="G106" s="1123"/>
      <c r="H106" s="1123"/>
      <c r="I106" s="1124" t="s">
        <v>2523</v>
      </c>
      <c r="J106" s="1115"/>
    </row>
    <row r="107" spans="1:10">
      <c r="A107" s="111"/>
      <c r="B107" s="572"/>
      <c r="C107" s="573"/>
      <c r="D107" s="574"/>
      <c r="E107" s="238"/>
      <c r="F107" s="238"/>
      <c r="G107" s="238"/>
      <c r="H107" s="238"/>
      <c r="I107" s="243"/>
      <c r="J107" s="243"/>
    </row>
    <row r="108" spans="1:10">
      <c r="A108" s="111"/>
      <c r="B108" s="632" t="s">
        <v>1603</v>
      </c>
      <c r="C108" s="656"/>
      <c r="D108" s="647"/>
      <c r="E108" s="236"/>
      <c r="F108" s="236"/>
      <c r="G108" s="236"/>
      <c r="H108" s="236"/>
      <c r="I108" s="234"/>
      <c r="J108" s="243"/>
    </row>
    <row r="109" spans="1:10">
      <c r="A109" s="111"/>
      <c r="B109" s="632"/>
      <c r="C109" s="84" t="s">
        <v>363</v>
      </c>
      <c r="D109" s="84" t="s">
        <v>347</v>
      </c>
      <c r="E109" s="84" t="s">
        <v>348</v>
      </c>
      <c r="F109" s="84" t="s">
        <v>349</v>
      </c>
      <c r="G109" s="84" t="s">
        <v>350</v>
      </c>
      <c r="H109" s="84" t="s">
        <v>351</v>
      </c>
      <c r="I109" s="84" t="s">
        <v>352</v>
      </c>
      <c r="J109" s="243"/>
    </row>
    <row r="110" spans="1:10">
      <c r="A110" s="111"/>
      <c r="B110" s="636"/>
      <c r="C110" s="636"/>
      <c r="D110" s="657" t="s">
        <v>1581</v>
      </c>
      <c r="E110" s="657" t="s">
        <v>1582</v>
      </c>
      <c r="F110" s="657"/>
      <c r="G110" s="657"/>
      <c r="H110" s="657" t="s">
        <v>1289</v>
      </c>
      <c r="I110" s="994" t="s">
        <v>1908</v>
      </c>
      <c r="J110" s="243"/>
    </row>
    <row r="111" spans="1:10">
      <c r="A111" s="111"/>
      <c r="B111" s="639" t="s">
        <v>1602</v>
      </c>
      <c r="C111" s="639" t="s">
        <v>1584</v>
      </c>
      <c r="D111" s="658" t="s">
        <v>1585</v>
      </c>
      <c r="E111" s="658" t="s">
        <v>1586</v>
      </c>
      <c r="F111" s="658" t="s">
        <v>1587</v>
      </c>
      <c r="G111" s="658" t="s">
        <v>1588</v>
      </c>
      <c r="H111" s="658" t="s">
        <v>1576</v>
      </c>
      <c r="I111" s="639" t="s">
        <v>100</v>
      </c>
      <c r="J111" s="243"/>
    </row>
    <row r="112" spans="1:10">
      <c r="A112" s="111"/>
      <c r="B112" s="633" t="s">
        <v>1604</v>
      </c>
      <c r="C112" s="636"/>
      <c r="D112" s="657"/>
      <c r="E112" s="657"/>
      <c r="F112" s="657"/>
      <c r="G112" s="657"/>
      <c r="H112" s="657"/>
      <c r="I112" s="636"/>
      <c r="J112" s="243"/>
    </row>
    <row r="113" spans="1:10">
      <c r="A113" s="1119">
        <f>A106+1</f>
        <v>509</v>
      </c>
      <c r="B113" s="1121" t="s">
        <v>513</v>
      </c>
      <c r="C113" s="570"/>
      <c r="D113" s="571"/>
      <c r="E113" s="1154"/>
      <c r="F113" s="1120"/>
      <c r="G113" s="1120"/>
      <c r="H113" s="1120"/>
      <c r="I113" s="1115"/>
      <c r="J113" s="1115"/>
    </row>
    <row r="114" spans="1:10">
      <c r="A114" s="111"/>
      <c r="B114" s="575"/>
      <c r="C114" s="576"/>
      <c r="D114" s="506"/>
      <c r="E114" s="238"/>
      <c r="F114" s="238"/>
      <c r="G114" s="238"/>
      <c r="H114" s="238"/>
      <c r="I114" s="243"/>
      <c r="J114" s="243"/>
    </row>
    <row r="115" spans="1:10">
      <c r="A115" s="111">
        <v>650</v>
      </c>
      <c r="B115" s="576"/>
      <c r="C115" s="576" t="s">
        <v>1605</v>
      </c>
      <c r="D115" s="506">
        <f>SUM(D98:D106)+SUM(D113:D113)</f>
        <v>-665929040.34563923</v>
      </c>
      <c r="E115" s="506">
        <f>SUM(E98:E106)+SUM(E113:E113)</f>
        <v>-507149288.9843809</v>
      </c>
      <c r="F115" s="506">
        <f>SUM(F98:F106)+SUM(F113:F113)</f>
        <v>0</v>
      </c>
      <c r="G115" s="506">
        <f>SUM(G98:G106)+SUM(G113:G113)</f>
        <v>-155251277.83544761</v>
      </c>
      <c r="H115" s="506">
        <f>SUM(H98:H106)+SUM(H113:H113)</f>
        <v>-3528473.5258107679</v>
      </c>
      <c r="I115" s="249" t="str">
        <f>"Sum of Above Lines beginning on Line "&amp;A98&amp;""</f>
        <v>Sum of Above Lines beginning on Line 500</v>
      </c>
      <c r="J115" s="234"/>
    </row>
    <row r="116" spans="1:10">
      <c r="A116" s="111"/>
      <c r="B116" s="576"/>
      <c r="C116" s="576"/>
      <c r="D116" s="506"/>
      <c r="E116" s="506"/>
      <c r="F116" s="506"/>
      <c r="G116" s="506"/>
      <c r="H116" s="506"/>
      <c r="I116" s="567"/>
      <c r="J116" s="234"/>
    </row>
    <row r="117" spans="1:10">
      <c r="A117" s="600"/>
      <c r="B117" s="643" t="s">
        <v>1733</v>
      </c>
      <c r="C117" s="576"/>
      <c r="D117" s="506"/>
      <c r="E117" s="236"/>
      <c r="F117" s="236"/>
      <c r="G117" s="236"/>
      <c r="H117" s="236"/>
      <c r="I117" s="994" t="s">
        <v>1908</v>
      </c>
      <c r="J117" s="234"/>
    </row>
    <row r="118" spans="1:10">
      <c r="A118" s="600"/>
      <c r="C118" s="84" t="s">
        <v>363</v>
      </c>
      <c r="D118" s="84" t="s">
        <v>347</v>
      </c>
      <c r="E118" s="84" t="s">
        <v>348</v>
      </c>
      <c r="F118" s="84" t="s">
        <v>349</v>
      </c>
      <c r="G118" s="84" t="s">
        <v>350</v>
      </c>
      <c r="H118" s="84" t="s">
        <v>351</v>
      </c>
      <c r="I118" s="84" t="s">
        <v>352</v>
      </c>
      <c r="J118" s="234"/>
    </row>
    <row r="119" spans="1:10">
      <c r="A119" s="190">
        <v>700</v>
      </c>
      <c r="B119" s="1125">
        <v>283</v>
      </c>
      <c r="C119" s="1128" t="s">
        <v>2506</v>
      </c>
      <c r="D119" s="779">
        <f>-16410-287309</f>
        <v>-303719</v>
      </c>
      <c r="E119" s="1123">
        <f>D119</f>
        <v>-303719</v>
      </c>
      <c r="F119" s="1123"/>
      <c r="G119" s="1123"/>
      <c r="H119" s="1123"/>
      <c r="I119" s="1124" t="s">
        <v>2510</v>
      </c>
      <c r="J119" s="1124"/>
    </row>
    <row r="120" spans="1:10">
      <c r="A120" s="1155">
        <f>A119+1</f>
        <v>701</v>
      </c>
      <c r="B120" s="1156" t="s">
        <v>513</v>
      </c>
      <c r="C120" s="1128"/>
      <c r="D120" s="779"/>
      <c r="E120" s="1153"/>
      <c r="F120" s="1153"/>
      <c r="G120" s="1153"/>
      <c r="H120" s="1153"/>
      <c r="I120" s="1157"/>
      <c r="J120" s="1157"/>
    </row>
    <row r="121" spans="1:10">
      <c r="A121" s="111"/>
      <c r="B121" s="572"/>
      <c r="C121" s="573"/>
      <c r="D121" s="574"/>
      <c r="E121" s="238"/>
      <c r="F121" s="238"/>
      <c r="G121" s="238"/>
      <c r="H121" s="238"/>
      <c r="I121" s="243"/>
      <c r="J121" s="243"/>
    </row>
    <row r="122" spans="1:10">
      <c r="A122" s="111"/>
      <c r="B122" s="576"/>
      <c r="C122" s="84" t="s">
        <v>363</v>
      </c>
      <c r="D122" s="84" t="s">
        <v>347</v>
      </c>
      <c r="E122" s="84" t="s">
        <v>348</v>
      </c>
      <c r="F122" s="84" t="s">
        <v>349</v>
      </c>
      <c r="G122" s="84" t="s">
        <v>350</v>
      </c>
      <c r="H122" s="84" t="s">
        <v>351</v>
      </c>
      <c r="I122" s="373" t="s">
        <v>179</v>
      </c>
      <c r="J122" s="234"/>
    </row>
    <row r="123" spans="1:10">
      <c r="A123" s="111">
        <v>800</v>
      </c>
      <c r="B123" s="234"/>
      <c r="C123" s="505" t="s">
        <v>1606</v>
      </c>
      <c r="D123" s="506">
        <f>SUM(D119:D120)</f>
        <v>-303719</v>
      </c>
      <c r="E123" s="506">
        <f>SUM(E119:E120)</f>
        <v>-303719</v>
      </c>
      <c r="F123" s="506">
        <f>SUM(F119:F120)</f>
        <v>0</v>
      </c>
      <c r="G123" s="506">
        <f>SUM(G119:G120)</f>
        <v>0</v>
      </c>
      <c r="H123" s="506">
        <f>SUM(H119:H120)</f>
        <v>0</v>
      </c>
      <c r="I123" s="249" t="str">
        <f>"Sum of Above Lines beginning on Line "&amp;A119&amp;""</f>
        <v>Sum of Above Lines beginning on Line 700</v>
      </c>
      <c r="J123" s="234"/>
    </row>
    <row r="124" spans="1:10">
      <c r="A124" s="111"/>
      <c r="B124" s="234"/>
      <c r="C124" s="505"/>
      <c r="D124" s="506"/>
      <c r="E124" s="506"/>
      <c r="F124" s="506"/>
      <c r="G124" s="506"/>
      <c r="H124" s="506"/>
      <c r="I124" s="249"/>
      <c r="J124" s="234"/>
    </row>
    <row r="125" spans="1:10">
      <c r="A125" s="111">
        <f>A123+1</f>
        <v>801</v>
      </c>
      <c r="B125" s="234"/>
      <c r="C125" s="505" t="s">
        <v>1607</v>
      </c>
      <c r="D125" s="506">
        <f>D115+D123</f>
        <v>-666232759.34563923</v>
      </c>
      <c r="E125" s="506">
        <f>E115+E123</f>
        <v>-507453007.9843809</v>
      </c>
      <c r="F125" s="506">
        <f>F115+F123</f>
        <v>0</v>
      </c>
      <c r="G125" s="506">
        <f>G115+G123</f>
        <v>-155251277.83544761</v>
      </c>
      <c r="H125" s="506">
        <f>H115+H123</f>
        <v>-3528473.5258107679</v>
      </c>
      <c r="I125" s="566" t="str">
        <f>"Line "&amp;A115&amp;" + Line "&amp;A123&amp;""</f>
        <v>Line 650 + Line 800</v>
      </c>
      <c r="J125" s="234"/>
    </row>
    <row r="126" spans="1:10">
      <c r="A126" s="579">
        <f>+A125+1</f>
        <v>802</v>
      </c>
      <c r="B126" s="633"/>
      <c r="C126" s="633" t="s">
        <v>1639</v>
      </c>
      <c r="D126" s="1071"/>
      <c r="E126" s="1071"/>
      <c r="F126" s="647"/>
      <c r="G126" s="649">
        <f>'27-Allocators'!$G$27</f>
        <v>0.1931425858096622</v>
      </c>
      <c r="H126" s="649">
        <f>'27-Allocators'!$G$14</f>
        <v>6.1650013139118928E-2</v>
      </c>
      <c r="I126" s="780" t="str">
        <f>"27-Allocators Lines "&amp;'27-Allocators'!A27&amp;" and "&amp;'27-Allocators'!A14&amp;" respectively."</f>
        <v>27-Allocators Lines 22 and 9 respectively.</v>
      </c>
      <c r="J126" s="234"/>
    </row>
    <row r="127" spans="1:10">
      <c r="A127" s="579">
        <f>+A126+1</f>
        <v>803</v>
      </c>
      <c r="B127" s="633"/>
      <c r="C127" s="633" t="s">
        <v>1643</v>
      </c>
      <c r="D127" s="655">
        <f>SUM(F127:H127)</f>
        <v>-30203163.690619916</v>
      </c>
      <c r="E127" s="647"/>
      <c r="F127" s="650">
        <f>+F125</f>
        <v>0</v>
      </c>
      <c r="G127" s="650">
        <f>+G125*G126</f>
        <v>-29985633.251392648</v>
      </c>
      <c r="H127" s="1139">
        <f>+H125*H126</f>
        <v>-217530.43922726714</v>
      </c>
      <c r="I127" s="566" t="str">
        <f>"Line "&amp;A125&amp;" * Line "&amp;A126&amp;" for Cols 5 and 6.  Col. 4 100% ISO."</f>
        <v>Line 801 * Line 802 for Cols 5 and 6.  Col. 4 100% ISO.</v>
      </c>
      <c r="J127" s="234"/>
    </row>
    <row r="128" spans="1:10">
      <c r="A128" s="111"/>
      <c r="B128" s="234"/>
      <c r="C128" s="651" t="s">
        <v>1642</v>
      </c>
      <c r="D128" s="506"/>
      <c r="E128" s="506"/>
      <c r="F128" s="506"/>
      <c r="G128" s="506"/>
      <c r="H128" s="506"/>
      <c r="I128" s="566"/>
      <c r="J128" s="236"/>
    </row>
    <row r="129" spans="1:11">
      <c r="A129" s="111"/>
      <c r="B129" s="234"/>
      <c r="C129" s="505"/>
      <c r="D129" s="506"/>
      <c r="E129" s="506"/>
      <c r="F129" s="506"/>
      <c r="G129" s="506"/>
      <c r="H129" s="506"/>
      <c r="I129" s="566"/>
      <c r="J129" s="234"/>
    </row>
    <row r="130" spans="1:11">
      <c r="A130" s="111">
        <f>A127+1</f>
        <v>804</v>
      </c>
      <c r="C130" s="633" t="s">
        <v>1633</v>
      </c>
      <c r="D130" s="1122">
        <v>-666232759</v>
      </c>
      <c r="E130" s="652" t="str">
        <f>"Must match amount on Line "&amp;A125&amp;", Col. 2"</f>
        <v>Must match amount on Line 801, Col. 2</v>
      </c>
      <c r="F130" s="647"/>
      <c r="G130" s="647"/>
      <c r="H130" s="647"/>
      <c r="I130" s="249" t="s">
        <v>1233</v>
      </c>
    </row>
    <row r="131" spans="1:11" s="1112" customFormat="1">
      <c r="A131" s="111"/>
      <c r="B131" s="561"/>
      <c r="C131" s="633"/>
      <c r="D131" s="652"/>
      <c r="E131" s="652"/>
      <c r="F131" s="647"/>
      <c r="G131" s="647"/>
      <c r="H131" s="647"/>
      <c r="I131" s="249"/>
      <c r="J131" s="561"/>
      <c r="K131" s="14"/>
    </row>
    <row r="132" spans="1:11" s="1112" customFormat="1">
      <c r="A132" s="111"/>
      <c r="B132" s="1" t="s">
        <v>2613</v>
      </c>
      <c r="C132" s="633"/>
      <c r="D132" s="652"/>
      <c r="E132" s="652"/>
      <c r="F132" s="647"/>
      <c r="G132" s="647"/>
      <c r="H132" s="647"/>
      <c r="I132" s="507"/>
      <c r="J132" s="581"/>
      <c r="K132" s="14"/>
    </row>
    <row r="133" spans="1:11" s="1112" customFormat="1">
      <c r="A133" s="111"/>
      <c r="B133" s="581"/>
      <c r="C133" s="633"/>
      <c r="D133" s="652"/>
      <c r="E133" s="652"/>
      <c r="F133" s="647"/>
      <c r="G133" s="647"/>
      <c r="H133" s="647"/>
      <c r="I133" s="507"/>
      <c r="J133" s="581"/>
      <c r="K133" s="14"/>
    </row>
    <row r="134" spans="1:11" s="1112" customFormat="1">
      <c r="A134" s="111"/>
      <c r="B134" s="581"/>
      <c r="C134" s="363" t="s">
        <v>363</v>
      </c>
      <c r="D134" s="363" t="s">
        <v>347</v>
      </c>
      <c r="E134" s="363" t="s">
        <v>348</v>
      </c>
      <c r="F134" s="363" t="s">
        <v>349</v>
      </c>
      <c r="G134" s="363" t="s">
        <v>350</v>
      </c>
      <c r="H134" s="363" t="s">
        <v>351</v>
      </c>
      <c r="I134" s="363" t="s">
        <v>352</v>
      </c>
      <c r="J134" s="363" t="s">
        <v>544</v>
      </c>
      <c r="K134" s="14"/>
    </row>
    <row r="135" spans="1:11" s="1112" customFormat="1">
      <c r="A135" s="111"/>
      <c r="B135" s="581"/>
      <c r="C135" s="633"/>
      <c r="D135" s="1292" t="s">
        <v>212</v>
      </c>
      <c r="E135" s="1292" t="s">
        <v>211</v>
      </c>
      <c r="F135" s="647"/>
      <c r="G135" s="647"/>
      <c r="H135" s="1292" t="s">
        <v>2614</v>
      </c>
      <c r="I135" s="1293" t="s">
        <v>2615</v>
      </c>
      <c r="J135" s="1292" t="s">
        <v>284</v>
      </c>
      <c r="K135" s="14"/>
    </row>
    <row r="136" spans="1:11" s="1112" customFormat="1">
      <c r="A136" s="111"/>
      <c r="B136" s="581"/>
      <c r="C136" s="633"/>
      <c r="D136" s="652"/>
      <c r="E136" s="652"/>
      <c r="F136" s="647"/>
      <c r="G136" s="647"/>
      <c r="H136" s="647"/>
      <c r="I136" s="507"/>
      <c r="J136" s="581"/>
      <c r="K136" s="14"/>
    </row>
    <row r="137" spans="1:11" s="1112" customFormat="1">
      <c r="A137" s="111"/>
      <c r="B137" s="581"/>
      <c r="C137" s="674"/>
      <c r="D137" s="1292" t="s">
        <v>2616</v>
      </c>
      <c r="E137" s="1292" t="s">
        <v>2617</v>
      </c>
      <c r="F137" s="1292"/>
      <c r="G137" s="1292" t="s">
        <v>2618</v>
      </c>
      <c r="H137" s="1292" t="s">
        <v>2619</v>
      </c>
      <c r="I137" s="600" t="s">
        <v>2620</v>
      </c>
      <c r="J137" s="600" t="s">
        <v>2621</v>
      </c>
      <c r="K137" s="14"/>
    </row>
    <row r="138" spans="1:11" s="1112" customFormat="1">
      <c r="A138" s="111"/>
      <c r="B138" s="581"/>
      <c r="C138" s="674" t="s">
        <v>2622</v>
      </c>
      <c r="D138" s="1294" t="s">
        <v>2623</v>
      </c>
      <c r="E138" s="1294" t="s">
        <v>2624</v>
      </c>
      <c r="F138" s="1294" t="s">
        <v>2625</v>
      </c>
      <c r="G138" s="1294" t="s">
        <v>2626</v>
      </c>
      <c r="H138" s="1294" t="s">
        <v>2627</v>
      </c>
      <c r="I138" s="3" t="s">
        <v>2628</v>
      </c>
      <c r="J138" s="3" t="s">
        <v>2629</v>
      </c>
      <c r="K138" s="14"/>
    </row>
    <row r="139" spans="1:11" s="1112" customFormat="1">
      <c r="A139" s="111">
        <f>A130+1</f>
        <v>805</v>
      </c>
      <c r="B139" s="581"/>
      <c r="C139" s="1295" t="s">
        <v>2630</v>
      </c>
      <c r="D139" s="1299"/>
      <c r="E139" s="1215">
        <f>D18</f>
        <v>-1310937724</v>
      </c>
      <c r="F139" s="647"/>
      <c r="G139" s="1296">
        <f>SUM(F140:F151)</f>
        <v>366</v>
      </c>
      <c r="H139" s="1297">
        <f xml:space="preserve"> 1</f>
        <v>1</v>
      </c>
      <c r="I139" s="241"/>
      <c r="J139" s="510">
        <f>+E139</f>
        <v>-1310937724</v>
      </c>
      <c r="K139" s="14"/>
    </row>
    <row r="140" spans="1:11" s="1112" customFormat="1">
      <c r="A140" s="111">
        <f>A139+1</f>
        <v>806</v>
      </c>
      <c r="B140" s="581"/>
      <c r="C140" s="1295" t="s">
        <v>181</v>
      </c>
      <c r="D140" s="1300">
        <f>($D$13-$D$18)/12</f>
        <v>-19972573.429503303</v>
      </c>
      <c r="E140" s="1215">
        <f>E139+D140</f>
        <v>-1330910297.4295032</v>
      </c>
      <c r="F140" s="1298">
        <v>31</v>
      </c>
      <c r="G140" s="1291">
        <f>+G139-F140</f>
        <v>335</v>
      </c>
      <c r="H140" s="1297">
        <f>G140/G139</f>
        <v>0.91530054644808745</v>
      </c>
      <c r="I140" s="241">
        <f t="shared" ref="I140:I151" si="9">D140*H140</f>
        <v>-18280907.373998925</v>
      </c>
      <c r="J140" s="236">
        <f>J139+I140</f>
        <v>-1329218631.3739989</v>
      </c>
      <c r="K140" s="14"/>
    </row>
    <row r="141" spans="1:11" s="1112" customFormat="1">
      <c r="A141" s="111">
        <f t="shared" ref="A141:A153" si="10">A140+1</f>
        <v>807</v>
      </c>
      <c r="B141" s="581"/>
      <c r="C141" s="1295" t="s">
        <v>182</v>
      </c>
      <c r="D141" s="1300">
        <f t="shared" ref="D141:D151" si="11">($D$13-$D$18)/12</f>
        <v>-19972573.429503303</v>
      </c>
      <c r="E141" s="1215">
        <f t="shared" ref="E141:E151" si="12">E140+D141</f>
        <v>-1350882870.8590064</v>
      </c>
      <c r="F141" s="1298">
        <v>29</v>
      </c>
      <c r="G141" s="1291">
        <f t="shared" ref="G141:G151" si="13">+G140-F141</f>
        <v>306</v>
      </c>
      <c r="H141" s="1297">
        <f>G141/G139</f>
        <v>0.83606557377049184</v>
      </c>
      <c r="I141" s="241">
        <f t="shared" si="9"/>
        <v>-16698381.064010959</v>
      </c>
      <c r="J141" s="236">
        <f t="shared" ref="J141:J151" si="14">J140+I141</f>
        <v>-1345917012.4380097</v>
      </c>
      <c r="K141" s="14"/>
    </row>
    <row r="142" spans="1:11" s="1112" customFormat="1">
      <c r="A142" s="111">
        <f t="shared" si="10"/>
        <v>808</v>
      </c>
      <c r="B142" s="581"/>
      <c r="C142" s="1295" t="s">
        <v>195</v>
      </c>
      <c r="D142" s="1300">
        <f t="shared" si="11"/>
        <v>-19972573.429503303</v>
      </c>
      <c r="E142" s="1215">
        <f t="shared" si="12"/>
        <v>-1370855444.2885096</v>
      </c>
      <c r="F142" s="1298">
        <v>31</v>
      </c>
      <c r="G142" s="1291">
        <f t="shared" si="13"/>
        <v>275</v>
      </c>
      <c r="H142" s="1297">
        <f>G142/G139</f>
        <v>0.75136612021857918</v>
      </c>
      <c r="I142" s="241">
        <f t="shared" si="9"/>
        <v>-15006715.008506579</v>
      </c>
      <c r="J142" s="236">
        <f t="shared" si="14"/>
        <v>-1360923727.4465163</v>
      </c>
      <c r="K142" s="14"/>
    </row>
    <row r="143" spans="1:11" s="1112" customFormat="1">
      <c r="A143" s="111">
        <f t="shared" si="10"/>
        <v>809</v>
      </c>
      <c r="B143" s="581"/>
      <c r="C143" s="1295" t="s">
        <v>183</v>
      </c>
      <c r="D143" s="1300">
        <f t="shared" si="11"/>
        <v>-19972573.429503303</v>
      </c>
      <c r="E143" s="1215">
        <f t="shared" si="12"/>
        <v>-1390828017.7180128</v>
      </c>
      <c r="F143" s="1298">
        <v>30</v>
      </c>
      <c r="G143" s="1291">
        <f t="shared" si="13"/>
        <v>245</v>
      </c>
      <c r="H143" s="1297">
        <f>G143/G139</f>
        <v>0.6693989071038251</v>
      </c>
      <c r="I143" s="241">
        <f t="shared" si="9"/>
        <v>-13369618.825760407</v>
      </c>
      <c r="J143" s="236">
        <f t="shared" si="14"/>
        <v>-1374293346.2722766</v>
      </c>
      <c r="K143" s="14"/>
    </row>
    <row r="144" spans="1:11" s="1112" customFormat="1">
      <c r="A144" s="111">
        <f t="shared" si="10"/>
        <v>810</v>
      </c>
      <c r="B144" s="581"/>
      <c r="C144" s="1295" t="s">
        <v>184</v>
      </c>
      <c r="D144" s="1300">
        <f t="shared" si="11"/>
        <v>-19972573.429503303</v>
      </c>
      <c r="E144" s="1215">
        <f t="shared" si="12"/>
        <v>-1410800591.147516</v>
      </c>
      <c r="F144" s="1298">
        <v>31</v>
      </c>
      <c r="G144" s="1291">
        <f t="shared" si="13"/>
        <v>214</v>
      </c>
      <c r="H144" s="1297">
        <f>G144/G139</f>
        <v>0.58469945355191255</v>
      </c>
      <c r="I144" s="241">
        <f t="shared" si="9"/>
        <v>-11677952.770256029</v>
      </c>
      <c r="J144" s="236">
        <f t="shared" si="14"/>
        <v>-1385971299.0425327</v>
      </c>
      <c r="K144" s="14"/>
    </row>
    <row r="145" spans="1:11" s="1112" customFormat="1">
      <c r="A145" s="111">
        <f t="shared" si="10"/>
        <v>811</v>
      </c>
      <c r="B145" s="581"/>
      <c r="C145" s="1295" t="s">
        <v>1483</v>
      </c>
      <c r="D145" s="1300">
        <f t="shared" si="11"/>
        <v>-19972573.429503303</v>
      </c>
      <c r="E145" s="1215">
        <f t="shared" si="12"/>
        <v>-1430773164.5770192</v>
      </c>
      <c r="F145" s="1298">
        <v>30</v>
      </c>
      <c r="G145" s="1291">
        <f t="shared" si="13"/>
        <v>184</v>
      </c>
      <c r="H145" s="1297">
        <f>G145/G139</f>
        <v>0.50273224043715847</v>
      </c>
      <c r="I145" s="241">
        <f t="shared" si="9"/>
        <v>-10040856.587509857</v>
      </c>
      <c r="J145" s="236">
        <f t="shared" si="14"/>
        <v>-1396012155.6300426</v>
      </c>
      <c r="K145" s="14"/>
    </row>
    <row r="146" spans="1:11" s="1112" customFormat="1">
      <c r="A146" s="111">
        <f t="shared" si="10"/>
        <v>812</v>
      </c>
      <c r="B146" s="581"/>
      <c r="C146" s="1295" t="s">
        <v>186</v>
      </c>
      <c r="D146" s="1300">
        <f t="shared" si="11"/>
        <v>-19972573.429503303</v>
      </c>
      <c r="E146" s="1215">
        <f t="shared" si="12"/>
        <v>-1450745738.0065224</v>
      </c>
      <c r="F146" s="1298">
        <v>31</v>
      </c>
      <c r="G146" s="1291">
        <f t="shared" si="13"/>
        <v>153</v>
      </c>
      <c r="H146" s="1297">
        <f>G146/G139</f>
        <v>0.41803278688524592</v>
      </c>
      <c r="I146" s="241">
        <f t="shared" si="9"/>
        <v>-8349190.5320054796</v>
      </c>
      <c r="J146" s="236">
        <f t="shared" si="14"/>
        <v>-1404361346.1620481</v>
      </c>
      <c r="K146" s="14"/>
    </row>
    <row r="147" spans="1:11" s="1112" customFormat="1">
      <c r="A147" s="111">
        <f t="shared" si="10"/>
        <v>813</v>
      </c>
      <c r="B147" s="581"/>
      <c r="C147" s="1295" t="s">
        <v>187</v>
      </c>
      <c r="D147" s="1300">
        <f t="shared" si="11"/>
        <v>-19972573.429503303</v>
      </c>
      <c r="E147" s="1215">
        <f t="shared" si="12"/>
        <v>-1470718311.4360256</v>
      </c>
      <c r="F147" s="1298">
        <v>31</v>
      </c>
      <c r="G147" s="1291">
        <f t="shared" si="13"/>
        <v>122</v>
      </c>
      <c r="H147" s="1297">
        <f>G147/G139</f>
        <v>0.33333333333333331</v>
      </c>
      <c r="I147" s="241">
        <f t="shared" si="9"/>
        <v>-6657524.4765011007</v>
      </c>
      <c r="J147" s="236">
        <f t="shared" si="14"/>
        <v>-1411018870.6385491</v>
      </c>
      <c r="K147" s="14"/>
    </row>
    <row r="148" spans="1:11" s="1112" customFormat="1">
      <c r="A148" s="111">
        <f t="shared" si="10"/>
        <v>814</v>
      </c>
      <c r="B148" s="581"/>
      <c r="C148" s="1295" t="s">
        <v>188</v>
      </c>
      <c r="D148" s="1300">
        <f t="shared" si="11"/>
        <v>-19972573.429503303</v>
      </c>
      <c r="E148" s="1215">
        <f t="shared" si="12"/>
        <v>-1490690884.8655288</v>
      </c>
      <c r="F148" s="1298">
        <v>30</v>
      </c>
      <c r="G148" s="1291">
        <f t="shared" si="13"/>
        <v>92</v>
      </c>
      <c r="H148" s="1297">
        <f>G148/G139</f>
        <v>0.25136612021857924</v>
      </c>
      <c r="I148" s="241">
        <f t="shared" si="9"/>
        <v>-5020428.2937549287</v>
      </c>
      <c r="J148" s="236">
        <f t="shared" si="14"/>
        <v>-1416039298.9323039</v>
      </c>
      <c r="K148" s="14"/>
    </row>
    <row r="149" spans="1:11" s="1112" customFormat="1">
      <c r="A149" s="111">
        <f t="shared" si="10"/>
        <v>815</v>
      </c>
      <c r="B149" s="581"/>
      <c r="C149" s="1295" t="s">
        <v>191</v>
      </c>
      <c r="D149" s="1300">
        <f t="shared" si="11"/>
        <v>-19972573.429503303</v>
      </c>
      <c r="E149" s="1215">
        <f t="shared" si="12"/>
        <v>-1510663458.295032</v>
      </c>
      <c r="F149" s="1298">
        <v>31</v>
      </c>
      <c r="G149" s="1291">
        <f t="shared" si="13"/>
        <v>61</v>
      </c>
      <c r="H149" s="1297">
        <f>G149/G139</f>
        <v>0.16666666666666666</v>
      </c>
      <c r="I149" s="241">
        <f t="shared" si="9"/>
        <v>-3328762.2382505503</v>
      </c>
      <c r="J149" s="236">
        <f t="shared" si="14"/>
        <v>-1419368061.1705544</v>
      </c>
      <c r="K149" s="14"/>
    </row>
    <row r="150" spans="1:11" s="1112" customFormat="1">
      <c r="A150" s="111">
        <f t="shared" si="10"/>
        <v>816</v>
      </c>
      <c r="B150" s="581"/>
      <c r="C150" s="1295" t="s">
        <v>190</v>
      </c>
      <c r="D150" s="1300">
        <f t="shared" si="11"/>
        <v>-19972573.429503303</v>
      </c>
      <c r="E150" s="1215">
        <f t="shared" si="12"/>
        <v>-1530636031.7245352</v>
      </c>
      <c r="F150" s="1298">
        <v>30</v>
      </c>
      <c r="G150" s="1291">
        <f t="shared" si="13"/>
        <v>31</v>
      </c>
      <c r="H150" s="1297">
        <f>G150/G139</f>
        <v>8.4699453551912565E-2</v>
      </c>
      <c r="I150" s="241">
        <f t="shared" si="9"/>
        <v>-1691666.0555043782</v>
      </c>
      <c r="J150" s="236">
        <f t="shared" si="14"/>
        <v>-1421059727.2260587</v>
      </c>
      <c r="K150" s="14"/>
    </row>
    <row r="151" spans="1:11" s="1112" customFormat="1">
      <c r="A151" s="111">
        <f t="shared" si="10"/>
        <v>817</v>
      </c>
      <c r="B151" s="581"/>
      <c r="C151" s="1295" t="s">
        <v>180</v>
      </c>
      <c r="D151" s="1300">
        <f t="shared" si="11"/>
        <v>-19972573.429503303</v>
      </c>
      <c r="E151" s="1215">
        <f t="shared" si="12"/>
        <v>-1550608605.1540384</v>
      </c>
      <c r="F151" s="1298">
        <v>31</v>
      </c>
      <c r="G151" s="1291">
        <f t="shared" si="13"/>
        <v>0</v>
      </c>
      <c r="H151" s="1297">
        <f>G151/G139</f>
        <v>0</v>
      </c>
      <c r="I151" s="241">
        <f t="shared" si="9"/>
        <v>0</v>
      </c>
      <c r="J151" s="372">
        <f t="shared" si="14"/>
        <v>-1421059727.2260587</v>
      </c>
      <c r="K151" s="14"/>
    </row>
    <row r="152" spans="1:11" s="1112" customFormat="1">
      <c r="A152" s="111">
        <f t="shared" si="10"/>
        <v>818</v>
      </c>
      <c r="B152" s="581"/>
      <c r="C152" s="1295" t="s">
        <v>2631</v>
      </c>
      <c r="D152" s="1300"/>
      <c r="E152" s="1215">
        <f>D13</f>
        <v>-1550608605.1540396</v>
      </c>
      <c r="F152" s="647"/>
      <c r="G152" s="647"/>
      <c r="H152" s="647"/>
      <c r="I152" s="507"/>
      <c r="J152" s="1256"/>
      <c r="K152" s="14"/>
    </row>
    <row r="153" spans="1:11" s="1112" customFormat="1">
      <c r="A153" s="111">
        <f t="shared" si="10"/>
        <v>819</v>
      </c>
      <c r="B153" s="581"/>
      <c r="C153" s="633"/>
      <c r="D153" s="652"/>
      <c r="E153" s="652"/>
      <c r="F153" s="647"/>
      <c r="G153" s="647"/>
      <c r="H153" s="647"/>
      <c r="I153" s="528" t="s">
        <v>2632</v>
      </c>
      <c r="J153" s="1287">
        <f>AVERAGE(J139:J151)</f>
        <v>-1384321609.812227</v>
      </c>
      <c r="K153" s="14"/>
    </row>
    <row r="154" spans="1:11">
      <c r="B154"/>
      <c r="C154" s="243" t="s">
        <v>1909</v>
      </c>
      <c r="D154" s="243"/>
      <c r="E154" s="243"/>
      <c r="F154" s="243"/>
      <c r="G154" s="243"/>
      <c r="J154"/>
    </row>
    <row r="155" spans="1:11">
      <c r="B155"/>
      <c r="C155" s="243" t="s">
        <v>1910</v>
      </c>
      <c r="D155" s="243"/>
      <c r="E155" s="243"/>
      <c r="F155" s="243"/>
      <c r="G155" s="243"/>
      <c r="J155"/>
    </row>
    <row r="156" spans="1:11">
      <c r="B156"/>
      <c r="C156" s="243"/>
      <c r="D156" s="243"/>
      <c r="E156" s="243"/>
      <c r="F156" s="243"/>
      <c r="G156" s="243"/>
      <c r="J156"/>
    </row>
    <row r="157" spans="1:11">
      <c r="B157"/>
      <c r="C157" s="243" t="s">
        <v>1911</v>
      </c>
      <c r="D157" s="243"/>
      <c r="E157" s="243"/>
      <c r="F157" s="243"/>
      <c r="G157" s="243"/>
      <c r="J157"/>
    </row>
    <row r="158" spans="1:11">
      <c r="B158"/>
      <c r="C158" s="243" t="s">
        <v>1912</v>
      </c>
      <c r="D158" s="243"/>
      <c r="E158" s="243"/>
      <c r="F158" s="243"/>
      <c r="G158" s="243"/>
      <c r="J158"/>
    </row>
    <row r="159" spans="1:11">
      <c r="B159"/>
      <c r="C159" s="243" t="s">
        <v>1913</v>
      </c>
      <c r="D159" s="243"/>
      <c r="E159" s="243"/>
      <c r="F159" s="243"/>
      <c r="G159" s="243"/>
      <c r="J159"/>
    </row>
    <row r="160" spans="1:11">
      <c r="B160"/>
      <c r="C160" s="14"/>
      <c r="D160" s="14"/>
      <c r="E160" s="111" t="s">
        <v>169</v>
      </c>
      <c r="F160" s="14"/>
      <c r="G160" s="981" t="s">
        <v>63</v>
      </c>
      <c r="J160"/>
    </row>
    <row r="161" spans="2:10">
      <c r="B161"/>
      <c r="C161" s="14"/>
      <c r="D161" s="14"/>
      <c r="E161" s="125" t="s">
        <v>170</v>
      </c>
      <c r="F161" s="14"/>
      <c r="G161" s="125" t="s">
        <v>171</v>
      </c>
      <c r="J161"/>
    </row>
    <row r="162" spans="2:10" ht="15">
      <c r="B162"/>
      <c r="C162" s="995" t="s">
        <v>1914</v>
      </c>
      <c r="D162" s="996"/>
      <c r="E162" s="505" t="s">
        <v>286</v>
      </c>
      <c r="F162" s="996"/>
      <c r="G162" s="1137">
        <v>737797550</v>
      </c>
      <c r="I162" s="659"/>
      <c r="J162"/>
    </row>
    <row r="163" spans="2:10" ht="15">
      <c r="B163"/>
      <c r="C163" s="997" t="s">
        <v>1915</v>
      </c>
      <c r="D163" s="996"/>
      <c r="E163" s="505" t="s">
        <v>1916</v>
      </c>
      <c r="F163" s="996"/>
      <c r="G163" s="537">
        <v>609829</v>
      </c>
      <c r="I163" s="659"/>
      <c r="J163"/>
    </row>
    <row r="164" spans="2:10" ht="15">
      <c r="B164"/>
      <c r="C164" s="997" t="s">
        <v>1917</v>
      </c>
      <c r="D164" s="996"/>
      <c r="E164" s="505" t="s">
        <v>1918</v>
      </c>
      <c r="F164" s="996"/>
      <c r="G164" s="117">
        <v>1363321</v>
      </c>
      <c r="I164" s="659"/>
      <c r="J164"/>
    </row>
    <row r="165" spans="2:10" ht="15">
      <c r="B165"/>
      <c r="C165" s="995" t="s">
        <v>1919</v>
      </c>
      <c r="D165" s="996"/>
      <c r="E165" s="505" t="s">
        <v>1920</v>
      </c>
      <c r="F165" s="996"/>
      <c r="G165" s="998">
        <f>SUM(G162:G164)</f>
        <v>739770700</v>
      </c>
      <c r="J165"/>
    </row>
    <row r="166" spans="2:10">
      <c r="B166"/>
      <c r="C166" s="114" t="s">
        <v>1921</v>
      </c>
      <c r="D166" s="14"/>
      <c r="E166" s="621" t="s">
        <v>1922</v>
      </c>
      <c r="F166" s="14"/>
      <c r="G166" s="67">
        <f>(G163+G164)/G165</f>
        <v>2.667245404555763E-3</v>
      </c>
      <c r="J166"/>
    </row>
    <row r="167" spans="2:10">
      <c r="B167"/>
      <c r="C167" s="975" t="s">
        <v>1923</v>
      </c>
      <c r="D167" s="660"/>
      <c r="E167" s="660"/>
      <c r="F167" s="660"/>
      <c r="G167" s="660"/>
      <c r="J167"/>
    </row>
    <row r="168" spans="2:10">
      <c r="B168"/>
      <c r="C168" s="14"/>
      <c r="D168" s="14"/>
      <c r="E168" s="111" t="s">
        <v>169</v>
      </c>
      <c r="F168" s="14"/>
      <c r="G168" s="981" t="s">
        <v>63</v>
      </c>
      <c r="J168"/>
    </row>
    <row r="169" spans="2:10">
      <c r="B169"/>
      <c r="C169" s="14"/>
      <c r="D169" s="14"/>
      <c r="E169" s="125" t="s">
        <v>170</v>
      </c>
      <c r="F169" s="14"/>
      <c r="G169" s="125" t="s">
        <v>171</v>
      </c>
      <c r="J169"/>
    </row>
    <row r="170" spans="2:10" ht="15">
      <c r="B170"/>
      <c r="C170" s="502" t="s">
        <v>1924</v>
      </c>
      <c r="D170" s="996"/>
      <c r="E170" s="996" t="s">
        <v>34</v>
      </c>
      <c r="F170" s="996"/>
      <c r="G170" s="1137">
        <v>44298088225</v>
      </c>
      <c r="I170" s="659"/>
      <c r="J170"/>
    </row>
    <row r="171" spans="2:10" ht="15">
      <c r="B171"/>
      <c r="C171" s="997" t="s">
        <v>1925</v>
      </c>
      <c r="D171" s="996"/>
      <c r="E171" s="996" t="s">
        <v>1926</v>
      </c>
      <c r="F171" s="996"/>
      <c r="G171" s="537">
        <v>5156153</v>
      </c>
      <c r="J171"/>
    </row>
    <row r="172" spans="2:10" ht="15">
      <c r="B172"/>
      <c r="C172" s="997" t="s">
        <v>1927</v>
      </c>
      <c r="D172" s="996"/>
      <c r="E172" s="996" t="s">
        <v>1928</v>
      </c>
      <c r="F172" s="996"/>
      <c r="G172" s="537">
        <v>31182471</v>
      </c>
      <c r="I172" s="659"/>
      <c r="J172"/>
    </row>
    <row r="173" spans="2:10" ht="15">
      <c r="B173"/>
      <c r="C173" s="502" t="s">
        <v>1929</v>
      </c>
      <c r="D173" s="996"/>
      <c r="E173" s="505" t="s">
        <v>1930</v>
      </c>
      <c r="F173" s="996"/>
      <c r="G173" s="998">
        <f>SUM(G170:G172)</f>
        <v>44334426849</v>
      </c>
      <c r="H173" s="660"/>
      <c r="I173" s="660"/>
      <c r="J173" s="14"/>
    </row>
    <row r="174" spans="2:10">
      <c r="B174"/>
      <c r="C174" s="114" t="s">
        <v>1931</v>
      </c>
      <c r="D174" s="14"/>
      <c r="E174" s="621" t="s">
        <v>1932</v>
      </c>
      <c r="F174" s="14"/>
      <c r="G174" s="67">
        <f>(G171+G172)/G173</f>
        <v>8.1964799327995932E-4</v>
      </c>
      <c r="H174" s="660"/>
      <c r="I174" s="660"/>
      <c r="J174" s="14"/>
    </row>
    <row r="175" spans="2:10">
      <c r="B175"/>
      <c r="C175" s="243" t="s">
        <v>2863</v>
      </c>
      <c r="D175" s="660"/>
      <c r="E175" s="660"/>
      <c r="F175" s="660"/>
      <c r="G175" s="660"/>
      <c r="H175" s="660"/>
      <c r="I175" s="660"/>
      <c r="J175" s="14"/>
    </row>
    <row r="177" spans="3:3">
      <c r="C177" s="960" t="s">
        <v>232</v>
      </c>
    </row>
    <row r="178" spans="3:3">
      <c r="C178" s="505" t="s">
        <v>2610</v>
      </c>
    </row>
    <row r="179" spans="3:3">
      <c r="C179" s="505" t="s">
        <v>2611</v>
      </c>
    </row>
    <row r="180" spans="3:3">
      <c r="C180" s="505" t="s">
        <v>2612</v>
      </c>
    </row>
  </sheetData>
  <protectedRanges>
    <protectedRange password="F1C4" sqref="D19:E22 E14:E18 D13:D14 D16:D17 I53 B7:C29 F19 I113 D24:F29 D23" name="AAReport1_23_1_1_2"/>
    <protectedRange password="F1C4" sqref="D18" name="AAReport1_23_1_1_1_1_1"/>
    <protectedRange password="F1C4" sqref="F31:F32 F44 J31:J34" name="AAReport1_23_1_1_2_1"/>
    <protectedRange password="F1C4" sqref="I46" name="AAReport1_23_1_1_2_2"/>
    <protectedRange password="F1C4" sqref="E23" name="AAReport1_23_1_1_2_3"/>
  </protectedRanges>
  <phoneticPr fontId="23" type="noConversion"/>
  <conditionalFormatting sqref="B107 B120:B121 D120:D121 D98:D107">
    <cfRule type="expression" dxfId="15" priority="8" stopIfTrue="1">
      <formula>Formulas</formula>
    </cfRule>
  </conditionalFormatting>
  <conditionalFormatting sqref="D113">
    <cfRule type="expression" dxfId="14" priority="9" stopIfTrue="1">
      <formula>Formulas</formula>
    </cfRule>
  </conditionalFormatting>
  <conditionalFormatting sqref="C113 C107 C120:C121">
    <cfRule type="expression" dxfId="13" priority="7" stopIfTrue="1">
      <formula>#REF!&lt;&gt;""</formula>
    </cfRule>
  </conditionalFormatting>
  <conditionalFormatting sqref="C98:C106">
    <cfRule type="expression" dxfId="12" priority="3" stopIfTrue="1">
      <formula>#REF!&lt;&gt;""</formula>
    </cfRule>
  </conditionalFormatting>
  <conditionalFormatting sqref="D119">
    <cfRule type="expression" dxfId="11" priority="2" stopIfTrue="1">
      <formula>Formulas</formula>
    </cfRule>
  </conditionalFormatting>
  <conditionalFormatting sqref="C119">
    <cfRule type="expression" dxfId="10" priority="1" stopIfTrue="1">
      <formula>#REF!&lt;&gt;""</formula>
    </cfRule>
  </conditionalFormatting>
  <pageMargins left="0.75" right="0.75" top="1" bottom="1" header="0.5" footer="0.5"/>
  <pageSetup scale="65" orientation="landscape" cellComments="asDisplayed" r:id="rId1"/>
  <headerFooter alignWithMargins="0">
    <oddHeader>&amp;CSchedule 9
ADIT
&amp;RExhibit SCE-4
TO2018 Formula Rate Spreadsheet</oddHeader>
    <oddFooter>&amp;R&amp;A</oddFooter>
  </headerFooter>
  <rowBreaks count="5" manualBreakCount="5">
    <brk id="23" max="16383" man="1"/>
    <brk id="56" max="16383" man="1"/>
    <brk id="90" max="9" man="1"/>
    <brk id="121" max="16383" man="1"/>
    <brk id="15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8"/>
  <sheetViews>
    <sheetView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543</v>
      </c>
      <c r="K1" s="1"/>
    </row>
    <row r="2" spans="1:12">
      <c r="A2" s="44"/>
      <c r="K2" s="1"/>
    </row>
    <row r="3" spans="1:12">
      <c r="A3" s="44"/>
      <c r="B3" s="503" t="s">
        <v>960</v>
      </c>
      <c r="K3" s="1"/>
    </row>
    <row r="4" spans="1:12">
      <c r="B4" s="503" t="s">
        <v>547</v>
      </c>
      <c r="K4" s="1"/>
      <c r="L4" s="505"/>
    </row>
    <row r="5" spans="1:12">
      <c r="B5" s="503"/>
      <c r="K5" s="1"/>
    </row>
    <row r="6" spans="1:12">
      <c r="A6" s="505"/>
      <c r="B6" s="1" t="s">
        <v>1243</v>
      </c>
      <c r="K6" s="1"/>
    </row>
    <row r="7" spans="1:12">
      <c r="A7" s="505"/>
      <c r="B7" s="1"/>
      <c r="D7" s="84" t="s">
        <v>363</v>
      </c>
      <c r="E7" s="84" t="s">
        <v>347</v>
      </c>
      <c r="F7" s="84" t="s">
        <v>348</v>
      </c>
      <c r="G7" s="84" t="s">
        <v>349</v>
      </c>
      <c r="H7" s="84" t="s">
        <v>350</v>
      </c>
      <c r="I7" s="84" t="s">
        <v>351</v>
      </c>
      <c r="J7" s="363"/>
      <c r="K7" s="1"/>
      <c r="L7" s="363"/>
    </row>
    <row r="8" spans="1:12">
      <c r="D8" s="504" t="s">
        <v>992</v>
      </c>
      <c r="J8" s="14"/>
      <c r="K8" s="14"/>
    </row>
    <row r="9" spans="1:12">
      <c r="D9" s="524" t="s">
        <v>550</v>
      </c>
      <c r="J9" s="14"/>
      <c r="K9" s="14"/>
    </row>
    <row r="10" spans="1:12">
      <c r="B10" s="600"/>
      <c r="J10" s="14"/>
      <c r="K10" s="14"/>
    </row>
    <row r="11" spans="1:12">
      <c r="B11" s="600"/>
      <c r="D11" s="600" t="s">
        <v>19</v>
      </c>
      <c r="F11" s="600" t="s">
        <v>345</v>
      </c>
      <c r="G11" s="364" t="s">
        <v>999</v>
      </c>
      <c r="H11" s="364" t="s">
        <v>1000</v>
      </c>
      <c r="I11" s="600"/>
      <c r="J11" s="111"/>
      <c r="K11" s="503"/>
    </row>
    <row r="12" spans="1:12">
      <c r="A12" s="960" t="s">
        <v>332</v>
      </c>
      <c r="B12" s="661" t="s">
        <v>192</v>
      </c>
      <c r="C12" s="661" t="s">
        <v>193</v>
      </c>
      <c r="D12" s="3" t="s">
        <v>545</v>
      </c>
      <c r="E12" s="3" t="s">
        <v>225</v>
      </c>
      <c r="F12" s="3" t="s">
        <v>346</v>
      </c>
      <c r="G12" s="365" t="s">
        <v>998</v>
      </c>
      <c r="H12" s="365" t="s">
        <v>1001</v>
      </c>
      <c r="I12" s="3" t="s">
        <v>548</v>
      </c>
      <c r="J12" s="125"/>
      <c r="K12" s="503"/>
    </row>
    <row r="13" spans="1:12">
      <c r="A13" s="111">
        <v>1</v>
      </c>
      <c r="B13" s="662" t="s">
        <v>180</v>
      </c>
      <c r="C13" s="663">
        <v>2015</v>
      </c>
      <c r="D13" s="7">
        <f>SUM(E13:I13)+SUM(D33:G33)</f>
        <v>296606972.97999996</v>
      </c>
      <c r="E13" s="554">
        <v>225689500.47</v>
      </c>
      <c r="F13" s="1136">
        <v>0</v>
      </c>
      <c r="G13" s="1136">
        <v>2844116.01</v>
      </c>
      <c r="H13" s="1136">
        <v>52084175.729999997</v>
      </c>
      <c r="I13" s="1136">
        <v>9220094.2599999998</v>
      </c>
      <c r="J13" s="664"/>
    </row>
    <row r="14" spans="1:12">
      <c r="A14" s="111">
        <f>A13+1</f>
        <v>2</v>
      </c>
      <c r="B14" s="662" t="s">
        <v>181</v>
      </c>
      <c r="C14" s="663">
        <v>2016</v>
      </c>
      <c r="D14" s="7">
        <f t="shared" ref="D14:D25" si="0">SUM(E14:I14)+SUM(D34:G34)</f>
        <v>296679130.14999998</v>
      </c>
      <c r="E14" s="554">
        <v>234537305.75999999</v>
      </c>
      <c r="F14" s="1136">
        <v>0</v>
      </c>
      <c r="G14" s="1136">
        <v>2844116.01</v>
      </c>
      <c r="H14" s="1136">
        <v>52498623.75</v>
      </c>
      <c r="I14" s="1136">
        <v>0</v>
      </c>
      <c r="J14" s="664"/>
    </row>
    <row r="15" spans="1:12">
      <c r="A15" s="111">
        <f t="shared" ref="A15:A26" si="1">A14+1</f>
        <v>3</v>
      </c>
      <c r="B15" s="665" t="s">
        <v>182</v>
      </c>
      <c r="C15" s="663">
        <v>2016</v>
      </c>
      <c r="D15" s="7">
        <f t="shared" si="0"/>
        <v>309317595.69</v>
      </c>
      <c r="E15" s="554">
        <v>246277834.84999999</v>
      </c>
      <c r="F15" s="1136">
        <v>0</v>
      </c>
      <c r="G15" s="1136">
        <v>2844116.01</v>
      </c>
      <c r="H15" s="1136">
        <v>52874292.210000001</v>
      </c>
      <c r="I15" s="1136">
        <v>0</v>
      </c>
      <c r="J15" s="664"/>
    </row>
    <row r="16" spans="1:12">
      <c r="A16" s="111">
        <f t="shared" si="1"/>
        <v>4</v>
      </c>
      <c r="B16" s="665" t="s">
        <v>195</v>
      </c>
      <c r="C16" s="663">
        <v>2016</v>
      </c>
      <c r="D16" s="7">
        <f t="shared" si="0"/>
        <v>316026672.51000005</v>
      </c>
      <c r="E16" s="554">
        <v>249130156.33000001</v>
      </c>
      <c r="F16" s="1136">
        <v>0</v>
      </c>
      <c r="G16" s="1136">
        <v>2902845.83</v>
      </c>
      <c r="H16" s="1136">
        <v>53618762.609999999</v>
      </c>
      <c r="I16" s="1136">
        <v>0</v>
      </c>
      <c r="J16" s="664"/>
    </row>
    <row r="17" spans="1:11">
      <c r="A17" s="111">
        <f t="shared" si="1"/>
        <v>5</v>
      </c>
      <c r="B17" s="662" t="s">
        <v>183</v>
      </c>
      <c r="C17" s="663">
        <v>2016</v>
      </c>
      <c r="D17" s="7">
        <f t="shared" si="0"/>
        <v>336604183.56</v>
      </c>
      <c r="E17" s="554">
        <v>264263822.87</v>
      </c>
      <c r="F17" s="1136">
        <v>0</v>
      </c>
      <c r="G17" s="1136">
        <v>3081401.44</v>
      </c>
      <c r="H17" s="1136">
        <v>54251602.700000003</v>
      </c>
      <c r="I17" s="1136">
        <v>0</v>
      </c>
      <c r="J17" s="664"/>
    </row>
    <row r="18" spans="1:11">
      <c r="A18" s="111">
        <f t="shared" si="1"/>
        <v>6</v>
      </c>
      <c r="B18" s="665" t="s">
        <v>184</v>
      </c>
      <c r="C18" s="663">
        <v>2016</v>
      </c>
      <c r="D18" s="7">
        <f t="shared" si="0"/>
        <v>345602499.81</v>
      </c>
      <c r="E18" s="554">
        <v>272082291.68000001</v>
      </c>
      <c r="F18" s="1136">
        <v>0</v>
      </c>
      <c r="G18" s="1136">
        <v>3292806.55</v>
      </c>
      <c r="H18" s="1136">
        <v>54675188.140000001</v>
      </c>
      <c r="I18" s="1136">
        <v>0</v>
      </c>
      <c r="J18" s="664"/>
    </row>
    <row r="19" spans="1:11">
      <c r="A19" s="111">
        <f t="shared" si="1"/>
        <v>7</v>
      </c>
      <c r="B19" s="665" t="s">
        <v>185</v>
      </c>
      <c r="C19" s="663">
        <v>2016</v>
      </c>
      <c r="D19" s="7">
        <f t="shared" si="0"/>
        <v>355825956.99000001</v>
      </c>
      <c r="E19" s="554">
        <v>281130584.01999998</v>
      </c>
      <c r="F19" s="1136">
        <v>0</v>
      </c>
      <c r="G19" s="1136">
        <v>3401901.55</v>
      </c>
      <c r="H19" s="1136">
        <v>55165591.200000003</v>
      </c>
      <c r="I19" s="1136">
        <v>0</v>
      </c>
      <c r="J19" s="664"/>
    </row>
    <row r="20" spans="1:11">
      <c r="A20" s="111">
        <f t="shared" si="1"/>
        <v>8</v>
      </c>
      <c r="B20" s="662" t="s">
        <v>186</v>
      </c>
      <c r="C20" s="663">
        <v>2016</v>
      </c>
      <c r="D20" s="7">
        <f t="shared" si="0"/>
        <v>367260329.78000003</v>
      </c>
      <c r="E20" s="554">
        <v>288522861.49000001</v>
      </c>
      <c r="F20" s="1136">
        <v>0</v>
      </c>
      <c r="G20" s="1136">
        <v>3505384.18</v>
      </c>
      <c r="H20" s="1136">
        <v>55846692.369999997</v>
      </c>
      <c r="I20" s="1136">
        <v>0</v>
      </c>
      <c r="J20" s="664"/>
    </row>
    <row r="21" spans="1:11">
      <c r="A21" s="111">
        <f t="shared" si="1"/>
        <v>9</v>
      </c>
      <c r="B21" s="665" t="s">
        <v>187</v>
      </c>
      <c r="C21" s="663">
        <v>2016</v>
      </c>
      <c r="D21" s="7">
        <f t="shared" si="0"/>
        <v>378773232.51000005</v>
      </c>
      <c r="E21" s="554">
        <v>297512902.42000002</v>
      </c>
      <c r="F21" s="1136">
        <v>0</v>
      </c>
      <c r="G21" s="1136">
        <v>3578265.95</v>
      </c>
      <c r="H21" s="1136">
        <v>56943643.789999999</v>
      </c>
      <c r="I21" s="1136">
        <v>0</v>
      </c>
      <c r="J21" s="664"/>
    </row>
    <row r="22" spans="1:11">
      <c r="A22" s="111">
        <f t="shared" si="1"/>
        <v>10</v>
      </c>
      <c r="B22" s="665" t="s">
        <v>188</v>
      </c>
      <c r="C22" s="663">
        <v>2016</v>
      </c>
      <c r="D22" s="7">
        <f t="shared" si="0"/>
        <v>143859740.19</v>
      </c>
      <c r="E22" s="554">
        <v>61004683.079999998</v>
      </c>
      <c r="F22" s="1136">
        <v>0</v>
      </c>
      <c r="G22" s="1136">
        <v>3745750.92</v>
      </c>
      <c r="H22" s="1136">
        <v>57634501.060000002</v>
      </c>
      <c r="I22" s="1136">
        <v>0</v>
      </c>
      <c r="J22" s="664"/>
    </row>
    <row r="23" spans="1:11">
      <c r="A23" s="111">
        <f t="shared" si="1"/>
        <v>11</v>
      </c>
      <c r="B23" s="662" t="s">
        <v>189</v>
      </c>
      <c r="C23" s="663">
        <v>2016</v>
      </c>
      <c r="D23" s="7">
        <f t="shared" si="0"/>
        <v>135182376.80000001</v>
      </c>
      <c r="E23" s="554">
        <v>48827981.020000003</v>
      </c>
      <c r="F23" s="1136">
        <v>0</v>
      </c>
      <c r="G23" s="1136">
        <v>3889871.92</v>
      </c>
      <c r="H23" s="1136">
        <v>58274959.82</v>
      </c>
      <c r="I23" s="1136">
        <v>0</v>
      </c>
      <c r="J23" s="664"/>
    </row>
    <row r="24" spans="1:11">
      <c r="A24" s="111">
        <f t="shared" si="1"/>
        <v>12</v>
      </c>
      <c r="B24" s="662" t="s">
        <v>190</v>
      </c>
      <c r="C24" s="663">
        <v>2016</v>
      </c>
      <c r="D24" s="7">
        <f t="shared" si="0"/>
        <v>137652282.26000002</v>
      </c>
      <c r="E24" s="554">
        <v>49593829.600000001</v>
      </c>
      <c r="F24" s="1136">
        <v>0</v>
      </c>
      <c r="G24" s="1136">
        <v>3997681.78</v>
      </c>
      <c r="H24" s="1136">
        <v>58866560.950000003</v>
      </c>
      <c r="I24" s="1136">
        <v>0</v>
      </c>
      <c r="J24" s="664"/>
    </row>
    <row r="25" spans="1:11">
      <c r="A25" s="111">
        <f t="shared" si="1"/>
        <v>13</v>
      </c>
      <c r="B25" s="662" t="s">
        <v>180</v>
      </c>
      <c r="C25" s="663">
        <v>2016</v>
      </c>
      <c r="D25" s="91">
        <f t="shared" si="0"/>
        <v>115749706.3</v>
      </c>
      <c r="E25" s="430">
        <v>14915547.51</v>
      </c>
      <c r="F25" s="117">
        <v>0</v>
      </c>
      <c r="G25" s="117">
        <v>4204927.07</v>
      </c>
      <c r="H25" s="117">
        <v>69685244.670000002</v>
      </c>
      <c r="I25" s="117">
        <v>0</v>
      </c>
      <c r="J25" s="664"/>
    </row>
    <row r="26" spans="1:11">
      <c r="A26" s="111">
        <f t="shared" si="1"/>
        <v>14</v>
      </c>
      <c r="B26" s="662"/>
      <c r="C26" s="666" t="s">
        <v>546</v>
      </c>
      <c r="D26" s="552">
        <f t="shared" ref="D26:I26" si="2">SUM(D13:D25)/13</f>
        <v>271933898.42538464</v>
      </c>
      <c r="E26" s="552">
        <f>SUM(E13:E25)/13</f>
        <v>194883792.39230773</v>
      </c>
      <c r="F26" s="552">
        <f t="shared" si="2"/>
        <v>0</v>
      </c>
      <c r="G26" s="552">
        <f t="shared" si="2"/>
        <v>3394860.4015384614</v>
      </c>
      <c r="H26" s="552">
        <f t="shared" si="2"/>
        <v>56339987.615384616</v>
      </c>
      <c r="I26" s="552">
        <f t="shared" si="2"/>
        <v>709238.02</v>
      </c>
      <c r="J26" s="664"/>
      <c r="K26" s="664"/>
    </row>
    <row r="27" spans="1:11">
      <c r="A27" s="111"/>
      <c r="B27" s="662"/>
      <c r="C27" s="666"/>
      <c r="D27" s="552"/>
      <c r="E27" s="552"/>
      <c r="F27" s="552"/>
      <c r="G27" s="552"/>
      <c r="H27" s="552"/>
      <c r="I27" s="664"/>
      <c r="J27" s="507"/>
      <c r="K27" s="664"/>
    </row>
    <row r="28" spans="1:11">
      <c r="A28" s="111"/>
      <c r="B28" s="662"/>
      <c r="C28" s="666"/>
      <c r="D28" s="84" t="s">
        <v>352</v>
      </c>
      <c r="E28" s="84" t="s">
        <v>544</v>
      </c>
      <c r="F28" s="84" t="s">
        <v>961</v>
      </c>
      <c r="G28" s="84" t="s">
        <v>974</v>
      </c>
      <c r="H28" s="84" t="s">
        <v>977</v>
      </c>
      <c r="I28" s="84" t="s">
        <v>995</v>
      </c>
      <c r="J28" s="507"/>
      <c r="K28" s="664"/>
    </row>
    <row r="29" spans="1:11">
      <c r="A29" s="111"/>
      <c r="B29" s="662"/>
      <c r="C29" s="666"/>
      <c r="E29" s="364" t="s">
        <v>996</v>
      </c>
      <c r="F29" s="364"/>
      <c r="G29" s="364"/>
      <c r="H29" s="552"/>
      <c r="I29" s="664"/>
      <c r="J29" s="507"/>
      <c r="K29" s="664"/>
    </row>
    <row r="30" spans="1:11">
      <c r="B30" s="600"/>
      <c r="D30" s="600" t="s">
        <v>993</v>
      </c>
      <c r="E30" s="600" t="s">
        <v>997</v>
      </c>
      <c r="F30" s="364"/>
      <c r="G30" s="364"/>
      <c r="H30" s="552"/>
      <c r="I30" s="664"/>
      <c r="J30" s="507"/>
      <c r="K30" s="664"/>
    </row>
    <row r="31" spans="1:11">
      <c r="B31" s="600"/>
      <c r="D31" s="600" t="s">
        <v>430</v>
      </c>
      <c r="E31" s="600" t="s">
        <v>430</v>
      </c>
      <c r="F31" s="364"/>
      <c r="G31" s="364"/>
      <c r="H31" s="552"/>
      <c r="I31" s="664"/>
      <c r="J31" s="664"/>
      <c r="K31" s="664"/>
    </row>
    <row r="32" spans="1:11">
      <c r="A32" s="960" t="s">
        <v>332</v>
      </c>
      <c r="B32" s="661" t="s">
        <v>192</v>
      </c>
      <c r="C32" s="661" t="s">
        <v>193</v>
      </c>
      <c r="D32" s="3" t="s">
        <v>994</v>
      </c>
      <c r="E32" s="3" t="s">
        <v>994</v>
      </c>
      <c r="F32" s="366"/>
      <c r="G32" s="366"/>
      <c r="H32" s="366"/>
      <c r="I32" s="366"/>
      <c r="J32" s="664"/>
      <c r="K32" s="664"/>
    </row>
    <row r="33" spans="1:11">
      <c r="A33" s="111">
        <f>+A26+1</f>
        <v>15</v>
      </c>
      <c r="B33" s="662" t="s">
        <v>180</v>
      </c>
      <c r="C33" s="663">
        <v>2015</v>
      </c>
      <c r="D33" s="1136">
        <v>6769086.5099999998</v>
      </c>
      <c r="E33" s="1136">
        <v>0</v>
      </c>
      <c r="F33" s="667"/>
      <c r="G33" s="667"/>
      <c r="H33" s="667"/>
      <c r="I33" s="667"/>
      <c r="J33" s="664"/>
      <c r="K33" s="664"/>
    </row>
    <row r="34" spans="1:11">
      <c r="A34" s="111">
        <f>A33+1</f>
        <v>16</v>
      </c>
      <c r="B34" s="662" t="s">
        <v>181</v>
      </c>
      <c r="C34" s="663">
        <v>2016</v>
      </c>
      <c r="D34" s="1136">
        <v>6799084.6299999999</v>
      </c>
      <c r="E34" s="1136">
        <v>0</v>
      </c>
      <c r="F34" s="667"/>
      <c r="G34" s="667"/>
      <c r="H34" s="667"/>
      <c r="I34" s="667"/>
      <c r="J34" s="664"/>
      <c r="K34" s="664"/>
    </row>
    <row r="35" spans="1:11">
      <c r="A35" s="111">
        <f t="shared" ref="A35:A46" si="3">A34+1</f>
        <v>17</v>
      </c>
      <c r="B35" s="665" t="s">
        <v>182</v>
      </c>
      <c r="C35" s="663">
        <v>2016</v>
      </c>
      <c r="D35" s="1136">
        <v>7321352.6200000001</v>
      </c>
      <c r="E35" s="1136">
        <v>0</v>
      </c>
      <c r="F35" s="667"/>
      <c r="G35" s="667"/>
      <c r="H35" s="667"/>
      <c r="I35" s="667"/>
      <c r="J35" s="664"/>
      <c r="K35" s="664"/>
    </row>
    <row r="36" spans="1:11">
      <c r="A36" s="111">
        <f t="shared" si="3"/>
        <v>18</v>
      </c>
      <c r="B36" s="665" t="s">
        <v>195</v>
      </c>
      <c r="C36" s="663">
        <v>2016</v>
      </c>
      <c r="D36" s="1136">
        <v>10374907.74</v>
      </c>
      <c r="E36" s="1136">
        <v>0</v>
      </c>
      <c r="F36" s="667"/>
      <c r="G36" s="667"/>
      <c r="H36" s="667"/>
      <c r="I36" s="667"/>
      <c r="J36" s="664"/>
      <c r="K36" s="664"/>
    </row>
    <row r="37" spans="1:11">
      <c r="A37" s="111">
        <f t="shared" si="3"/>
        <v>19</v>
      </c>
      <c r="B37" s="662" t="s">
        <v>183</v>
      </c>
      <c r="C37" s="663">
        <v>2016</v>
      </c>
      <c r="D37" s="1136">
        <v>15007356.550000001</v>
      </c>
      <c r="E37" s="1136">
        <v>0</v>
      </c>
      <c r="F37" s="667"/>
      <c r="G37" s="667"/>
      <c r="H37" s="667"/>
      <c r="I37" s="667"/>
      <c r="J37" s="664"/>
      <c r="K37" s="664"/>
    </row>
    <row r="38" spans="1:11">
      <c r="A38" s="111">
        <f t="shared" si="3"/>
        <v>20</v>
      </c>
      <c r="B38" s="665" t="s">
        <v>184</v>
      </c>
      <c r="C38" s="663">
        <v>2016</v>
      </c>
      <c r="D38" s="1136">
        <v>15552213.439999999</v>
      </c>
      <c r="E38" s="1136">
        <v>0</v>
      </c>
      <c r="F38" s="667"/>
      <c r="G38" s="667"/>
      <c r="H38" s="667"/>
      <c r="I38" s="667"/>
      <c r="J38" s="664"/>
      <c r="K38" s="664"/>
    </row>
    <row r="39" spans="1:11">
      <c r="A39" s="111">
        <f t="shared" si="3"/>
        <v>21</v>
      </c>
      <c r="B39" s="665" t="s">
        <v>185</v>
      </c>
      <c r="C39" s="663">
        <v>2016</v>
      </c>
      <c r="D39" s="1136">
        <v>16127880.220000001</v>
      </c>
      <c r="E39" s="1136">
        <v>0</v>
      </c>
      <c r="F39" s="667"/>
      <c r="G39" s="667"/>
      <c r="H39" s="667"/>
      <c r="I39" s="667"/>
      <c r="J39" s="664"/>
      <c r="K39" s="664"/>
    </row>
    <row r="40" spans="1:11">
      <c r="A40" s="111">
        <f t="shared" si="3"/>
        <v>22</v>
      </c>
      <c r="B40" s="662" t="s">
        <v>186</v>
      </c>
      <c r="C40" s="663">
        <v>2016</v>
      </c>
      <c r="D40" s="1136">
        <v>19385391.739999998</v>
      </c>
      <c r="E40" s="1136">
        <v>0</v>
      </c>
      <c r="F40" s="667"/>
      <c r="G40" s="667"/>
      <c r="H40" s="667"/>
      <c r="I40" s="667"/>
      <c r="J40" s="664"/>
      <c r="K40" s="664"/>
    </row>
    <row r="41" spans="1:11">
      <c r="A41" s="111">
        <f t="shared" si="3"/>
        <v>23</v>
      </c>
      <c r="B41" s="665" t="s">
        <v>187</v>
      </c>
      <c r="C41" s="663">
        <v>2016</v>
      </c>
      <c r="D41" s="1136">
        <v>20738420.350000001</v>
      </c>
      <c r="E41" s="1136">
        <v>0</v>
      </c>
      <c r="F41" s="667"/>
      <c r="G41" s="667"/>
      <c r="H41" s="667"/>
      <c r="I41" s="667"/>
      <c r="J41" s="664"/>
      <c r="K41" s="664"/>
    </row>
    <row r="42" spans="1:11">
      <c r="A42" s="111">
        <f t="shared" si="3"/>
        <v>24</v>
      </c>
      <c r="B42" s="665" t="s">
        <v>188</v>
      </c>
      <c r="C42" s="663">
        <v>2016</v>
      </c>
      <c r="D42" s="1136">
        <v>21474805.129999999</v>
      </c>
      <c r="E42" s="1136">
        <v>0</v>
      </c>
      <c r="F42" s="667"/>
      <c r="G42" s="667"/>
      <c r="H42" s="667"/>
      <c r="I42" s="667"/>
      <c r="J42" s="664"/>
      <c r="K42" s="664"/>
    </row>
    <row r="43" spans="1:11">
      <c r="A43" s="111">
        <f t="shared" si="3"/>
        <v>25</v>
      </c>
      <c r="B43" s="662" t="s">
        <v>189</v>
      </c>
      <c r="C43" s="663">
        <v>2016</v>
      </c>
      <c r="D43" s="1136">
        <v>24189564.039999999</v>
      </c>
      <c r="E43" s="1136">
        <v>0</v>
      </c>
      <c r="F43" s="667"/>
      <c r="G43" s="667"/>
      <c r="H43" s="667"/>
      <c r="I43" s="667"/>
      <c r="J43" s="664"/>
      <c r="K43" s="664"/>
    </row>
    <row r="44" spans="1:11">
      <c r="A44" s="111">
        <f t="shared" si="3"/>
        <v>26</v>
      </c>
      <c r="B44" s="662" t="s">
        <v>190</v>
      </c>
      <c r="C44" s="663">
        <v>2016</v>
      </c>
      <c r="D44" s="1136">
        <v>25194209.93</v>
      </c>
      <c r="E44" s="1136">
        <v>0</v>
      </c>
      <c r="F44" s="667"/>
      <c r="G44" s="667"/>
      <c r="H44" s="667"/>
      <c r="I44" s="667"/>
      <c r="J44" s="664"/>
      <c r="K44" s="664"/>
    </row>
    <row r="45" spans="1:11">
      <c r="A45" s="111">
        <f t="shared" si="3"/>
        <v>27</v>
      </c>
      <c r="B45" s="662" t="s">
        <v>180</v>
      </c>
      <c r="C45" s="663">
        <v>2016</v>
      </c>
      <c r="D45" s="117">
        <v>26943987.050000001</v>
      </c>
      <c r="E45" s="117">
        <v>0</v>
      </c>
      <c r="F45" s="667"/>
      <c r="G45" s="667"/>
      <c r="H45" s="667"/>
      <c r="I45" s="667"/>
      <c r="J45" s="664"/>
      <c r="K45" s="664"/>
    </row>
    <row r="46" spans="1:11">
      <c r="A46" s="111">
        <f t="shared" si="3"/>
        <v>28</v>
      </c>
      <c r="B46" s="662"/>
      <c r="C46" s="666" t="s">
        <v>546</v>
      </c>
      <c r="D46" s="552">
        <f>SUM(D33:D45)/13</f>
        <v>16606019.996153845</v>
      </c>
      <c r="E46" s="552">
        <f>SUM(E33:E45)/13</f>
        <v>0</v>
      </c>
      <c r="F46" s="552">
        <f>SUM(F33:F45)/13</f>
        <v>0</v>
      </c>
      <c r="G46" s="552">
        <f>SUM(G33:G45)/13</f>
        <v>0</v>
      </c>
      <c r="H46" s="668" t="s">
        <v>76</v>
      </c>
      <c r="I46" s="668" t="s">
        <v>76</v>
      </c>
      <c r="J46" s="664"/>
      <c r="K46" s="664"/>
    </row>
    <row r="48" spans="1:11">
      <c r="B48" s="669" t="s">
        <v>1950</v>
      </c>
    </row>
    <row r="49" spans="1:13">
      <c r="B49" s="669"/>
      <c r="D49" s="697" t="s">
        <v>363</v>
      </c>
      <c r="E49" s="697" t="s">
        <v>347</v>
      </c>
      <c r="F49" s="697" t="s">
        <v>348</v>
      </c>
      <c r="G49" s="697" t="s">
        <v>349</v>
      </c>
      <c r="H49" s="697" t="s">
        <v>350</v>
      </c>
      <c r="I49" s="697" t="s">
        <v>351</v>
      </c>
      <c r="J49" s="697" t="s">
        <v>352</v>
      </c>
      <c r="K49" s="697" t="s">
        <v>544</v>
      </c>
    </row>
    <row r="50" spans="1:13" s="698" customFormat="1">
      <c r="A50" s="900"/>
      <c r="D50" s="504" t="s">
        <v>211</v>
      </c>
      <c r="E50" s="504" t="s">
        <v>211</v>
      </c>
      <c r="F50" s="504" t="s">
        <v>211</v>
      </c>
      <c r="G50" s="504" t="s">
        <v>211</v>
      </c>
      <c r="H50" s="504" t="s">
        <v>211</v>
      </c>
      <c r="I50" s="504" t="s">
        <v>211</v>
      </c>
      <c r="J50" s="504" t="s">
        <v>211</v>
      </c>
      <c r="K50" s="504" t="s">
        <v>211</v>
      </c>
      <c r="L50" s="900"/>
    </row>
    <row r="51" spans="1:13">
      <c r="G51" s="600" t="s">
        <v>1951</v>
      </c>
      <c r="K51" s="699"/>
    </row>
    <row r="52" spans="1:13">
      <c r="A52" s="699"/>
      <c r="B52" s="699"/>
      <c r="C52" s="699"/>
      <c r="D52" s="699" t="s">
        <v>198</v>
      </c>
      <c r="E52" s="699" t="s">
        <v>1934</v>
      </c>
      <c r="F52" s="699" t="s">
        <v>1952</v>
      </c>
      <c r="G52" s="699" t="s">
        <v>196</v>
      </c>
      <c r="H52" s="699" t="s">
        <v>1953</v>
      </c>
      <c r="I52" s="700" t="s">
        <v>1954</v>
      </c>
      <c r="J52" s="699" t="s">
        <v>198</v>
      </c>
      <c r="K52" s="699" t="s">
        <v>18</v>
      </c>
    </row>
    <row r="53" spans="1:13">
      <c r="A53" s="960" t="s">
        <v>332</v>
      </c>
      <c r="B53" s="661" t="s">
        <v>192</v>
      </c>
      <c r="C53" s="661" t="s">
        <v>193</v>
      </c>
      <c r="D53" s="697" t="s">
        <v>1955</v>
      </c>
      <c r="E53" s="697" t="s">
        <v>1935</v>
      </c>
      <c r="F53" s="697" t="s">
        <v>1956</v>
      </c>
      <c r="G53" s="697" t="s">
        <v>1957</v>
      </c>
      <c r="H53" s="697" t="s">
        <v>1958</v>
      </c>
      <c r="I53" s="697" t="s">
        <v>1959</v>
      </c>
      <c r="J53" s="697" t="s">
        <v>1960</v>
      </c>
      <c r="K53" s="3" t="s">
        <v>1961</v>
      </c>
    </row>
    <row r="54" spans="1:13">
      <c r="A54" s="111">
        <f>A46+1</f>
        <v>29</v>
      </c>
      <c r="B54" s="662" t="s">
        <v>180</v>
      </c>
      <c r="C54" s="663">
        <v>2016</v>
      </c>
      <c r="D54" s="706" t="s">
        <v>76</v>
      </c>
      <c r="E54" s="706" t="s">
        <v>76</v>
      </c>
      <c r="F54" s="706" t="s">
        <v>76</v>
      </c>
      <c r="G54" s="706" t="s">
        <v>76</v>
      </c>
      <c r="H54" s="706" t="s">
        <v>76</v>
      </c>
      <c r="I54" s="706" t="s">
        <v>76</v>
      </c>
      <c r="J54" s="7">
        <f>D25</f>
        <v>115749706.3</v>
      </c>
      <c r="K54" s="706" t="s">
        <v>76</v>
      </c>
    </row>
    <row r="55" spans="1:13">
      <c r="A55" s="111">
        <f>A54+1</f>
        <v>30</v>
      </c>
      <c r="B55" s="662" t="s">
        <v>181</v>
      </c>
      <c r="C55" s="663">
        <v>2017</v>
      </c>
      <c r="D55" s="7">
        <f t="shared" ref="D55:K64" si="4">D89+D122+D153+D186+D217+D250+D281+D314+D345+D378</f>
        <v>1394373.5899999999</v>
      </c>
      <c r="E55" s="7">
        <f t="shared" si="4"/>
        <v>104578.01924999997</v>
      </c>
      <c r="F55" s="7">
        <f t="shared" si="4"/>
        <v>1498951.6092499997</v>
      </c>
      <c r="G55" s="7">
        <f t="shared" si="4"/>
        <v>1056402.04</v>
      </c>
      <c r="H55" s="7">
        <f t="shared" si="4"/>
        <v>908846.64999999991</v>
      </c>
      <c r="I55" s="7">
        <f t="shared" si="4"/>
        <v>11066.654250000007</v>
      </c>
      <c r="J55" s="7">
        <f>J89+J122+J153+J186+J217+J250+J281+J314+J345+J378</f>
        <v>116181189.215</v>
      </c>
      <c r="K55" s="7">
        <f t="shared" si="4"/>
        <v>431482.91500000376</v>
      </c>
      <c r="L55" s="897"/>
      <c r="M55" s="7"/>
    </row>
    <row r="56" spans="1:13">
      <c r="A56" s="111">
        <f t="shared" ref="A56:A79" si="5">A55+1</f>
        <v>31</v>
      </c>
      <c r="B56" s="665" t="s">
        <v>182</v>
      </c>
      <c r="C56" s="663">
        <v>2017</v>
      </c>
      <c r="D56" s="7">
        <f t="shared" si="4"/>
        <v>3048155.8300000005</v>
      </c>
      <c r="E56" s="7">
        <f t="shared" si="4"/>
        <v>228611.68725000002</v>
      </c>
      <c r="F56" s="7">
        <f t="shared" si="4"/>
        <v>3276767.51725</v>
      </c>
      <c r="G56" s="7">
        <f t="shared" si="4"/>
        <v>1350043.13</v>
      </c>
      <c r="H56" s="7">
        <f t="shared" si="4"/>
        <v>0</v>
      </c>
      <c r="I56" s="7">
        <f t="shared" si="4"/>
        <v>101253.23474999999</v>
      </c>
      <c r="J56" s="7">
        <f t="shared" si="4"/>
        <v>118006660.36749999</v>
      </c>
      <c r="K56" s="7">
        <f t="shared" si="4"/>
        <v>2256954.0674999971</v>
      </c>
      <c r="L56" s="897"/>
      <c r="M56" s="7"/>
    </row>
    <row r="57" spans="1:13">
      <c r="A57" s="111">
        <f t="shared" si="5"/>
        <v>32</v>
      </c>
      <c r="B57" s="665" t="s">
        <v>195</v>
      </c>
      <c r="C57" s="663">
        <v>2017</v>
      </c>
      <c r="D57" s="7">
        <f t="shared" si="4"/>
        <v>7375954.0700000003</v>
      </c>
      <c r="E57" s="7">
        <f t="shared" si="4"/>
        <v>553196.55524999986</v>
      </c>
      <c r="F57" s="7">
        <f t="shared" si="4"/>
        <v>7929150.6252499996</v>
      </c>
      <c r="G57" s="7">
        <f t="shared" si="4"/>
        <v>1328767.6400000004</v>
      </c>
      <c r="H57" s="7">
        <f t="shared" si="4"/>
        <v>0</v>
      </c>
      <c r="I57" s="7">
        <f t="shared" si="4"/>
        <v>99657.573000000033</v>
      </c>
      <c r="J57" s="7">
        <f t="shared" si="4"/>
        <v>124507385.77974999</v>
      </c>
      <c r="K57" s="7">
        <f t="shared" si="4"/>
        <v>8757679.4797499962</v>
      </c>
      <c r="L57" s="897"/>
      <c r="M57" s="7"/>
    </row>
    <row r="58" spans="1:13">
      <c r="A58" s="111">
        <f t="shared" si="5"/>
        <v>33</v>
      </c>
      <c r="B58" s="662" t="s">
        <v>183</v>
      </c>
      <c r="C58" s="663">
        <v>2017</v>
      </c>
      <c r="D58" s="7">
        <f t="shared" si="4"/>
        <v>2317450.4033333333</v>
      </c>
      <c r="E58" s="7">
        <f t="shared" si="4"/>
        <v>173808.78024999998</v>
      </c>
      <c r="F58" s="7">
        <f t="shared" si="4"/>
        <v>2491259.1835833332</v>
      </c>
      <c r="G58" s="7">
        <f t="shared" si="4"/>
        <v>32542039.549999997</v>
      </c>
      <c r="H58" s="7">
        <f t="shared" si="4"/>
        <v>26336912.5</v>
      </c>
      <c r="I58" s="7">
        <f t="shared" si="4"/>
        <v>465384.52874999976</v>
      </c>
      <c r="J58" s="7">
        <f t="shared" si="4"/>
        <v>93991220.884583339</v>
      </c>
      <c r="K58" s="7">
        <f t="shared" si="4"/>
        <v>-21758485.415416669</v>
      </c>
      <c r="L58" s="897"/>
      <c r="M58" s="7"/>
    </row>
    <row r="59" spans="1:13">
      <c r="A59" s="111">
        <f t="shared" si="5"/>
        <v>34</v>
      </c>
      <c r="B59" s="665" t="s">
        <v>184</v>
      </c>
      <c r="C59" s="663">
        <v>2017</v>
      </c>
      <c r="D59" s="7">
        <f t="shared" si="4"/>
        <v>2567144.4033333333</v>
      </c>
      <c r="E59" s="7">
        <f t="shared" si="4"/>
        <v>192535.83025</v>
      </c>
      <c r="F59" s="7">
        <f t="shared" si="4"/>
        <v>2759680.2335833334</v>
      </c>
      <c r="G59" s="7">
        <f t="shared" si="4"/>
        <v>936909.14</v>
      </c>
      <c r="H59" s="7">
        <f t="shared" si="4"/>
        <v>0</v>
      </c>
      <c r="I59" s="7">
        <f t="shared" si="4"/>
        <v>70268.185499999992</v>
      </c>
      <c r="J59" s="7">
        <f t="shared" si="4"/>
        <v>95743723.792666659</v>
      </c>
      <c r="K59" s="7">
        <f t="shared" si="4"/>
        <v>-20005982.507333342</v>
      </c>
      <c r="L59" s="897"/>
      <c r="M59" s="7"/>
    </row>
    <row r="60" spans="1:13">
      <c r="A60" s="111">
        <f t="shared" si="5"/>
        <v>35</v>
      </c>
      <c r="B60" s="665" t="s">
        <v>1483</v>
      </c>
      <c r="C60" s="663">
        <v>2017</v>
      </c>
      <c r="D60" s="7">
        <f t="shared" si="4"/>
        <v>9490637.3033333328</v>
      </c>
      <c r="E60" s="7">
        <f t="shared" si="4"/>
        <v>711797.79774999991</v>
      </c>
      <c r="F60" s="7">
        <f t="shared" si="4"/>
        <v>10202435.101083333</v>
      </c>
      <c r="G60" s="7">
        <f t="shared" si="4"/>
        <v>23124445.829999998</v>
      </c>
      <c r="H60" s="7">
        <f t="shared" si="4"/>
        <v>14613775.410000002</v>
      </c>
      <c r="I60" s="7">
        <f t="shared" si="4"/>
        <v>638300.28149999981</v>
      </c>
      <c r="J60" s="7">
        <f t="shared" si="4"/>
        <v>82183412.782250002</v>
      </c>
      <c r="K60" s="7">
        <f t="shared" si="4"/>
        <v>-33566293.517750002</v>
      </c>
      <c r="L60" s="897"/>
      <c r="M60" s="7"/>
    </row>
    <row r="61" spans="1:13">
      <c r="A61" s="111">
        <f t="shared" si="5"/>
        <v>36</v>
      </c>
      <c r="B61" s="662" t="s">
        <v>186</v>
      </c>
      <c r="C61" s="663">
        <v>2017</v>
      </c>
      <c r="D61" s="7">
        <f t="shared" si="4"/>
        <v>5765727.4033333333</v>
      </c>
      <c r="E61" s="7">
        <f t="shared" si="4"/>
        <v>432429.55524999998</v>
      </c>
      <c r="F61" s="7">
        <f t="shared" si="4"/>
        <v>6198156.9585833326</v>
      </c>
      <c r="G61" s="7">
        <f t="shared" si="4"/>
        <v>2155272.4033333333</v>
      </c>
      <c r="H61" s="7">
        <f t="shared" si="4"/>
        <v>0</v>
      </c>
      <c r="I61" s="7">
        <f t="shared" si="4"/>
        <v>161645.43025</v>
      </c>
      <c r="J61" s="7">
        <f t="shared" si="4"/>
        <v>86064651.907250002</v>
      </c>
      <c r="K61" s="7">
        <f t="shared" si="4"/>
        <v>-29685054.392749999</v>
      </c>
      <c r="L61" s="897"/>
      <c r="M61" s="7"/>
    </row>
    <row r="62" spans="1:13">
      <c r="A62" s="111">
        <f t="shared" si="5"/>
        <v>37</v>
      </c>
      <c r="B62" s="665" t="s">
        <v>187</v>
      </c>
      <c r="C62" s="663">
        <v>2017</v>
      </c>
      <c r="D62" s="7">
        <f t="shared" si="4"/>
        <v>5784251.4033333324</v>
      </c>
      <c r="E62" s="7">
        <f t="shared" si="4"/>
        <v>433818.85524999991</v>
      </c>
      <c r="F62" s="7">
        <f t="shared" si="4"/>
        <v>6218070.2585833324</v>
      </c>
      <c r="G62" s="7">
        <f t="shared" si="4"/>
        <v>1484272.4033333336</v>
      </c>
      <c r="H62" s="7">
        <f t="shared" si="4"/>
        <v>0</v>
      </c>
      <c r="I62" s="7">
        <f t="shared" si="4"/>
        <v>111320.43025</v>
      </c>
      <c r="J62" s="7">
        <f t="shared" si="4"/>
        <v>90687129.332249999</v>
      </c>
      <c r="K62" s="7">
        <f t="shared" si="4"/>
        <v>-25062576.967750002</v>
      </c>
      <c r="L62" s="897"/>
      <c r="M62" s="7"/>
    </row>
    <row r="63" spans="1:13">
      <c r="A63" s="111">
        <f t="shared" si="5"/>
        <v>38</v>
      </c>
      <c r="B63" s="665" t="s">
        <v>188</v>
      </c>
      <c r="C63" s="663">
        <v>2017</v>
      </c>
      <c r="D63" s="7">
        <f t="shared" si="4"/>
        <v>6986238.5233333334</v>
      </c>
      <c r="E63" s="7">
        <f t="shared" si="4"/>
        <v>523967.88925000001</v>
      </c>
      <c r="F63" s="7">
        <f t="shared" si="4"/>
        <v>7510206.4125833325</v>
      </c>
      <c r="G63" s="7">
        <f t="shared" si="4"/>
        <v>1798475.5233333337</v>
      </c>
      <c r="H63" s="7">
        <f t="shared" si="4"/>
        <v>0</v>
      </c>
      <c r="I63" s="7">
        <f t="shared" si="4"/>
        <v>134885.66425</v>
      </c>
      <c r="J63" s="7">
        <f t="shared" si="4"/>
        <v>96263974.557249993</v>
      </c>
      <c r="K63" s="7">
        <f t="shared" si="4"/>
        <v>-19485731.742750008</v>
      </c>
      <c r="L63" s="897"/>
      <c r="M63" s="7"/>
    </row>
    <row r="64" spans="1:13">
      <c r="A64" s="111">
        <f t="shared" si="5"/>
        <v>39</v>
      </c>
      <c r="B64" s="662" t="s">
        <v>191</v>
      </c>
      <c r="C64" s="663">
        <v>2017</v>
      </c>
      <c r="D64" s="7">
        <f t="shared" si="4"/>
        <v>6230831.4033333343</v>
      </c>
      <c r="E64" s="7">
        <f t="shared" si="4"/>
        <v>467312.35525000002</v>
      </c>
      <c r="F64" s="7">
        <f t="shared" si="4"/>
        <v>6698143.7585833343</v>
      </c>
      <c r="G64" s="7">
        <f t="shared" si="4"/>
        <v>1172272.4033333336</v>
      </c>
      <c r="H64" s="7">
        <f t="shared" si="4"/>
        <v>0</v>
      </c>
      <c r="I64" s="7">
        <f t="shared" si="4"/>
        <v>87920.430250000005</v>
      </c>
      <c r="J64" s="7">
        <f t="shared" si="4"/>
        <v>101701925.48224999</v>
      </c>
      <c r="K64" s="7">
        <f t="shared" si="4"/>
        <v>-14047780.817750011</v>
      </c>
      <c r="L64" s="897"/>
      <c r="M64" s="7"/>
    </row>
    <row r="65" spans="1:13">
      <c r="A65" s="111">
        <f t="shared" si="5"/>
        <v>40</v>
      </c>
      <c r="B65" s="662" t="s">
        <v>190</v>
      </c>
      <c r="C65" s="663">
        <v>2017</v>
      </c>
      <c r="D65" s="7">
        <f t="shared" ref="D65:K74" si="6">D99+D132+D163+D196+D227+D260+D291+D324+D355+D388</f>
        <v>4951973.2433333341</v>
      </c>
      <c r="E65" s="7">
        <f t="shared" si="6"/>
        <v>371397.99325000006</v>
      </c>
      <c r="F65" s="7">
        <f t="shared" si="6"/>
        <v>5323371.2365833335</v>
      </c>
      <c r="G65" s="7">
        <f t="shared" si="6"/>
        <v>853384.24333333329</v>
      </c>
      <c r="H65" s="7">
        <f t="shared" si="6"/>
        <v>0</v>
      </c>
      <c r="I65" s="7">
        <f t="shared" si="6"/>
        <v>64003.818249999997</v>
      </c>
      <c r="J65" s="7">
        <f t="shared" si="6"/>
        <v>106107908.65724999</v>
      </c>
      <c r="K65" s="7">
        <f t="shared" si="6"/>
        <v>-9641797.6427500136</v>
      </c>
      <c r="L65" s="897"/>
      <c r="M65" s="7"/>
    </row>
    <row r="66" spans="1:13">
      <c r="A66" s="111">
        <f t="shared" si="5"/>
        <v>41</v>
      </c>
      <c r="B66" s="662" t="s">
        <v>180</v>
      </c>
      <c r="C66" s="663">
        <v>2017</v>
      </c>
      <c r="D66" s="7">
        <f t="shared" si="6"/>
        <v>13053864.313333334</v>
      </c>
      <c r="E66" s="7">
        <f t="shared" si="6"/>
        <v>979039.82349999982</v>
      </c>
      <c r="F66" s="7">
        <f t="shared" si="6"/>
        <v>14032904.136833332</v>
      </c>
      <c r="G66" s="7">
        <f t="shared" si="6"/>
        <v>4713015.3133333335</v>
      </c>
      <c r="H66" s="7">
        <f t="shared" si="6"/>
        <v>0</v>
      </c>
      <c r="I66" s="7">
        <f t="shared" si="6"/>
        <v>353476.14849999995</v>
      </c>
      <c r="J66" s="7">
        <f t="shared" si="6"/>
        <v>115074321.33224998</v>
      </c>
      <c r="K66" s="7">
        <f t="shared" si="6"/>
        <v>-675384.9677500166</v>
      </c>
      <c r="L66" s="897"/>
      <c r="M66" s="7"/>
    </row>
    <row r="67" spans="1:13">
      <c r="A67" s="111">
        <f t="shared" si="5"/>
        <v>42</v>
      </c>
      <c r="B67" s="662" t="s">
        <v>181</v>
      </c>
      <c r="C67" s="663">
        <v>2018</v>
      </c>
      <c r="D67" s="7">
        <f t="shared" si="6"/>
        <v>8546000</v>
      </c>
      <c r="E67" s="7">
        <f t="shared" si="6"/>
        <v>640950</v>
      </c>
      <c r="F67" s="7">
        <f t="shared" si="6"/>
        <v>9186950</v>
      </c>
      <c r="G67" s="7">
        <f t="shared" si="6"/>
        <v>0</v>
      </c>
      <c r="H67" s="7">
        <f t="shared" si="6"/>
        <v>0</v>
      </c>
      <c r="I67" s="7">
        <f t="shared" si="6"/>
        <v>0</v>
      </c>
      <c r="J67" s="7">
        <f t="shared" si="6"/>
        <v>124261271.33224998</v>
      </c>
      <c r="K67" s="7">
        <f t="shared" si="6"/>
        <v>8511565.0322499871</v>
      </c>
      <c r="L67" s="897"/>
      <c r="M67" s="7"/>
    </row>
    <row r="68" spans="1:13">
      <c r="A68" s="111">
        <f t="shared" si="5"/>
        <v>43</v>
      </c>
      <c r="B68" s="665" t="s">
        <v>182</v>
      </c>
      <c r="C68" s="663">
        <v>2018</v>
      </c>
      <c r="D68" s="7">
        <f t="shared" si="6"/>
        <v>8746000</v>
      </c>
      <c r="E68" s="7">
        <f t="shared" si="6"/>
        <v>655950</v>
      </c>
      <c r="F68" s="7">
        <f t="shared" si="6"/>
        <v>9401950</v>
      </c>
      <c r="G68" s="7">
        <f t="shared" si="6"/>
        <v>0</v>
      </c>
      <c r="H68" s="7">
        <f t="shared" si="6"/>
        <v>0</v>
      </c>
      <c r="I68" s="7">
        <f t="shared" si="6"/>
        <v>0</v>
      </c>
      <c r="J68" s="7">
        <f t="shared" si="6"/>
        <v>133663221.33224998</v>
      </c>
      <c r="K68" s="7">
        <f t="shared" si="6"/>
        <v>17913515.032249987</v>
      </c>
      <c r="L68" s="897"/>
      <c r="M68" s="7"/>
    </row>
    <row r="69" spans="1:13">
      <c r="A69" s="111">
        <f t="shared" si="5"/>
        <v>44</v>
      </c>
      <c r="B69" s="665" t="s">
        <v>195</v>
      </c>
      <c r="C69" s="663">
        <v>2018</v>
      </c>
      <c r="D69" s="7">
        <f t="shared" si="6"/>
        <v>21116000</v>
      </c>
      <c r="E69" s="7">
        <f t="shared" si="6"/>
        <v>1583700</v>
      </c>
      <c r="F69" s="7">
        <f t="shared" si="6"/>
        <v>22699700</v>
      </c>
      <c r="G69" s="7">
        <f t="shared" si="6"/>
        <v>0</v>
      </c>
      <c r="H69" s="7">
        <f t="shared" si="6"/>
        <v>0</v>
      </c>
      <c r="I69" s="7">
        <f t="shared" si="6"/>
        <v>0</v>
      </c>
      <c r="J69" s="7">
        <f t="shared" si="6"/>
        <v>156362921.33224997</v>
      </c>
      <c r="K69" s="7">
        <f t="shared" si="6"/>
        <v>40613215.032249987</v>
      </c>
      <c r="L69" s="897"/>
      <c r="M69" s="7"/>
    </row>
    <row r="70" spans="1:13">
      <c r="A70" s="111">
        <f t="shared" si="5"/>
        <v>45</v>
      </c>
      <c r="B70" s="662" t="s">
        <v>183</v>
      </c>
      <c r="C70" s="663">
        <v>2018</v>
      </c>
      <c r="D70" s="7">
        <f t="shared" si="6"/>
        <v>21116000</v>
      </c>
      <c r="E70" s="7">
        <f t="shared" si="6"/>
        <v>1583700</v>
      </c>
      <c r="F70" s="7">
        <f t="shared" si="6"/>
        <v>22699700</v>
      </c>
      <c r="G70" s="7">
        <f t="shared" si="6"/>
        <v>0</v>
      </c>
      <c r="H70" s="7">
        <f t="shared" si="6"/>
        <v>0</v>
      </c>
      <c r="I70" s="7">
        <f t="shared" si="6"/>
        <v>0</v>
      </c>
      <c r="J70" s="7">
        <f t="shared" si="6"/>
        <v>179062621.33224997</v>
      </c>
      <c r="K70" s="7">
        <f t="shared" si="6"/>
        <v>63312915.032249987</v>
      </c>
      <c r="L70" s="897"/>
      <c r="M70" s="7"/>
    </row>
    <row r="71" spans="1:13">
      <c r="A71" s="111">
        <f t="shared" si="5"/>
        <v>46</v>
      </c>
      <c r="B71" s="665" t="s">
        <v>184</v>
      </c>
      <c r="C71" s="663">
        <v>2018</v>
      </c>
      <c r="D71" s="7">
        <f t="shared" si="6"/>
        <v>21271000</v>
      </c>
      <c r="E71" s="7">
        <f t="shared" si="6"/>
        <v>1595325</v>
      </c>
      <c r="F71" s="7">
        <f t="shared" si="6"/>
        <v>22866325</v>
      </c>
      <c r="G71" s="7">
        <f t="shared" si="6"/>
        <v>0</v>
      </c>
      <c r="H71" s="7">
        <f t="shared" si="6"/>
        <v>0</v>
      </c>
      <c r="I71" s="7">
        <f t="shared" si="6"/>
        <v>0</v>
      </c>
      <c r="J71" s="7">
        <f t="shared" si="6"/>
        <v>201928946.33224997</v>
      </c>
      <c r="K71" s="7">
        <f t="shared" si="6"/>
        <v>86179240.032249987</v>
      </c>
      <c r="L71" s="897"/>
      <c r="M71" s="7"/>
    </row>
    <row r="72" spans="1:13">
      <c r="A72" s="111">
        <f t="shared" si="5"/>
        <v>47</v>
      </c>
      <c r="B72" s="665" t="s">
        <v>1483</v>
      </c>
      <c r="C72" s="663">
        <v>2018</v>
      </c>
      <c r="D72" s="7">
        <f t="shared" si="6"/>
        <v>21310000</v>
      </c>
      <c r="E72" s="7">
        <f t="shared" si="6"/>
        <v>1598250</v>
      </c>
      <c r="F72" s="7">
        <f t="shared" si="6"/>
        <v>22908250</v>
      </c>
      <c r="G72" s="7">
        <f t="shared" si="6"/>
        <v>0</v>
      </c>
      <c r="H72" s="7">
        <f t="shared" si="6"/>
        <v>0</v>
      </c>
      <c r="I72" s="7">
        <f t="shared" si="6"/>
        <v>0</v>
      </c>
      <c r="J72" s="7">
        <f t="shared" si="6"/>
        <v>224837196.33224997</v>
      </c>
      <c r="K72" s="7">
        <f t="shared" si="6"/>
        <v>109087490.03225</v>
      </c>
      <c r="L72" s="897"/>
      <c r="M72" s="7"/>
    </row>
    <row r="73" spans="1:13">
      <c r="A73" s="111">
        <f t="shared" si="5"/>
        <v>48</v>
      </c>
      <c r="B73" s="662" t="s">
        <v>186</v>
      </c>
      <c r="C73" s="663">
        <v>2018</v>
      </c>
      <c r="D73" s="7">
        <f t="shared" si="6"/>
        <v>21515000</v>
      </c>
      <c r="E73" s="7">
        <f t="shared" si="6"/>
        <v>1613625</v>
      </c>
      <c r="F73" s="7">
        <f t="shared" si="6"/>
        <v>23128625</v>
      </c>
      <c r="G73" s="7">
        <f t="shared" si="6"/>
        <v>0</v>
      </c>
      <c r="H73" s="7">
        <f t="shared" si="6"/>
        <v>0</v>
      </c>
      <c r="I73" s="7">
        <f t="shared" si="6"/>
        <v>0</v>
      </c>
      <c r="J73" s="7">
        <f t="shared" si="6"/>
        <v>247965821.33224997</v>
      </c>
      <c r="K73" s="7">
        <f t="shared" si="6"/>
        <v>132216115.03225</v>
      </c>
      <c r="L73" s="897"/>
      <c r="M73" s="7"/>
    </row>
    <row r="74" spans="1:13">
      <c r="A74" s="111">
        <f t="shared" si="5"/>
        <v>49</v>
      </c>
      <c r="B74" s="665" t="s">
        <v>187</v>
      </c>
      <c r="C74" s="663">
        <v>2018</v>
      </c>
      <c r="D74" s="7">
        <f t="shared" si="6"/>
        <v>21568000</v>
      </c>
      <c r="E74" s="7">
        <f t="shared" si="6"/>
        <v>1617600</v>
      </c>
      <c r="F74" s="7">
        <f t="shared" si="6"/>
        <v>23185600</v>
      </c>
      <c r="G74" s="7">
        <f t="shared" si="6"/>
        <v>0</v>
      </c>
      <c r="H74" s="7">
        <f t="shared" si="6"/>
        <v>0</v>
      </c>
      <c r="I74" s="7">
        <f t="shared" si="6"/>
        <v>0</v>
      </c>
      <c r="J74" s="7">
        <f t="shared" si="6"/>
        <v>271151421.33225</v>
      </c>
      <c r="K74" s="7">
        <f t="shared" si="6"/>
        <v>155401715.03224999</v>
      </c>
      <c r="L74" s="897"/>
      <c r="M74" s="7"/>
    </row>
    <row r="75" spans="1:13">
      <c r="A75" s="111">
        <f t="shared" si="5"/>
        <v>50</v>
      </c>
      <c r="B75" s="665" t="s">
        <v>188</v>
      </c>
      <c r="C75" s="663">
        <v>2018</v>
      </c>
      <c r="D75" s="7">
        <f t="shared" ref="D75:K75" si="7">D109+D142+D173+D206+D237+D270+D301+D334+D365+D398</f>
        <v>23436000</v>
      </c>
      <c r="E75" s="7">
        <f t="shared" si="7"/>
        <v>1757700</v>
      </c>
      <c r="F75" s="7">
        <f t="shared" si="7"/>
        <v>25193700</v>
      </c>
      <c r="G75" s="7">
        <f t="shared" si="7"/>
        <v>0</v>
      </c>
      <c r="H75" s="7">
        <f t="shared" si="7"/>
        <v>0</v>
      </c>
      <c r="I75" s="7">
        <f t="shared" si="7"/>
        <v>0</v>
      </c>
      <c r="J75" s="7">
        <f t="shared" si="7"/>
        <v>296345121.33224994</v>
      </c>
      <c r="K75" s="510">
        <f t="shared" si="7"/>
        <v>180595415.03224993</v>
      </c>
      <c r="L75" s="897"/>
      <c r="M75" s="7"/>
    </row>
    <row r="76" spans="1:13">
      <c r="A76" s="111">
        <f t="shared" si="5"/>
        <v>51</v>
      </c>
      <c r="B76" s="665" t="s">
        <v>191</v>
      </c>
      <c r="C76" s="663">
        <v>2018</v>
      </c>
      <c r="D76" s="7">
        <f>D110+D143+D174+D207+D238+D271+D302+D335+D366</f>
        <v>28927000</v>
      </c>
      <c r="E76" s="7">
        <f>E110+E143+E174+E207+E238+E271+E302+E335+E366+E399</f>
        <v>2169525</v>
      </c>
      <c r="F76" s="7">
        <f t="shared" ref="F76:K78" si="8">F110+F143+F174+F207+F238+F271+F302+F335+F366+F399</f>
        <v>31096525</v>
      </c>
      <c r="G76" s="7">
        <f t="shared" si="8"/>
        <v>0</v>
      </c>
      <c r="H76" s="7">
        <f t="shared" si="8"/>
        <v>0</v>
      </c>
      <c r="I76" s="7">
        <f t="shared" si="8"/>
        <v>0</v>
      </c>
      <c r="J76" s="7">
        <f t="shared" si="8"/>
        <v>327441646.33224994</v>
      </c>
      <c r="K76" s="510">
        <f t="shared" si="8"/>
        <v>211691940.03224993</v>
      </c>
      <c r="L76" s="897"/>
      <c r="M76" s="7"/>
    </row>
    <row r="77" spans="1:13">
      <c r="A77" s="111">
        <f t="shared" si="5"/>
        <v>52</v>
      </c>
      <c r="B77" s="665" t="s">
        <v>190</v>
      </c>
      <c r="C77" s="663">
        <v>2018</v>
      </c>
      <c r="D77" s="7">
        <f>D111+D144+D175+D208+D239+D272+D303+D336+D367</f>
        <v>22524000</v>
      </c>
      <c r="E77" s="7">
        <f>E111+E144+E175+E208+E239+E272+E303+E336+E367+E400</f>
        <v>1689300</v>
      </c>
      <c r="F77" s="7">
        <f t="shared" si="8"/>
        <v>24213300</v>
      </c>
      <c r="G77" s="7">
        <f t="shared" si="8"/>
        <v>0</v>
      </c>
      <c r="H77" s="7">
        <f t="shared" si="8"/>
        <v>0</v>
      </c>
      <c r="I77" s="7">
        <f t="shared" si="8"/>
        <v>0</v>
      </c>
      <c r="J77" s="7">
        <f t="shared" si="8"/>
        <v>351654946.33224994</v>
      </c>
      <c r="K77" s="510">
        <f t="shared" si="8"/>
        <v>235905240.03224993</v>
      </c>
      <c r="L77" s="897"/>
      <c r="M77" s="7"/>
    </row>
    <row r="78" spans="1:13">
      <c r="A78" s="111">
        <f t="shared" si="5"/>
        <v>53</v>
      </c>
      <c r="B78" s="665" t="s">
        <v>180</v>
      </c>
      <c r="C78" s="663">
        <v>2018</v>
      </c>
      <c r="D78" s="7">
        <f>D112+D145+D176+D209+D240+D273+D304+D337+D368+D401</f>
        <v>22639000</v>
      </c>
      <c r="E78" s="7">
        <f>E112+E145+E176+E209+E240+E273+E304+E337+E368+E401</f>
        <v>1697925</v>
      </c>
      <c r="F78" s="7">
        <f t="shared" si="8"/>
        <v>24336925</v>
      </c>
      <c r="G78" s="7">
        <f t="shared" si="8"/>
        <v>0</v>
      </c>
      <c r="H78" s="7">
        <f t="shared" si="8"/>
        <v>0</v>
      </c>
      <c r="I78" s="7">
        <f t="shared" si="8"/>
        <v>0</v>
      </c>
      <c r="J78" s="7">
        <f t="shared" si="8"/>
        <v>375991871.33224994</v>
      </c>
      <c r="K78" s="91">
        <f>K112+K145+K176+K209+K240+K273+K304+K337+K368+K401</f>
        <v>260242165.03224993</v>
      </c>
      <c r="L78" s="898"/>
      <c r="M78" s="7"/>
    </row>
    <row r="79" spans="1:13">
      <c r="A79" s="111">
        <f t="shared" si="5"/>
        <v>54</v>
      </c>
      <c r="C79" s="701" t="s">
        <v>1635</v>
      </c>
      <c r="K79" s="73">
        <f>AVERAGE(K66:K78)</f>
        <v>115461165.03224996</v>
      </c>
      <c r="L79" s="901"/>
    </row>
    <row r="81" spans="1:11">
      <c r="B81" s="669" t="s">
        <v>1962</v>
      </c>
    </row>
    <row r="82" spans="1:11" s="702" customFormat="1">
      <c r="B82" s="703" t="s">
        <v>1963</v>
      </c>
      <c r="D82" s="1379" t="s">
        <v>225</v>
      </c>
      <c r="E82" s="1379"/>
    </row>
    <row r="83" spans="1:11" s="697" customFormat="1">
      <c r="D83" s="697" t="s">
        <v>363</v>
      </c>
      <c r="E83" s="697" t="s">
        <v>347</v>
      </c>
      <c r="F83" s="697" t="s">
        <v>348</v>
      </c>
      <c r="G83" s="697" t="s">
        <v>349</v>
      </c>
      <c r="H83" s="697" t="s">
        <v>350</v>
      </c>
      <c r="I83" s="697" t="s">
        <v>351</v>
      </c>
      <c r="J83" s="697" t="s">
        <v>352</v>
      </c>
      <c r="K83" s="697" t="s">
        <v>544</v>
      </c>
    </row>
    <row r="84" spans="1:11" s="702" customFormat="1" ht="25.9" customHeight="1">
      <c r="D84" s="704"/>
      <c r="E84" s="705" t="s">
        <v>2108</v>
      </c>
      <c r="F84" s="706" t="s">
        <v>1964</v>
      </c>
      <c r="G84" s="512"/>
      <c r="H84" s="704"/>
      <c r="I84" s="705" t="s">
        <v>2109</v>
      </c>
      <c r="J84" s="705" t="s">
        <v>1965</v>
      </c>
      <c r="K84" s="705" t="s">
        <v>1966</v>
      </c>
    </row>
    <row r="85" spans="1:11" s="702" customFormat="1">
      <c r="D85" s="704"/>
      <c r="E85" s="707"/>
      <c r="F85" s="707"/>
      <c r="G85" s="600" t="str">
        <f>G51</f>
        <v>Unloaded</v>
      </c>
      <c r="H85" s="704"/>
      <c r="I85" s="707"/>
      <c r="J85" s="707"/>
      <c r="K85" s="600"/>
    </row>
    <row r="86" spans="1:11" s="699" customFormat="1">
      <c r="D86" s="699" t="str">
        <f>D$52</f>
        <v>Forecast</v>
      </c>
      <c r="E86" s="699" t="str">
        <f t="shared" ref="E86:J86" si="9">E$52</f>
        <v>Corporate</v>
      </c>
      <c r="F86" s="699" t="str">
        <f t="shared" si="9"/>
        <v xml:space="preserve">Total </v>
      </c>
      <c r="G86" s="600" t="str">
        <f>G52</f>
        <v>Total</v>
      </c>
      <c r="H86" s="699" t="str">
        <f t="shared" si="9"/>
        <v>Prior Period</v>
      </c>
      <c r="I86" s="699" t="str">
        <f t="shared" si="9"/>
        <v>Over Heads</v>
      </c>
      <c r="J86" s="699" t="str">
        <f t="shared" si="9"/>
        <v>Forecast</v>
      </c>
      <c r="K86" s="600" t="str">
        <f>K$52</f>
        <v>Forecast Period</v>
      </c>
    </row>
    <row r="87" spans="1:11" s="702" customFormat="1">
      <c r="A87" s="960" t="s">
        <v>332</v>
      </c>
      <c r="B87" s="661" t="s">
        <v>192</v>
      </c>
      <c r="C87" s="661" t="s">
        <v>193</v>
      </c>
      <c r="D87" s="697" t="str">
        <f>D$53</f>
        <v>Expenditures</v>
      </c>
      <c r="E87" s="697" t="str">
        <f t="shared" ref="E87:J87" si="10">E$53</f>
        <v>Overheads</v>
      </c>
      <c r="F87" s="697" t="str">
        <f t="shared" si="10"/>
        <v>CWIP Exp</v>
      </c>
      <c r="G87" s="3" t="str">
        <f>G53</f>
        <v>Plant Adds</v>
      </c>
      <c r="H87" s="697" t="str">
        <f t="shared" si="10"/>
        <v>CWIP Closed</v>
      </c>
      <c r="I87" s="697" t="str">
        <f t="shared" si="10"/>
        <v>Closed to PIS</v>
      </c>
      <c r="J87" s="697" t="str">
        <f t="shared" si="10"/>
        <v>Period CWIP</v>
      </c>
      <c r="K87" s="697" t="str">
        <f>K$53</f>
        <v>Incremental CWIP</v>
      </c>
    </row>
    <row r="88" spans="1:11" s="702" customFormat="1">
      <c r="A88" s="111">
        <f>A79+1</f>
        <v>55</v>
      </c>
      <c r="B88" s="662" t="s">
        <v>180</v>
      </c>
      <c r="C88" s="663">
        <v>2016</v>
      </c>
      <c r="D88" s="706" t="s">
        <v>76</v>
      </c>
      <c r="E88" s="706" t="s">
        <v>76</v>
      </c>
      <c r="F88" s="706" t="s">
        <v>76</v>
      </c>
      <c r="G88" s="706" t="s">
        <v>76</v>
      </c>
      <c r="H88" s="706" t="s">
        <v>76</v>
      </c>
      <c r="I88" s="706" t="s">
        <v>76</v>
      </c>
      <c r="J88" s="63">
        <f>E25</f>
        <v>14915547.51</v>
      </c>
      <c r="K88" s="706" t="s">
        <v>76</v>
      </c>
    </row>
    <row r="89" spans="1:11" s="702" customFormat="1">
      <c r="A89" s="111">
        <f>A88+1</f>
        <v>56</v>
      </c>
      <c r="B89" s="662" t="s">
        <v>181</v>
      </c>
      <c r="C89" s="663">
        <v>2017</v>
      </c>
      <c r="D89" s="1136">
        <v>623334.81999999983</v>
      </c>
      <c r="E89" s="63">
        <f>D89*'16-PlantAdditions'!$E$103</f>
        <v>46750.111499999985</v>
      </c>
      <c r="F89" s="63">
        <f>E89+D89</f>
        <v>670084.93149999983</v>
      </c>
      <c r="G89" s="1136">
        <v>1391483.49</v>
      </c>
      <c r="H89" s="1136">
        <v>908846.64999999991</v>
      </c>
      <c r="I89" s="63">
        <f>(G89-H89)*'16-PlantAdditions'!$E$103</f>
        <v>36197.763000000006</v>
      </c>
      <c r="J89" s="63">
        <f>J88+F89-G89-I89</f>
        <v>14157951.188499998</v>
      </c>
      <c r="K89" s="63">
        <f>J89-$J$88</f>
        <v>-757596.32150000148</v>
      </c>
    </row>
    <row r="90" spans="1:11" s="702" customFormat="1">
      <c r="A90" s="111">
        <f t="shared" ref="A90:A108" si="11">A89+1</f>
        <v>57</v>
      </c>
      <c r="B90" s="665" t="s">
        <v>182</v>
      </c>
      <c r="C90" s="663">
        <v>2017</v>
      </c>
      <c r="D90" s="1136">
        <v>1344282.2500000002</v>
      </c>
      <c r="E90" s="63">
        <f>D90*'16-PlantAdditions'!$E$103</f>
        <v>100821.16875000001</v>
      </c>
      <c r="F90" s="63">
        <f t="shared" ref="F90:F112" si="12">E90+D90</f>
        <v>1445103.4187500002</v>
      </c>
      <c r="G90" s="1136">
        <v>1315973.25</v>
      </c>
      <c r="H90" s="1136">
        <v>0</v>
      </c>
      <c r="I90" s="63">
        <f>(G90-H90)*'16-PlantAdditions'!$E$103</f>
        <v>98697.993749999994</v>
      </c>
      <c r="J90" s="63">
        <f t="shared" ref="J90:J108" si="13">J89+F90-G90-I90</f>
        <v>14188383.363499997</v>
      </c>
      <c r="K90" s="63">
        <f t="shared" ref="K90:K112" si="14">J90-$J$88</f>
        <v>-727164.14650000259</v>
      </c>
    </row>
    <row r="91" spans="1:11" s="702" customFormat="1">
      <c r="A91" s="111">
        <f t="shared" si="11"/>
        <v>58</v>
      </c>
      <c r="B91" s="665" t="s">
        <v>195</v>
      </c>
      <c r="C91" s="663">
        <v>2017</v>
      </c>
      <c r="D91" s="1136">
        <v>1233134.55</v>
      </c>
      <c r="E91" s="63">
        <f>D91*'16-PlantAdditions'!$E$103</f>
        <v>92485.091249999998</v>
      </c>
      <c r="F91" s="63">
        <f t="shared" si="12"/>
        <v>1325619.6412500001</v>
      </c>
      <c r="G91" s="1136">
        <v>1228277.5000000005</v>
      </c>
      <c r="H91" s="1136">
        <v>0</v>
      </c>
      <c r="I91" s="63">
        <f>(G91-H91)*'16-PlantAdditions'!$E$103</f>
        <v>92120.812500000029</v>
      </c>
      <c r="J91" s="63">
        <f t="shared" si="13"/>
        <v>14193604.692249997</v>
      </c>
      <c r="K91" s="63">
        <f t="shared" si="14"/>
        <v>-721942.81775000319</v>
      </c>
    </row>
    <row r="92" spans="1:11" s="702" customFormat="1">
      <c r="A92" s="111">
        <f t="shared" si="11"/>
        <v>59</v>
      </c>
      <c r="B92" s="662" t="s">
        <v>183</v>
      </c>
      <c r="C92" s="663">
        <v>2017</v>
      </c>
      <c r="D92" s="1136">
        <v>596909.14</v>
      </c>
      <c r="E92" s="63">
        <f>D92*'16-PlantAdditions'!$E$103</f>
        <v>44768.1855</v>
      </c>
      <c r="F92" s="63">
        <f t="shared" si="12"/>
        <v>641677.32550000004</v>
      </c>
      <c r="G92" s="1136">
        <v>566909.14</v>
      </c>
      <c r="H92" s="1136">
        <v>0</v>
      </c>
      <c r="I92" s="63">
        <f>(G92-H92)*'16-PlantAdditions'!$E$103</f>
        <v>42518.1855</v>
      </c>
      <c r="J92" s="63">
        <f t="shared" si="13"/>
        <v>14225854.692249997</v>
      </c>
      <c r="K92" s="63">
        <f t="shared" si="14"/>
        <v>-689692.81775000319</v>
      </c>
    </row>
    <row r="93" spans="1:11" s="702" customFormat="1">
      <c r="A93" s="111">
        <f t="shared" si="11"/>
        <v>60</v>
      </c>
      <c r="B93" s="665" t="s">
        <v>184</v>
      </c>
      <c r="C93" s="663">
        <v>2017</v>
      </c>
      <c r="D93" s="1136">
        <v>911909.14</v>
      </c>
      <c r="E93" s="63">
        <f>D93*'16-PlantAdditions'!$E$103</f>
        <v>68393.185499999992</v>
      </c>
      <c r="F93" s="63">
        <f t="shared" si="12"/>
        <v>980302.32550000004</v>
      </c>
      <c r="G93" s="1136">
        <v>736909.14</v>
      </c>
      <c r="H93" s="1136">
        <v>0</v>
      </c>
      <c r="I93" s="63">
        <f>(G93-H93)*'16-PlantAdditions'!$E$103</f>
        <v>55268.1855</v>
      </c>
      <c r="J93" s="63">
        <f t="shared" si="13"/>
        <v>14413979.692249997</v>
      </c>
      <c r="K93" s="63">
        <f t="shared" si="14"/>
        <v>-501567.81775000319</v>
      </c>
    </row>
    <row r="94" spans="1:11" s="702" customFormat="1">
      <c r="A94" s="111">
        <f t="shared" si="11"/>
        <v>61</v>
      </c>
      <c r="B94" s="665" t="s">
        <v>1483</v>
      </c>
      <c r="C94" s="663">
        <v>2017</v>
      </c>
      <c r="D94" s="1136">
        <v>7874153.0399999991</v>
      </c>
      <c r="E94" s="63">
        <f>D94*'16-PlantAdditions'!$E$103</f>
        <v>590561.47799999989</v>
      </c>
      <c r="F94" s="63">
        <f t="shared" si="12"/>
        <v>8464714.5179999992</v>
      </c>
      <c r="G94" s="1136">
        <v>22259717.93</v>
      </c>
      <c r="H94" s="1136">
        <v>14006700.860000001</v>
      </c>
      <c r="I94" s="63">
        <f>(G94-H94)*'16-PlantAdditions'!$E$103</f>
        <v>618976.28024999984</v>
      </c>
      <c r="J94" s="63">
        <f t="shared" si="13"/>
        <v>-1.862645149230957E-9</v>
      </c>
      <c r="K94" s="63">
        <f t="shared" si="14"/>
        <v>-14915547.510000002</v>
      </c>
    </row>
    <row r="95" spans="1:11" s="702" customFormat="1">
      <c r="A95" s="111">
        <f t="shared" si="11"/>
        <v>62</v>
      </c>
      <c r="B95" s="662" t="s">
        <v>186</v>
      </c>
      <c r="C95" s="663">
        <v>2017</v>
      </c>
      <c r="D95" s="1136">
        <v>2035340.1400000001</v>
      </c>
      <c r="E95" s="63">
        <f>D95*'16-PlantAdditions'!$E$103</f>
        <v>152650.5105</v>
      </c>
      <c r="F95" s="63">
        <f t="shared" si="12"/>
        <v>2187990.6505</v>
      </c>
      <c r="G95" s="1136">
        <v>2035340.1400000001</v>
      </c>
      <c r="H95" s="1136">
        <v>0</v>
      </c>
      <c r="I95" s="63">
        <f>(G95-H95)*'16-PlantAdditions'!$E$103</f>
        <v>152650.5105</v>
      </c>
      <c r="J95" s="63">
        <f t="shared" si="13"/>
        <v>-2.0081643015146255E-9</v>
      </c>
      <c r="K95" s="63">
        <f t="shared" si="14"/>
        <v>-14915547.510000002</v>
      </c>
    </row>
    <row r="96" spans="1:11" s="702" customFormat="1">
      <c r="A96" s="111">
        <f t="shared" si="11"/>
        <v>63</v>
      </c>
      <c r="B96" s="665" t="s">
        <v>187</v>
      </c>
      <c r="C96" s="663">
        <v>2017</v>
      </c>
      <c r="D96" s="1136">
        <v>1470340.1400000001</v>
      </c>
      <c r="E96" s="63">
        <f>D96*'16-PlantAdditions'!$E$103</f>
        <v>110275.5105</v>
      </c>
      <c r="F96" s="63">
        <f t="shared" si="12"/>
        <v>1580615.6505000002</v>
      </c>
      <c r="G96" s="1136">
        <v>1470340.1400000001</v>
      </c>
      <c r="H96" s="1136">
        <v>0</v>
      </c>
      <c r="I96" s="63">
        <f>(G96-H96)*'16-PlantAdditions'!$E$103</f>
        <v>110275.5105</v>
      </c>
      <c r="J96" s="63">
        <f t="shared" si="13"/>
        <v>-2.0081643015146255E-9</v>
      </c>
      <c r="K96" s="63">
        <f t="shared" si="14"/>
        <v>-14915547.510000002</v>
      </c>
    </row>
    <row r="97" spans="1:11" s="702" customFormat="1">
      <c r="A97" s="111">
        <f t="shared" si="11"/>
        <v>64</v>
      </c>
      <c r="B97" s="665" t="s">
        <v>188</v>
      </c>
      <c r="C97" s="663">
        <v>2017</v>
      </c>
      <c r="D97" s="1136">
        <v>1786543.2600000002</v>
      </c>
      <c r="E97" s="63">
        <f>D97*'16-PlantAdditions'!$E$103</f>
        <v>133990.7445</v>
      </c>
      <c r="F97" s="63">
        <f t="shared" si="12"/>
        <v>1920534.0045000003</v>
      </c>
      <c r="G97" s="1136">
        <v>1786543.2600000002</v>
      </c>
      <c r="H97" s="1136">
        <v>0</v>
      </c>
      <c r="I97" s="63">
        <f>(G97-H97)*'16-PlantAdditions'!$E$103</f>
        <v>133990.7445</v>
      </c>
      <c r="J97" s="63">
        <f t="shared" si="13"/>
        <v>-2.066371962428093E-9</v>
      </c>
      <c r="K97" s="63">
        <f t="shared" si="14"/>
        <v>-14915547.510000002</v>
      </c>
    </row>
    <row r="98" spans="1:11" s="702" customFormat="1">
      <c r="A98" s="111">
        <f t="shared" si="11"/>
        <v>65</v>
      </c>
      <c r="B98" s="662" t="s">
        <v>191</v>
      </c>
      <c r="C98" s="663">
        <v>2017</v>
      </c>
      <c r="D98" s="1136">
        <v>1160340.1400000001</v>
      </c>
      <c r="E98" s="63">
        <f>D98*'16-PlantAdditions'!$E$103</f>
        <v>87025.510500000004</v>
      </c>
      <c r="F98" s="63">
        <f t="shared" si="12"/>
        <v>1247365.6505000002</v>
      </c>
      <c r="G98" s="1136">
        <v>1160340.1400000001</v>
      </c>
      <c r="H98" s="1136">
        <v>0</v>
      </c>
      <c r="I98" s="63">
        <f>(G98-H98)*'16-PlantAdditions'!$E$103</f>
        <v>87025.510500000004</v>
      </c>
      <c r="J98" s="63">
        <f t="shared" si="13"/>
        <v>-2.0081643015146255E-9</v>
      </c>
      <c r="K98" s="63">
        <f t="shared" si="14"/>
        <v>-14915547.510000002</v>
      </c>
    </row>
    <row r="99" spans="1:11" s="702" customFormat="1">
      <c r="A99" s="111">
        <f t="shared" si="11"/>
        <v>66</v>
      </c>
      <c r="B99" s="662" t="s">
        <v>190</v>
      </c>
      <c r="C99" s="663">
        <v>2017</v>
      </c>
      <c r="D99" s="1136">
        <v>841451.98</v>
      </c>
      <c r="E99" s="63">
        <f>D99*'16-PlantAdditions'!$E$103</f>
        <v>63108.898499999996</v>
      </c>
      <c r="F99" s="63">
        <f t="shared" si="12"/>
        <v>904560.87849999999</v>
      </c>
      <c r="G99" s="1136">
        <v>841451.98</v>
      </c>
      <c r="H99" s="1136">
        <v>0</v>
      </c>
      <c r="I99" s="63">
        <f>(G99-H99)*'16-PlantAdditions'!$E$103</f>
        <v>63108.898499999996</v>
      </c>
      <c r="J99" s="63">
        <f t="shared" si="13"/>
        <v>-1.964508555829525E-9</v>
      </c>
      <c r="K99" s="63">
        <f t="shared" si="14"/>
        <v>-14915547.510000002</v>
      </c>
    </row>
    <row r="100" spans="1:11" s="702" customFormat="1">
      <c r="A100" s="111">
        <f t="shared" si="11"/>
        <v>67</v>
      </c>
      <c r="B100" s="662" t="s">
        <v>180</v>
      </c>
      <c r="C100" s="663">
        <v>2017</v>
      </c>
      <c r="D100" s="1136">
        <v>4701083.05</v>
      </c>
      <c r="E100" s="63">
        <f>D100*'16-PlantAdditions'!$E$103</f>
        <v>352581.22874999995</v>
      </c>
      <c r="F100" s="63">
        <f t="shared" si="12"/>
        <v>5053664.2787499996</v>
      </c>
      <c r="G100" s="1136">
        <v>4701083.05</v>
      </c>
      <c r="H100" s="1136">
        <v>0</v>
      </c>
      <c r="I100" s="63">
        <f>(G100-H100)*'16-PlantAdditions'!$E$103</f>
        <v>352581.22874999995</v>
      </c>
      <c r="J100" s="63">
        <f t="shared" si="13"/>
        <v>-2.0372681319713593E-9</v>
      </c>
      <c r="K100" s="63">
        <f t="shared" si="14"/>
        <v>-14915547.510000002</v>
      </c>
    </row>
    <row r="101" spans="1:11" s="702" customFormat="1">
      <c r="A101" s="111">
        <f t="shared" si="11"/>
        <v>68</v>
      </c>
      <c r="B101" s="662" t="s">
        <v>181</v>
      </c>
      <c r="C101" s="663">
        <v>2018</v>
      </c>
      <c r="D101" s="1136">
        <v>0</v>
      </c>
      <c r="E101" s="63">
        <f>D101*'16-PlantAdditions'!$E$103</f>
        <v>0</v>
      </c>
      <c r="F101" s="63">
        <f t="shared" si="12"/>
        <v>0</v>
      </c>
      <c r="G101" s="1136">
        <v>0</v>
      </c>
      <c r="H101" s="1136">
        <v>0</v>
      </c>
      <c r="I101" s="63">
        <f>(G101-H101)*'16-PlantAdditions'!$E$103</f>
        <v>0</v>
      </c>
      <c r="J101" s="63">
        <f t="shared" si="13"/>
        <v>-2.0372681319713593E-9</v>
      </c>
      <c r="K101" s="63">
        <f t="shared" si="14"/>
        <v>-14915547.510000002</v>
      </c>
    </row>
    <row r="102" spans="1:11" s="702" customFormat="1">
      <c r="A102" s="111">
        <f t="shared" si="11"/>
        <v>69</v>
      </c>
      <c r="B102" s="665" t="s">
        <v>182</v>
      </c>
      <c r="C102" s="663">
        <v>2018</v>
      </c>
      <c r="D102" s="1136">
        <v>0</v>
      </c>
      <c r="E102" s="63">
        <f>D102*'16-PlantAdditions'!$E$103</f>
        <v>0</v>
      </c>
      <c r="F102" s="63">
        <f t="shared" si="12"/>
        <v>0</v>
      </c>
      <c r="G102" s="1136">
        <v>0</v>
      </c>
      <c r="H102" s="1136">
        <v>0</v>
      </c>
      <c r="I102" s="63">
        <f>(G102-H102)*'16-PlantAdditions'!$E$103</f>
        <v>0</v>
      </c>
      <c r="J102" s="63">
        <f t="shared" si="13"/>
        <v>-2.0372681319713593E-9</v>
      </c>
      <c r="K102" s="63">
        <f t="shared" si="14"/>
        <v>-14915547.510000002</v>
      </c>
    </row>
    <row r="103" spans="1:11" s="702" customFormat="1">
      <c r="A103" s="111">
        <f t="shared" si="11"/>
        <v>70</v>
      </c>
      <c r="B103" s="665" t="s">
        <v>195</v>
      </c>
      <c r="C103" s="663">
        <v>2018</v>
      </c>
      <c r="D103" s="1136">
        <v>0</v>
      </c>
      <c r="E103" s="63">
        <f>D103*'16-PlantAdditions'!$E$103</f>
        <v>0</v>
      </c>
      <c r="F103" s="63">
        <f t="shared" si="12"/>
        <v>0</v>
      </c>
      <c r="G103" s="1136">
        <v>0</v>
      </c>
      <c r="H103" s="1136">
        <v>0</v>
      </c>
      <c r="I103" s="63">
        <f>(G103-H103)*'16-PlantAdditions'!$E$103</f>
        <v>0</v>
      </c>
      <c r="J103" s="63">
        <f t="shared" si="13"/>
        <v>-2.0372681319713593E-9</v>
      </c>
      <c r="K103" s="63">
        <f t="shared" si="14"/>
        <v>-14915547.510000002</v>
      </c>
    </row>
    <row r="104" spans="1:11" s="702" customFormat="1">
      <c r="A104" s="111">
        <f t="shared" si="11"/>
        <v>71</v>
      </c>
      <c r="B104" s="662" t="s">
        <v>183</v>
      </c>
      <c r="C104" s="663">
        <v>2018</v>
      </c>
      <c r="D104" s="1136">
        <v>0</v>
      </c>
      <c r="E104" s="63">
        <f>D104*'16-PlantAdditions'!$E$103</f>
        <v>0</v>
      </c>
      <c r="F104" s="63">
        <f t="shared" si="12"/>
        <v>0</v>
      </c>
      <c r="G104" s="1136">
        <v>0</v>
      </c>
      <c r="H104" s="1136">
        <v>0</v>
      </c>
      <c r="I104" s="63">
        <f>(G104-H104)*'16-PlantAdditions'!$E$103</f>
        <v>0</v>
      </c>
      <c r="J104" s="63">
        <f t="shared" si="13"/>
        <v>-2.0372681319713593E-9</v>
      </c>
      <c r="K104" s="63">
        <f t="shared" si="14"/>
        <v>-14915547.510000002</v>
      </c>
    </row>
    <row r="105" spans="1:11" s="702" customFormat="1">
      <c r="A105" s="111">
        <f t="shared" si="11"/>
        <v>72</v>
      </c>
      <c r="B105" s="665" t="s">
        <v>184</v>
      </c>
      <c r="C105" s="663">
        <v>2018</v>
      </c>
      <c r="D105" s="1136">
        <v>0</v>
      </c>
      <c r="E105" s="63">
        <f>D105*'16-PlantAdditions'!$E$103</f>
        <v>0</v>
      </c>
      <c r="F105" s="63">
        <f t="shared" si="12"/>
        <v>0</v>
      </c>
      <c r="G105" s="1136">
        <v>0</v>
      </c>
      <c r="H105" s="1136">
        <v>0</v>
      </c>
      <c r="I105" s="63">
        <f>(G105-H105)*'16-PlantAdditions'!$E$103</f>
        <v>0</v>
      </c>
      <c r="J105" s="63">
        <f t="shared" si="13"/>
        <v>-2.0372681319713593E-9</v>
      </c>
      <c r="K105" s="63">
        <f t="shared" si="14"/>
        <v>-14915547.510000002</v>
      </c>
    </row>
    <row r="106" spans="1:11" s="702" customFormat="1">
      <c r="A106" s="111">
        <f t="shared" si="11"/>
        <v>73</v>
      </c>
      <c r="B106" s="665" t="s">
        <v>1483</v>
      </c>
      <c r="C106" s="663">
        <v>2018</v>
      </c>
      <c r="D106" s="1136">
        <v>0</v>
      </c>
      <c r="E106" s="63">
        <f>D106*'16-PlantAdditions'!$E$103</f>
        <v>0</v>
      </c>
      <c r="F106" s="63">
        <f t="shared" si="12"/>
        <v>0</v>
      </c>
      <c r="G106" s="1136">
        <v>0</v>
      </c>
      <c r="H106" s="1136">
        <v>0</v>
      </c>
      <c r="I106" s="63">
        <f>(G106-H106)*'16-PlantAdditions'!$E$103</f>
        <v>0</v>
      </c>
      <c r="J106" s="63">
        <f t="shared" si="13"/>
        <v>-2.0372681319713593E-9</v>
      </c>
      <c r="K106" s="63">
        <f t="shared" si="14"/>
        <v>-14915547.510000002</v>
      </c>
    </row>
    <row r="107" spans="1:11" s="702" customFormat="1">
      <c r="A107" s="111">
        <f t="shared" si="11"/>
        <v>74</v>
      </c>
      <c r="B107" s="662" t="s">
        <v>186</v>
      </c>
      <c r="C107" s="663">
        <v>2018</v>
      </c>
      <c r="D107" s="1136">
        <v>0</v>
      </c>
      <c r="E107" s="63">
        <f>D107*'16-PlantAdditions'!$E$103</f>
        <v>0</v>
      </c>
      <c r="F107" s="63">
        <f t="shared" si="12"/>
        <v>0</v>
      </c>
      <c r="G107" s="1136">
        <v>0</v>
      </c>
      <c r="H107" s="1136">
        <v>0</v>
      </c>
      <c r="I107" s="63">
        <f>(G107-H107)*'16-PlantAdditions'!$E$103</f>
        <v>0</v>
      </c>
      <c r="J107" s="63">
        <f t="shared" si="13"/>
        <v>-2.0372681319713593E-9</v>
      </c>
      <c r="K107" s="63">
        <f t="shared" si="14"/>
        <v>-14915547.510000002</v>
      </c>
    </row>
    <row r="108" spans="1:11" s="702" customFormat="1">
      <c r="A108" s="111">
        <f t="shared" si="11"/>
        <v>75</v>
      </c>
      <c r="B108" s="665" t="s">
        <v>187</v>
      </c>
      <c r="C108" s="663">
        <v>2018</v>
      </c>
      <c r="D108" s="1136">
        <v>0</v>
      </c>
      <c r="E108" s="63">
        <f>D108*'16-PlantAdditions'!$E$103</f>
        <v>0</v>
      </c>
      <c r="F108" s="63">
        <f t="shared" si="12"/>
        <v>0</v>
      </c>
      <c r="G108" s="1136">
        <v>0</v>
      </c>
      <c r="H108" s="1136">
        <v>0</v>
      </c>
      <c r="I108" s="63">
        <f>(G108-H108)*'16-PlantAdditions'!$E$103</f>
        <v>0</v>
      </c>
      <c r="J108" s="63">
        <f t="shared" si="13"/>
        <v>-2.0372681319713593E-9</v>
      </c>
      <c r="K108" s="63">
        <f t="shared" si="14"/>
        <v>-14915547.510000002</v>
      </c>
    </row>
    <row r="109" spans="1:11" s="702" customFormat="1">
      <c r="A109" s="111">
        <f>A108+1</f>
        <v>76</v>
      </c>
      <c r="B109" s="665" t="s">
        <v>188</v>
      </c>
      <c r="C109" s="663">
        <v>2018</v>
      </c>
      <c r="D109" s="1136">
        <v>0</v>
      </c>
      <c r="E109" s="63">
        <f>D109*'16-PlantAdditions'!$E$103</f>
        <v>0</v>
      </c>
      <c r="F109" s="63">
        <f t="shared" si="12"/>
        <v>0</v>
      </c>
      <c r="G109" s="1136">
        <v>0</v>
      </c>
      <c r="H109" s="1136">
        <v>0</v>
      </c>
      <c r="I109" s="63">
        <f>(G109-H109)*'16-PlantAdditions'!$E$103</f>
        <v>0</v>
      </c>
      <c r="J109" s="63">
        <f>J108+F109-G109-I109</f>
        <v>-2.0372681319713593E-9</v>
      </c>
      <c r="K109" s="63">
        <f t="shared" si="14"/>
        <v>-14915547.510000002</v>
      </c>
    </row>
    <row r="110" spans="1:11" s="702" customFormat="1">
      <c r="A110" s="111">
        <f t="shared" ref="A110:A113" si="15">A109+1</f>
        <v>77</v>
      </c>
      <c r="B110" s="665" t="s">
        <v>191</v>
      </c>
      <c r="C110" s="663">
        <v>2018</v>
      </c>
      <c r="D110" s="1136">
        <v>0</v>
      </c>
      <c r="E110" s="63">
        <f>D110*'16-PlantAdditions'!$E$103</f>
        <v>0</v>
      </c>
      <c r="F110" s="63">
        <f t="shared" si="12"/>
        <v>0</v>
      </c>
      <c r="G110" s="1136">
        <v>0</v>
      </c>
      <c r="H110" s="1136">
        <v>0</v>
      </c>
      <c r="I110" s="63">
        <f>(G110-H110)*'16-PlantAdditions'!$E$103</f>
        <v>0</v>
      </c>
      <c r="J110" s="63">
        <f t="shared" ref="J110:J112" si="16">J109+F110-G110-I110</f>
        <v>-2.0372681319713593E-9</v>
      </c>
      <c r="K110" s="63">
        <f t="shared" si="14"/>
        <v>-14915547.510000002</v>
      </c>
    </row>
    <row r="111" spans="1:11" s="702" customFormat="1">
      <c r="A111" s="111">
        <f t="shared" si="15"/>
        <v>78</v>
      </c>
      <c r="B111" s="665" t="s">
        <v>190</v>
      </c>
      <c r="C111" s="663">
        <v>2018</v>
      </c>
      <c r="D111" s="1136">
        <v>0</v>
      </c>
      <c r="E111" s="63">
        <f>D111*'16-PlantAdditions'!$E$103</f>
        <v>0</v>
      </c>
      <c r="F111" s="63">
        <f t="shared" si="12"/>
        <v>0</v>
      </c>
      <c r="G111" s="1136">
        <v>0</v>
      </c>
      <c r="H111" s="1136">
        <v>0</v>
      </c>
      <c r="I111" s="63">
        <f>(G111-H111)*'16-PlantAdditions'!$E$103</f>
        <v>0</v>
      </c>
      <c r="J111" s="63">
        <f t="shared" si="16"/>
        <v>-2.0372681319713593E-9</v>
      </c>
      <c r="K111" s="63">
        <f t="shared" si="14"/>
        <v>-14915547.510000002</v>
      </c>
    </row>
    <row r="112" spans="1:11" s="702" customFormat="1">
      <c r="A112" s="111">
        <f t="shared" si="15"/>
        <v>79</v>
      </c>
      <c r="B112" s="665" t="s">
        <v>180</v>
      </c>
      <c r="C112" s="663">
        <v>2018</v>
      </c>
      <c r="D112" s="1136">
        <v>0</v>
      </c>
      <c r="E112" s="63">
        <f>D112*'16-PlantAdditions'!$E$103</f>
        <v>0</v>
      </c>
      <c r="F112" s="63">
        <f t="shared" si="12"/>
        <v>0</v>
      </c>
      <c r="G112" s="1136">
        <v>0</v>
      </c>
      <c r="H112" s="1136">
        <v>0</v>
      </c>
      <c r="I112" s="63">
        <f>(G112-H112)*'16-PlantAdditions'!$E$103</f>
        <v>0</v>
      </c>
      <c r="J112" s="63">
        <f t="shared" si="16"/>
        <v>-2.0372681319713593E-9</v>
      </c>
      <c r="K112" s="112">
        <f t="shared" si="14"/>
        <v>-14915547.510000002</v>
      </c>
    </row>
    <row r="113" spans="1:11" s="702" customFormat="1">
      <c r="A113" s="111">
        <f t="shared" si="15"/>
        <v>80</v>
      </c>
      <c r="B113"/>
      <c r="C113" s="701" t="s">
        <v>1635</v>
      </c>
      <c r="D113"/>
      <c r="E113"/>
      <c r="F113"/>
      <c r="G113"/>
      <c r="H113"/>
      <c r="I113"/>
      <c r="J113"/>
      <c r="K113" s="73">
        <f>AVERAGE(K100:K112)</f>
        <v>-14915547.51</v>
      </c>
    </row>
    <row r="114" spans="1:11" s="702" customFormat="1">
      <c r="A114" s="111"/>
      <c r="B114"/>
      <c r="C114" s="701"/>
      <c r="D114"/>
      <c r="E114"/>
      <c r="F114"/>
      <c r="G114"/>
      <c r="H114"/>
      <c r="I114"/>
      <c r="J114"/>
      <c r="K114" s="73"/>
    </row>
    <row r="115" spans="1:11" s="702" customFormat="1">
      <c r="B115" s="703" t="s">
        <v>1967</v>
      </c>
      <c r="D115" s="1379" t="s">
        <v>1968</v>
      </c>
      <c r="E115" s="1379"/>
    </row>
    <row r="116" spans="1:11" s="702" customFormat="1">
      <c r="A116" s="697"/>
      <c r="B116" s="697"/>
      <c r="C116" s="697"/>
      <c r="D116" s="697" t="s">
        <v>363</v>
      </c>
      <c r="E116" s="697" t="s">
        <v>347</v>
      </c>
      <c r="F116" s="697" t="s">
        <v>348</v>
      </c>
      <c r="G116" s="697" t="s">
        <v>349</v>
      </c>
      <c r="H116" s="697" t="s">
        <v>350</v>
      </c>
      <c r="I116" s="697" t="s">
        <v>351</v>
      </c>
      <c r="J116" s="697" t="s">
        <v>352</v>
      </c>
      <c r="K116" s="697" t="s">
        <v>544</v>
      </c>
    </row>
    <row r="117" spans="1:11" s="702" customFormat="1" ht="38.25">
      <c r="D117" s="704"/>
      <c r="E117" s="705" t="s">
        <v>2108</v>
      </c>
      <c r="F117" s="706" t="s">
        <v>1964</v>
      </c>
      <c r="G117" s="512"/>
      <c r="H117" s="704"/>
      <c r="I117" s="705" t="s">
        <v>2109</v>
      </c>
      <c r="J117" s="705" t="s">
        <v>1965</v>
      </c>
      <c r="K117" s="705" t="s">
        <v>1966</v>
      </c>
    </row>
    <row r="118" spans="1:11" s="702" customFormat="1">
      <c r="D118" s="704"/>
      <c r="E118" s="704"/>
      <c r="F118" s="704"/>
      <c r="G118" s="600" t="str">
        <f>G51</f>
        <v>Unloaded</v>
      </c>
      <c r="H118" s="704"/>
      <c r="I118" s="704"/>
    </row>
    <row r="119" spans="1:11" s="702" customFormat="1">
      <c r="A119" s="699"/>
      <c r="B119" s="699"/>
      <c r="C119" s="699"/>
      <c r="D119" s="699" t="str">
        <f>D$52</f>
        <v>Forecast</v>
      </c>
      <c r="E119" s="699" t="str">
        <f t="shared" ref="E119:J119" si="17">E$52</f>
        <v>Corporate</v>
      </c>
      <c r="F119" s="699" t="str">
        <f t="shared" si="17"/>
        <v xml:space="preserve">Total </v>
      </c>
      <c r="G119" s="600" t="str">
        <f>G52</f>
        <v>Total</v>
      </c>
      <c r="H119" s="699" t="str">
        <f t="shared" si="17"/>
        <v>Prior Period</v>
      </c>
      <c r="I119" s="699" t="str">
        <f t="shared" si="17"/>
        <v>Over Heads</v>
      </c>
      <c r="J119" s="699" t="str">
        <f t="shared" si="17"/>
        <v>Forecast</v>
      </c>
      <c r="K119" s="600" t="str">
        <f>K$52</f>
        <v>Forecast Period</v>
      </c>
    </row>
    <row r="120" spans="1:11" s="702" customFormat="1">
      <c r="A120" s="960" t="s">
        <v>332</v>
      </c>
      <c r="B120" s="661" t="s">
        <v>192</v>
      </c>
      <c r="C120" s="661" t="s">
        <v>193</v>
      </c>
      <c r="D120" s="697" t="str">
        <f>D$53</f>
        <v>Expenditures</v>
      </c>
      <c r="E120" s="697" t="str">
        <f t="shared" ref="E120:J120" si="18">E$53</f>
        <v>Overheads</v>
      </c>
      <c r="F120" s="697" t="str">
        <f t="shared" si="18"/>
        <v>CWIP Exp</v>
      </c>
      <c r="G120" s="3" t="str">
        <f>G53</f>
        <v>Plant Adds</v>
      </c>
      <c r="H120" s="697" t="str">
        <f t="shared" si="18"/>
        <v>CWIP Closed</v>
      </c>
      <c r="I120" s="697" t="str">
        <f t="shared" si="18"/>
        <v>Closed to PIS</v>
      </c>
      <c r="J120" s="697" t="str">
        <f t="shared" si="18"/>
        <v>Period CWIP</v>
      </c>
      <c r="K120" s="697" t="str">
        <f>K$53</f>
        <v>Incremental CWIP</v>
      </c>
    </row>
    <row r="121" spans="1:11" s="702" customFormat="1">
      <c r="A121" s="111">
        <f>A113+1</f>
        <v>81</v>
      </c>
      <c r="B121" s="662" t="s">
        <v>180</v>
      </c>
      <c r="C121" s="663">
        <v>2016</v>
      </c>
      <c r="D121" s="706" t="s">
        <v>76</v>
      </c>
      <c r="E121" s="706" t="s">
        <v>76</v>
      </c>
      <c r="F121" s="706" t="s">
        <v>76</v>
      </c>
      <c r="G121" s="706" t="s">
        <v>76</v>
      </c>
      <c r="H121" s="706" t="s">
        <v>76</v>
      </c>
      <c r="I121" s="706" t="s">
        <v>76</v>
      </c>
      <c r="J121" s="63">
        <f>F25</f>
        <v>0</v>
      </c>
      <c r="K121" s="706" t="s">
        <v>76</v>
      </c>
    </row>
    <row r="122" spans="1:11" s="702" customFormat="1">
      <c r="A122" s="111">
        <f>A121+1</f>
        <v>82</v>
      </c>
      <c r="B122" s="662" t="s">
        <v>181</v>
      </c>
      <c r="C122" s="663">
        <v>2017</v>
      </c>
      <c r="D122" s="1136">
        <v>0</v>
      </c>
      <c r="E122" s="63">
        <f>D122*'16-PlantAdditions'!$E$103</f>
        <v>0</v>
      </c>
      <c r="F122" s="63">
        <f>E122+D122</f>
        <v>0</v>
      </c>
      <c r="G122" s="1136">
        <v>0</v>
      </c>
      <c r="H122" s="1136">
        <v>0</v>
      </c>
      <c r="I122" s="63">
        <f>(G122-H122)*'16-PlantAdditions'!$E$103</f>
        <v>0</v>
      </c>
      <c r="J122" s="63">
        <f>J121+F122-G122-I122</f>
        <v>0</v>
      </c>
      <c r="K122" s="517">
        <f>J122-$J$121</f>
        <v>0</v>
      </c>
    </row>
    <row r="123" spans="1:11" s="702" customFormat="1">
      <c r="A123" s="111">
        <f t="shared" ref="A123:A146" si="19">A122+1</f>
        <v>83</v>
      </c>
      <c r="B123" s="665" t="s">
        <v>182</v>
      </c>
      <c r="C123" s="663">
        <v>2017</v>
      </c>
      <c r="D123" s="1136">
        <v>-80269.72</v>
      </c>
      <c r="E123" s="63">
        <f>D123*'16-PlantAdditions'!$E$103</f>
        <v>-6020.2290000000003</v>
      </c>
      <c r="F123" s="63">
        <f t="shared" ref="F123:F145" si="20">E123+D123</f>
        <v>-86289.949000000008</v>
      </c>
      <c r="G123" s="1136">
        <v>-80269.72</v>
      </c>
      <c r="H123" s="1136">
        <v>0</v>
      </c>
      <c r="I123" s="63">
        <f>(G123-H123)*'16-PlantAdditions'!$E$103</f>
        <v>-6020.2290000000003</v>
      </c>
      <c r="J123" s="63">
        <f t="shared" ref="J123:J145" si="21">J122+F123-G123-I123</f>
        <v>0</v>
      </c>
      <c r="K123" s="517">
        <f t="shared" ref="K123:K145" si="22">J123-$J$121</f>
        <v>0</v>
      </c>
    </row>
    <row r="124" spans="1:11" s="702" customFormat="1">
      <c r="A124" s="111">
        <f t="shared" si="19"/>
        <v>84</v>
      </c>
      <c r="B124" s="665" t="s">
        <v>195</v>
      </c>
      <c r="C124" s="663">
        <v>2017</v>
      </c>
      <c r="D124" s="1136">
        <v>-18.02</v>
      </c>
      <c r="E124" s="63">
        <f>D124*'16-PlantAdditions'!$E$103</f>
        <v>-1.3514999999999999</v>
      </c>
      <c r="F124" s="63">
        <f t="shared" si="20"/>
        <v>-19.371500000000001</v>
      </c>
      <c r="G124" s="1136">
        <v>-18.02</v>
      </c>
      <c r="H124" s="1136">
        <v>0</v>
      </c>
      <c r="I124" s="63">
        <f>(G124-H124)*'16-PlantAdditions'!$E$103</f>
        <v>-1.3514999999999999</v>
      </c>
      <c r="J124" s="63">
        <f t="shared" si="21"/>
        <v>0</v>
      </c>
      <c r="K124" s="517">
        <f t="shared" si="22"/>
        <v>0</v>
      </c>
    </row>
    <row r="125" spans="1:11" s="702" customFormat="1">
      <c r="A125" s="111">
        <f t="shared" si="19"/>
        <v>85</v>
      </c>
      <c r="B125" s="662" t="s">
        <v>183</v>
      </c>
      <c r="C125" s="663">
        <v>2017</v>
      </c>
      <c r="D125" s="1136">
        <v>0</v>
      </c>
      <c r="E125" s="63">
        <f>D125*'16-PlantAdditions'!$E$103</f>
        <v>0</v>
      </c>
      <c r="F125" s="63">
        <f t="shared" si="20"/>
        <v>0</v>
      </c>
      <c r="G125" s="1136">
        <v>0</v>
      </c>
      <c r="H125" s="1136">
        <v>0</v>
      </c>
      <c r="I125" s="63">
        <f>(G125-H125)*'16-PlantAdditions'!$E$103</f>
        <v>0</v>
      </c>
      <c r="J125" s="63">
        <f t="shared" si="21"/>
        <v>0</v>
      </c>
      <c r="K125" s="517">
        <f t="shared" si="22"/>
        <v>0</v>
      </c>
    </row>
    <row r="126" spans="1:11" s="702" customFormat="1">
      <c r="A126" s="111">
        <f t="shared" si="19"/>
        <v>86</v>
      </c>
      <c r="B126" s="665" t="s">
        <v>184</v>
      </c>
      <c r="C126" s="663">
        <v>2017</v>
      </c>
      <c r="D126" s="1136">
        <v>0</v>
      </c>
      <c r="E126" s="63">
        <f>D126*'16-PlantAdditions'!$E$103</f>
        <v>0</v>
      </c>
      <c r="F126" s="63">
        <f t="shared" si="20"/>
        <v>0</v>
      </c>
      <c r="G126" s="1136">
        <v>0</v>
      </c>
      <c r="H126" s="1136">
        <v>0</v>
      </c>
      <c r="I126" s="63">
        <f>(G126-H126)*'16-PlantAdditions'!$E$103</f>
        <v>0</v>
      </c>
      <c r="J126" s="63">
        <f t="shared" si="21"/>
        <v>0</v>
      </c>
      <c r="K126" s="517">
        <f t="shared" si="22"/>
        <v>0</v>
      </c>
    </row>
    <row r="127" spans="1:11" s="702" customFormat="1">
      <c r="A127" s="111">
        <f t="shared" si="19"/>
        <v>87</v>
      </c>
      <c r="B127" s="665" t="s">
        <v>1483</v>
      </c>
      <c r="C127" s="663">
        <v>2017</v>
      </c>
      <c r="D127" s="1136">
        <v>0</v>
      </c>
      <c r="E127" s="63">
        <f>D127*'16-PlantAdditions'!$E$103</f>
        <v>0</v>
      </c>
      <c r="F127" s="63">
        <f t="shared" si="20"/>
        <v>0</v>
      </c>
      <c r="G127" s="1136">
        <v>0</v>
      </c>
      <c r="H127" s="1136">
        <v>0</v>
      </c>
      <c r="I127" s="63">
        <f>(G127-H127)*'16-PlantAdditions'!$E$103</f>
        <v>0</v>
      </c>
      <c r="J127" s="63">
        <f t="shared" si="21"/>
        <v>0</v>
      </c>
      <c r="K127" s="517">
        <f t="shared" si="22"/>
        <v>0</v>
      </c>
    </row>
    <row r="128" spans="1:11" s="702" customFormat="1">
      <c r="A128" s="111">
        <f t="shared" si="19"/>
        <v>88</v>
      </c>
      <c r="B128" s="662" t="s">
        <v>186</v>
      </c>
      <c r="C128" s="663">
        <v>2017</v>
      </c>
      <c r="D128" s="1136">
        <v>0</v>
      </c>
      <c r="E128" s="63">
        <f>D128*'16-PlantAdditions'!$E$103</f>
        <v>0</v>
      </c>
      <c r="F128" s="63">
        <f t="shared" si="20"/>
        <v>0</v>
      </c>
      <c r="G128" s="1136">
        <v>0</v>
      </c>
      <c r="H128" s="1136">
        <v>0</v>
      </c>
      <c r="I128" s="63">
        <f>(G128-H128)*'16-PlantAdditions'!$E$103</f>
        <v>0</v>
      </c>
      <c r="J128" s="63">
        <f t="shared" si="21"/>
        <v>0</v>
      </c>
      <c r="K128" s="517">
        <f t="shared" si="22"/>
        <v>0</v>
      </c>
    </row>
    <row r="129" spans="1:11" s="702" customFormat="1">
      <c r="A129" s="111">
        <f t="shared" si="19"/>
        <v>89</v>
      </c>
      <c r="B129" s="665" t="s">
        <v>187</v>
      </c>
      <c r="C129" s="663">
        <v>2017</v>
      </c>
      <c r="D129" s="1136">
        <v>0</v>
      </c>
      <c r="E129" s="63">
        <f>D129*'16-PlantAdditions'!$E$103</f>
        <v>0</v>
      </c>
      <c r="F129" s="63">
        <f t="shared" si="20"/>
        <v>0</v>
      </c>
      <c r="G129" s="1136">
        <v>0</v>
      </c>
      <c r="H129" s="1136">
        <v>0</v>
      </c>
      <c r="I129" s="63">
        <f>(G129-H129)*'16-PlantAdditions'!$E$103</f>
        <v>0</v>
      </c>
      <c r="J129" s="63">
        <f t="shared" si="21"/>
        <v>0</v>
      </c>
      <c r="K129" s="517">
        <f t="shared" si="22"/>
        <v>0</v>
      </c>
    </row>
    <row r="130" spans="1:11" s="702" customFormat="1">
      <c r="A130" s="111">
        <f t="shared" si="19"/>
        <v>90</v>
      </c>
      <c r="B130" s="665" t="s">
        <v>188</v>
      </c>
      <c r="C130" s="663">
        <v>2017</v>
      </c>
      <c r="D130" s="1136">
        <v>0</v>
      </c>
      <c r="E130" s="63">
        <f>D130*'16-PlantAdditions'!$E$103</f>
        <v>0</v>
      </c>
      <c r="F130" s="63">
        <f t="shared" si="20"/>
        <v>0</v>
      </c>
      <c r="G130" s="1136">
        <v>0</v>
      </c>
      <c r="H130" s="1136">
        <v>0</v>
      </c>
      <c r="I130" s="63">
        <f>(G130-H130)*'16-PlantAdditions'!$E$103</f>
        <v>0</v>
      </c>
      <c r="J130" s="63">
        <f t="shared" si="21"/>
        <v>0</v>
      </c>
      <c r="K130" s="517">
        <f t="shared" si="22"/>
        <v>0</v>
      </c>
    </row>
    <row r="131" spans="1:11" s="702" customFormat="1">
      <c r="A131" s="111">
        <f t="shared" si="19"/>
        <v>91</v>
      </c>
      <c r="B131" s="662" t="s">
        <v>191</v>
      </c>
      <c r="C131" s="663">
        <v>2017</v>
      </c>
      <c r="D131" s="1136">
        <v>0</v>
      </c>
      <c r="E131" s="63">
        <f>D131*'16-PlantAdditions'!$E$103</f>
        <v>0</v>
      </c>
      <c r="F131" s="63">
        <f t="shared" si="20"/>
        <v>0</v>
      </c>
      <c r="G131" s="1136">
        <v>0</v>
      </c>
      <c r="H131" s="1136">
        <v>0</v>
      </c>
      <c r="I131" s="63">
        <f>(G131-H131)*'16-PlantAdditions'!$E$103</f>
        <v>0</v>
      </c>
      <c r="J131" s="63">
        <f t="shared" si="21"/>
        <v>0</v>
      </c>
      <c r="K131" s="517">
        <f t="shared" si="22"/>
        <v>0</v>
      </c>
    </row>
    <row r="132" spans="1:11" s="702" customFormat="1">
      <c r="A132" s="111">
        <f t="shared" si="19"/>
        <v>92</v>
      </c>
      <c r="B132" s="662" t="s">
        <v>190</v>
      </c>
      <c r="C132" s="663">
        <v>2017</v>
      </c>
      <c r="D132" s="1136">
        <v>0</v>
      </c>
      <c r="E132" s="63">
        <f>D132*'16-PlantAdditions'!$E$103</f>
        <v>0</v>
      </c>
      <c r="F132" s="63">
        <f t="shared" si="20"/>
        <v>0</v>
      </c>
      <c r="G132" s="1136">
        <v>0</v>
      </c>
      <c r="H132" s="1136">
        <v>0</v>
      </c>
      <c r="I132" s="63">
        <f>(G132-H132)*'16-PlantAdditions'!$E$103</f>
        <v>0</v>
      </c>
      <c r="J132" s="63">
        <f t="shared" si="21"/>
        <v>0</v>
      </c>
      <c r="K132" s="517">
        <f t="shared" si="22"/>
        <v>0</v>
      </c>
    </row>
    <row r="133" spans="1:11" s="702" customFormat="1">
      <c r="A133" s="111">
        <f t="shared" si="19"/>
        <v>93</v>
      </c>
      <c r="B133" s="662" t="s">
        <v>180</v>
      </c>
      <c r="C133" s="663">
        <v>2017</v>
      </c>
      <c r="D133" s="1136">
        <v>0</v>
      </c>
      <c r="E133" s="63">
        <f>D133*'16-PlantAdditions'!$E$103</f>
        <v>0</v>
      </c>
      <c r="F133" s="63">
        <f t="shared" si="20"/>
        <v>0</v>
      </c>
      <c r="G133" s="1136">
        <v>0</v>
      </c>
      <c r="H133" s="1136">
        <v>0</v>
      </c>
      <c r="I133" s="63">
        <f>(G133-H133)*'16-PlantAdditions'!$E$103</f>
        <v>0</v>
      </c>
      <c r="J133" s="63">
        <f t="shared" si="21"/>
        <v>0</v>
      </c>
      <c r="K133" s="517">
        <f t="shared" si="22"/>
        <v>0</v>
      </c>
    </row>
    <row r="134" spans="1:11" s="702" customFormat="1">
      <c r="A134" s="111">
        <f t="shared" si="19"/>
        <v>94</v>
      </c>
      <c r="B134" s="662" t="s">
        <v>181</v>
      </c>
      <c r="C134" s="663">
        <v>2018</v>
      </c>
      <c r="D134" s="1136">
        <v>0</v>
      </c>
      <c r="E134" s="63">
        <f>D134*'16-PlantAdditions'!$E$103</f>
        <v>0</v>
      </c>
      <c r="F134" s="63">
        <f t="shared" si="20"/>
        <v>0</v>
      </c>
      <c r="G134" s="1136">
        <v>0</v>
      </c>
      <c r="H134" s="1136">
        <v>0</v>
      </c>
      <c r="I134" s="63">
        <f>(G134-H134)*'16-PlantAdditions'!$E$103</f>
        <v>0</v>
      </c>
      <c r="J134" s="63">
        <f t="shared" si="21"/>
        <v>0</v>
      </c>
      <c r="K134" s="517">
        <f t="shared" si="22"/>
        <v>0</v>
      </c>
    </row>
    <row r="135" spans="1:11" s="702" customFormat="1">
      <c r="A135" s="111">
        <f t="shared" si="19"/>
        <v>95</v>
      </c>
      <c r="B135" s="665" t="s">
        <v>182</v>
      </c>
      <c r="C135" s="663">
        <v>2018</v>
      </c>
      <c r="D135" s="1136">
        <v>0</v>
      </c>
      <c r="E135" s="63">
        <f>D135*'16-PlantAdditions'!$E$103</f>
        <v>0</v>
      </c>
      <c r="F135" s="63">
        <f t="shared" si="20"/>
        <v>0</v>
      </c>
      <c r="G135" s="1136">
        <v>0</v>
      </c>
      <c r="H135" s="1136">
        <v>0</v>
      </c>
      <c r="I135" s="63">
        <f>(G135-H135)*'16-PlantAdditions'!$E$103</f>
        <v>0</v>
      </c>
      <c r="J135" s="63">
        <f t="shared" si="21"/>
        <v>0</v>
      </c>
      <c r="K135" s="517">
        <f t="shared" si="22"/>
        <v>0</v>
      </c>
    </row>
    <row r="136" spans="1:11" s="702" customFormat="1">
      <c r="A136" s="111">
        <f t="shared" si="19"/>
        <v>96</v>
      </c>
      <c r="B136" s="665" t="s">
        <v>195</v>
      </c>
      <c r="C136" s="663">
        <v>2018</v>
      </c>
      <c r="D136" s="1136">
        <v>0</v>
      </c>
      <c r="E136" s="63">
        <f>D136*'16-PlantAdditions'!$E$103</f>
        <v>0</v>
      </c>
      <c r="F136" s="63">
        <f t="shared" si="20"/>
        <v>0</v>
      </c>
      <c r="G136" s="1136">
        <v>0</v>
      </c>
      <c r="H136" s="1136">
        <v>0</v>
      </c>
      <c r="I136" s="63">
        <f>(G136-H136)*'16-PlantAdditions'!$E$103</f>
        <v>0</v>
      </c>
      <c r="J136" s="63">
        <f t="shared" si="21"/>
        <v>0</v>
      </c>
      <c r="K136" s="517">
        <f t="shared" si="22"/>
        <v>0</v>
      </c>
    </row>
    <row r="137" spans="1:11" s="702" customFormat="1">
      <c r="A137" s="111">
        <f t="shared" si="19"/>
        <v>97</v>
      </c>
      <c r="B137" s="662" t="s">
        <v>183</v>
      </c>
      <c r="C137" s="663">
        <v>2018</v>
      </c>
      <c r="D137" s="1136">
        <v>0</v>
      </c>
      <c r="E137" s="63">
        <f>D137*'16-PlantAdditions'!$E$103</f>
        <v>0</v>
      </c>
      <c r="F137" s="63">
        <f t="shared" si="20"/>
        <v>0</v>
      </c>
      <c r="G137" s="1136">
        <v>0</v>
      </c>
      <c r="H137" s="1136">
        <v>0</v>
      </c>
      <c r="I137" s="63">
        <f>(G137-H137)*'16-PlantAdditions'!$E$103</f>
        <v>0</v>
      </c>
      <c r="J137" s="63">
        <f t="shared" si="21"/>
        <v>0</v>
      </c>
      <c r="K137" s="517">
        <f t="shared" si="22"/>
        <v>0</v>
      </c>
    </row>
    <row r="138" spans="1:11" s="702" customFormat="1">
      <c r="A138" s="111">
        <f t="shared" si="19"/>
        <v>98</v>
      </c>
      <c r="B138" s="665" t="s">
        <v>184</v>
      </c>
      <c r="C138" s="663">
        <v>2018</v>
      </c>
      <c r="D138" s="1136">
        <v>0</v>
      </c>
      <c r="E138" s="63">
        <f>D138*'16-PlantAdditions'!$E$103</f>
        <v>0</v>
      </c>
      <c r="F138" s="63">
        <f t="shared" si="20"/>
        <v>0</v>
      </c>
      <c r="G138" s="1136">
        <v>0</v>
      </c>
      <c r="H138" s="1136">
        <v>0</v>
      </c>
      <c r="I138" s="63">
        <f>(G138-H138)*'16-PlantAdditions'!$E$103</f>
        <v>0</v>
      </c>
      <c r="J138" s="63">
        <f t="shared" si="21"/>
        <v>0</v>
      </c>
      <c r="K138" s="517">
        <f t="shared" si="22"/>
        <v>0</v>
      </c>
    </row>
    <row r="139" spans="1:11" s="702" customFormat="1">
      <c r="A139" s="111">
        <f t="shared" si="19"/>
        <v>99</v>
      </c>
      <c r="B139" s="665" t="s">
        <v>1483</v>
      </c>
      <c r="C139" s="663">
        <v>2018</v>
      </c>
      <c r="D139" s="1136">
        <v>0</v>
      </c>
      <c r="E139" s="63">
        <f>D139*'16-PlantAdditions'!$E$103</f>
        <v>0</v>
      </c>
      <c r="F139" s="63">
        <f t="shared" si="20"/>
        <v>0</v>
      </c>
      <c r="G139" s="1136">
        <v>0</v>
      </c>
      <c r="H139" s="1136">
        <v>0</v>
      </c>
      <c r="I139" s="63">
        <f>(G139-H139)*'16-PlantAdditions'!$E$103</f>
        <v>0</v>
      </c>
      <c r="J139" s="63">
        <f t="shared" si="21"/>
        <v>0</v>
      </c>
      <c r="K139" s="517">
        <f t="shared" si="22"/>
        <v>0</v>
      </c>
    </row>
    <row r="140" spans="1:11" s="702" customFormat="1">
      <c r="A140" s="111">
        <f t="shared" si="19"/>
        <v>100</v>
      </c>
      <c r="B140" s="662" t="s">
        <v>186</v>
      </c>
      <c r="C140" s="663">
        <v>2018</v>
      </c>
      <c r="D140" s="1136">
        <v>0</v>
      </c>
      <c r="E140" s="63">
        <f>D140*'16-PlantAdditions'!$E$103</f>
        <v>0</v>
      </c>
      <c r="F140" s="63">
        <f t="shared" si="20"/>
        <v>0</v>
      </c>
      <c r="G140" s="1136">
        <v>0</v>
      </c>
      <c r="H140" s="1136">
        <v>0</v>
      </c>
      <c r="I140" s="63">
        <f>(G140-H140)*'16-PlantAdditions'!$E$103</f>
        <v>0</v>
      </c>
      <c r="J140" s="63">
        <f t="shared" si="21"/>
        <v>0</v>
      </c>
      <c r="K140" s="517">
        <f t="shared" si="22"/>
        <v>0</v>
      </c>
    </row>
    <row r="141" spans="1:11" s="702" customFormat="1">
      <c r="A141" s="111">
        <f t="shared" si="19"/>
        <v>101</v>
      </c>
      <c r="B141" s="665" t="s">
        <v>187</v>
      </c>
      <c r="C141" s="663">
        <v>2018</v>
      </c>
      <c r="D141" s="1136">
        <v>0</v>
      </c>
      <c r="E141" s="63">
        <f>D141*'16-PlantAdditions'!$E$103</f>
        <v>0</v>
      </c>
      <c r="F141" s="63">
        <f t="shared" si="20"/>
        <v>0</v>
      </c>
      <c r="G141" s="1136">
        <v>0</v>
      </c>
      <c r="H141" s="1136">
        <v>0</v>
      </c>
      <c r="I141" s="63">
        <f>(G141-H141)*'16-PlantAdditions'!$E$103</f>
        <v>0</v>
      </c>
      <c r="J141" s="63">
        <f t="shared" si="21"/>
        <v>0</v>
      </c>
      <c r="K141" s="517">
        <f t="shared" si="22"/>
        <v>0</v>
      </c>
    </row>
    <row r="142" spans="1:11" s="702" customFormat="1">
      <c r="A142" s="111">
        <f t="shared" si="19"/>
        <v>102</v>
      </c>
      <c r="B142" s="665" t="s">
        <v>188</v>
      </c>
      <c r="C142" s="663">
        <v>2018</v>
      </c>
      <c r="D142" s="1136">
        <v>0</v>
      </c>
      <c r="E142" s="63">
        <f>D142*'16-PlantAdditions'!$E$103</f>
        <v>0</v>
      </c>
      <c r="F142" s="63">
        <f t="shared" si="20"/>
        <v>0</v>
      </c>
      <c r="G142" s="1136">
        <v>0</v>
      </c>
      <c r="H142" s="1136">
        <v>0</v>
      </c>
      <c r="I142" s="63">
        <f>(G142-H142)*'16-PlantAdditions'!$E$103</f>
        <v>0</v>
      </c>
      <c r="J142" s="63">
        <f t="shared" si="21"/>
        <v>0</v>
      </c>
      <c r="K142" s="517">
        <f t="shared" si="22"/>
        <v>0</v>
      </c>
    </row>
    <row r="143" spans="1:11" s="702" customFormat="1">
      <c r="A143" s="111">
        <f t="shared" si="19"/>
        <v>103</v>
      </c>
      <c r="B143" s="665" t="s">
        <v>191</v>
      </c>
      <c r="C143" s="663">
        <v>2018</v>
      </c>
      <c r="D143" s="1136">
        <v>0</v>
      </c>
      <c r="E143" s="63">
        <f>D143*'16-PlantAdditions'!$E$103</f>
        <v>0</v>
      </c>
      <c r="F143" s="63">
        <f t="shared" si="20"/>
        <v>0</v>
      </c>
      <c r="G143" s="1136">
        <v>0</v>
      </c>
      <c r="H143" s="1136">
        <v>0</v>
      </c>
      <c r="I143" s="63">
        <f>(G143-H143)*'16-PlantAdditions'!$E$103</f>
        <v>0</v>
      </c>
      <c r="J143" s="63">
        <f t="shared" si="21"/>
        <v>0</v>
      </c>
      <c r="K143" s="517">
        <f t="shared" si="22"/>
        <v>0</v>
      </c>
    </row>
    <row r="144" spans="1:11" s="702" customFormat="1">
      <c r="A144" s="111">
        <f t="shared" si="19"/>
        <v>104</v>
      </c>
      <c r="B144" s="665" t="s">
        <v>190</v>
      </c>
      <c r="C144" s="663">
        <v>2018</v>
      </c>
      <c r="D144" s="1136">
        <v>0</v>
      </c>
      <c r="E144" s="63">
        <f>D144*'16-PlantAdditions'!$E$103</f>
        <v>0</v>
      </c>
      <c r="F144" s="63">
        <f t="shared" si="20"/>
        <v>0</v>
      </c>
      <c r="G144" s="1136">
        <v>0</v>
      </c>
      <c r="H144" s="1136">
        <v>0</v>
      </c>
      <c r="I144" s="63">
        <f>(G144-H144)*'16-PlantAdditions'!$E$103</f>
        <v>0</v>
      </c>
      <c r="J144" s="63">
        <f t="shared" si="21"/>
        <v>0</v>
      </c>
      <c r="K144" s="517">
        <f t="shared" si="22"/>
        <v>0</v>
      </c>
    </row>
    <row r="145" spans="1:11" s="702" customFormat="1">
      <c r="A145" s="111">
        <f t="shared" si="19"/>
        <v>105</v>
      </c>
      <c r="B145" s="665" t="s">
        <v>180</v>
      </c>
      <c r="C145" s="663">
        <v>2018</v>
      </c>
      <c r="D145" s="1136">
        <v>0</v>
      </c>
      <c r="E145" s="63">
        <f>D145*'16-PlantAdditions'!$E$103</f>
        <v>0</v>
      </c>
      <c r="F145" s="63">
        <f t="shared" si="20"/>
        <v>0</v>
      </c>
      <c r="G145" s="1136">
        <v>0</v>
      </c>
      <c r="H145" s="1136">
        <v>0</v>
      </c>
      <c r="I145" s="63">
        <f>(G145-H145)*'16-PlantAdditions'!$E$103</f>
        <v>0</v>
      </c>
      <c r="J145" s="63">
        <f t="shared" si="21"/>
        <v>0</v>
      </c>
      <c r="K145" s="112">
        <f t="shared" si="22"/>
        <v>0</v>
      </c>
    </row>
    <row r="146" spans="1:11" s="702" customFormat="1">
      <c r="A146" s="111">
        <f t="shared" si="19"/>
        <v>106</v>
      </c>
      <c r="B146"/>
      <c r="C146" s="701" t="s">
        <v>1635</v>
      </c>
      <c r="D146"/>
      <c r="E146"/>
      <c r="F146"/>
      <c r="G146"/>
      <c r="H146"/>
      <c r="I146"/>
      <c r="J146"/>
      <c r="K146" s="73">
        <f>AVERAGE(K133:K145)</f>
        <v>0</v>
      </c>
    </row>
    <row r="147" spans="1:11" s="702" customFormat="1">
      <c r="A147" s="111"/>
      <c r="B147"/>
      <c r="C147" s="701"/>
      <c r="D147"/>
      <c r="E147"/>
      <c r="F147"/>
      <c r="G147"/>
      <c r="H147"/>
      <c r="I147"/>
      <c r="J147"/>
      <c r="K147" s="73"/>
    </row>
    <row r="148" spans="1:11" s="702" customFormat="1">
      <c r="B148" s="703" t="s">
        <v>1969</v>
      </c>
      <c r="D148" s="1379" t="s">
        <v>1978</v>
      </c>
      <c r="E148" s="1379"/>
    </row>
    <row r="149" spans="1:11" s="702" customFormat="1">
      <c r="D149" s="704"/>
      <c r="E149" s="704"/>
      <c r="F149" s="704"/>
      <c r="G149" s="600" t="str">
        <f>G51</f>
        <v>Unloaded</v>
      </c>
      <c r="H149" s="704"/>
      <c r="I149" s="704"/>
    </row>
    <row r="150" spans="1:11" s="702" customFormat="1">
      <c r="A150" s="699"/>
      <c r="B150" s="699"/>
      <c r="C150" s="699"/>
      <c r="D150" s="699" t="str">
        <f>D$52</f>
        <v>Forecast</v>
      </c>
      <c r="E150" s="699" t="str">
        <f t="shared" ref="E150:J150" si="23">E$52</f>
        <v>Corporate</v>
      </c>
      <c r="F150" s="699" t="str">
        <f t="shared" si="23"/>
        <v xml:space="preserve">Total </v>
      </c>
      <c r="G150" s="600" t="str">
        <f>G52</f>
        <v>Total</v>
      </c>
      <c r="H150" s="699" t="str">
        <f t="shared" si="23"/>
        <v>Prior Period</v>
      </c>
      <c r="I150" s="699" t="str">
        <f t="shared" si="23"/>
        <v>Over Heads</v>
      </c>
      <c r="J150" s="699" t="str">
        <f t="shared" si="23"/>
        <v>Forecast</v>
      </c>
      <c r="K150" s="600" t="str">
        <f>K$52</f>
        <v>Forecast Period</v>
      </c>
    </row>
    <row r="151" spans="1:11" s="702" customFormat="1">
      <c r="A151" s="960" t="s">
        <v>332</v>
      </c>
      <c r="B151" s="661" t="s">
        <v>192</v>
      </c>
      <c r="C151" s="661" t="s">
        <v>193</v>
      </c>
      <c r="D151" s="697" t="str">
        <f>D$53</f>
        <v>Expenditures</v>
      </c>
      <c r="E151" s="697" t="str">
        <f t="shared" ref="E151:J151" si="24">E$53</f>
        <v>Overheads</v>
      </c>
      <c r="F151" s="697" t="str">
        <f t="shared" si="24"/>
        <v>CWIP Exp</v>
      </c>
      <c r="G151" s="3" t="str">
        <f>G53</f>
        <v>Plant Adds</v>
      </c>
      <c r="H151" s="697" t="str">
        <f t="shared" si="24"/>
        <v>CWIP Closed</v>
      </c>
      <c r="I151" s="697" t="str">
        <f t="shared" si="24"/>
        <v>Closed to PIS</v>
      </c>
      <c r="J151" s="697" t="str">
        <f t="shared" si="24"/>
        <v>Period CWIP</v>
      </c>
      <c r="K151" s="697" t="str">
        <f>K$53</f>
        <v>Incremental CWIP</v>
      </c>
    </row>
    <row r="152" spans="1:11" s="702" customFormat="1">
      <c r="A152" s="111">
        <f>A146+1</f>
        <v>107</v>
      </c>
      <c r="B152" s="662" t="s">
        <v>180</v>
      </c>
      <c r="C152" s="663">
        <v>2016</v>
      </c>
      <c r="D152" s="706" t="s">
        <v>76</v>
      </c>
      <c r="E152" s="706" t="s">
        <v>76</v>
      </c>
      <c r="F152" s="706" t="s">
        <v>76</v>
      </c>
      <c r="G152" s="706" t="s">
        <v>76</v>
      </c>
      <c r="H152" s="706" t="s">
        <v>76</v>
      </c>
      <c r="I152" s="706" t="s">
        <v>76</v>
      </c>
      <c r="J152" s="63">
        <f>G25</f>
        <v>4204927.07</v>
      </c>
      <c r="K152" s="706" t="s">
        <v>76</v>
      </c>
    </row>
    <row r="153" spans="1:11" s="702" customFormat="1">
      <c r="A153" s="111">
        <f>A152+1</f>
        <v>108</v>
      </c>
      <c r="B153" s="662" t="s">
        <v>181</v>
      </c>
      <c r="C153" s="663">
        <v>2017</v>
      </c>
      <c r="D153" s="1136">
        <v>23973.66</v>
      </c>
      <c r="E153" s="63">
        <f>D153*'16-PlantAdditions'!$E$103</f>
        <v>1798.0245</v>
      </c>
      <c r="F153" s="63">
        <f>E153+D153</f>
        <v>25771.684499999999</v>
      </c>
      <c r="G153" s="1136">
        <v>0</v>
      </c>
      <c r="H153" s="1136">
        <v>0</v>
      </c>
      <c r="I153" s="63">
        <f>(G153-H153)*'16-PlantAdditions'!$E$103</f>
        <v>0</v>
      </c>
      <c r="J153" s="63">
        <f>J152+F153-G153-I153</f>
        <v>4230698.7545000007</v>
      </c>
      <c r="K153" s="63">
        <f>J153-$J$152</f>
        <v>25771.68450000044</v>
      </c>
    </row>
    <row r="154" spans="1:11" s="702" customFormat="1">
      <c r="A154" s="111">
        <f t="shared" ref="A154:A177" si="25">A153+1</f>
        <v>109</v>
      </c>
      <c r="B154" s="665" t="s">
        <v>182</v>
      </c>
      <c r="C154" s="663">
        <v>2017</v>
      </c>
      <c r="D154" s="1136">
        <v>42882.28</v>
      </c>
      <c r="E154" s="63">
        <f>D154*'16-PlantAdditions'!$E$103</f>
        <v>3216.1709999999998</v>
      </c>
      <c r="F154" s="63">
        <f t="shared" ref="F154:F176" si="26">E154+D154</f>
        <v>46098.451000000001</v>
      </c>
      <c r="G154" s="1136">
        <v>0</v>
      </c>
      <c r="H154" s="1136">
        <v>0</v>
      </c>
      <c r="I154" s="63">
        <f>(G154-H154)*'16-PlantAdditions'!$E$103</f>
        <v>0</v>
      </c>
      <c r="J154" s="63">
        <f t="shared" ref="J154:J173" si="27">J153+F154-G154-I154</f>
        <v>4276797.2055000011</v>
      </c>
      <c r="K154" s="63">
        <f t="shared" ref="K154:K176" si="28">J154-$J$152</f>
        <v>71870.13550000079</v>
      </c>
    </row>
    <row r="155" spans="1:11" s="702" customFormat="1">
      <c r="A155" s="111">
        <f t="shared" si="25"/>
        <v>110</v>
      </c>
      <c r="B155" s="665" t="s">
        <v>195</v>
      </c>
      <c r="C155" s="663">
        <v>2017</v>
      </c>
      <c r="D155" s="1136">
        <v>91249.24</v>
      </c>
      <c r="E155" s="63">
        <f>D155*'16-PlantAdditions'!$E$103</f>
        <v>6843.6930000000002</v>
      </c>
      <c r="F155" s="63">
        <f t="shared" si="26"/>
        <v>98092.933000000005</v>
      </c>
      <c r="G155" s="1136">
        <v>0</v>
      </c>
      <c r="H155" s="1136">
        <v>0</v>
      </c>
      <c r="I155" s="63">
        <f>(G155-H155)*'16-PlantAdditions'!$E$103</f>
        <v>0</v>
      </c>
      <c r="J155" s="63">
        <f t="shared" si="27"/>
        <v>4374890.1385000013</v>
      </c>
      <c r="K155" s="63">
        <f t="shared" si="28"/>
        <v>169963.06850000098</v>
      </c>
    </row>
    <row r="156" spans="1:11" s="702" customFormat="1">
      <c r="A156" s="111">
        <f t="shared" si="25"/>
        <v>111</v>
      </c>
      <c r="B156" s="662" t="s">
        <v>183</v>
      </c>
      <c r="C156" s="663">
        <v>2017</v>
      </c>
      <c r="D156" s="1136">
        <v>50000</v>
      </c>
      <c r="E156" s="63">
        <f>D156*'16-PlantAdditions'!$E$103</f>
        <v>3750</v>
      </c>
      <c r="F156" s="63">
        <f t="shared" si="26"/>
        <v>53750</v>
      </c>
      <c r="G156" s="1136">
        <v>0</v>
      </c>
      <c r="H156" s="1136">
        <v>0</v>
      </c>
      <c r="I156" s="63">
        <f>(G156-H156)*'16-PlantAdditions'!$E$103</f>
        <v>0</v>
      </c>
      <c r="J156" s="63">
        <f t="shared" si="27"/>
        <v>4428640.1385000013</v>
      </c>
      <c r="K156" s="63">
        <f t="shared" si="28"/>
        <v>223713.06850000098</v>
      </c>
    </row>
    <row r="157" spans="1:11" s="702" customFormat="1">
      <c r="A157" s="111">
        <f t="shared" si="25"/>
        <v>112</v>
      </c>
      <c r="B157" s="665" t="s">
        <v>184</v>
      </c>
      <c r="C157" s="663">
        <v>2017</v>
      </c>
      <c r="D157" s="1136">
        <v>50000</v>
      </c>
      <c r="E157" s="63">
        <f>D157*'16-PlantAdditions'!$E$103</f>
        <v>3750</v>
      </c>
      <c r="F157" s="63">
        <f t="shared" si="26"/>
        <v>53750</v>
      </c>
      <c r="G157" s="1136">
        <v>0</v>
      </c>
      <c r="H157" s="1136">
        <v>0</v>
      </c>
      <c r="I157" s="63">
        <f>(G157-H157)*'16-PlantAdditions'!$E$103</f>
        <v>0</v>
      </c>
      <c r="J157" s="63">
        <f t="shared" si="27"/>
        <v>4482390.1385000013</v>
      </c>
      <c r="K157" s="63">
        <f t="shared" si="28"/>
        <v>277463.06850000098</v>
      </c>
    </row>
    <row r="158" spans="1:11" s="702" customFormat="1">
      <c r="A158" s="111">
        <f t="shared" si="25"/>
        <v>113</v>
      </c>
      <c r="B158" s="665" t="s">
        <v>1483</v>
      </c>
      <c r="C158" s="663">
        <v>2017</v>
      </c>
      <c r="D158" s="1136">
        <v>50000</v>
      </c>
      <c r="E158" s="63">
        <f>D158*'16-PlantAdditions'!$E$103</f>
        <v>3750</v>
      </c>
      <c r="F158" s="63">
        <f t="shared" si="26"/>
        <v>53750</v>
      </c>
      <c r="G158" s="1136">
        <v>0</v>
      </c>
      <c r="H158" s="1136">
        <v>0</v>
      </c>
      <c r="I158" s="63">
        <f>(G158-H158)*'16-PlantAdditions'!$E$103</f>
        <v>0</v>
      </c>
      <c r="J158" s="63">
        <f t="shared" si="27"/>
        <v>4536140.1385000013</v>
      </c>
      <c r="K158" s="63">
        <f t="shared" si="28"/>
        <v>331213.06850000098</v>
      </c>
    </row>
    <row r="159" spans="1:11" s="702" customFormat="1">
      <c r="A159" s="111">
        <f t="shared" si="25"/>
        <v>114</v>
      </c>
      <c r="B159" s="662" t="s">
        <v>186</v>
      </c>
      <c r="C159" s="663">
        <v>2017</v>
      </c>
      <c r="D159" s="1136">
        <v>43144</v>
      </c>
      <c r="E159" s="63">
        <f>D159*'16-PlantAdditions'!$E$103</f>
        <v>3235.7999999999997</v>
      </c>
      <c r="F159" s="63">
        <f t="shared" si="26"/>
        <v>46379.8</v>
      </c>
      <c r="G159" s="1136">
        <v>0</v>
      </c>
      <c r="H159" s="1136">
        <v>0</v>
      </c>
      <c r="I159" s="63">
        <f>(G159-H159)*'16-PlantAdditions'!$E$103</f>
        <v>0</v>
      </c>
      <c r="J159" s="63">
        <f t="shared" si="27"/>
        <v>4582519.9385000011</v>
      </c>
      <c r="K159" s="63">
        <f t="shared" si="28"/>
        <v>377592.8685000008</v>
      </c>
    </row>
    <row r="160" spans="1:11" s="702" customFormat="1">
      <c r="A160" s="111">
        <f t="shared" si="25"/>
        <v>115</v>
      </c>
      <c r="B160" s="665" t="s">
        <v>187</v>
      </c>
      <c r="C160" s="663">
        <v>2017</v>
      </c>
      <c r="D160" s="1136">
        <v>50000</v>
      </c>
      <c r="E160" s="63">
        <f>D160*'16-PlantAdditions'!$E$103</f>
        <v>3750</v>
      </c>
      <c r="F160" s="63">
        <f t="shared" si="26"/>
        <v>53750</v>
      </c>
      <c r="G160" s="1136">
        <v>0</v>
      </c>
      <c r="H160" s="1136">
        <v>0</v>
      </c>
      <c r="I160" s="63">
        <f>(G160-H160)*'16-PlantAdditions'!$E$103</f>
        <v>0</v>
      </c>
      <c r="J160" s="63">
        <f t="shared" si="27"/>
        <v>4636269.9385000011</v>
      </c>
      <c r="K160" s="63">
        <f t="shared" si="28"/>
        <v>431342.8685000008</v>
      </c>
    </row>
    <row r="161" spans="1:11" s="702" customFormat="1">
      <c r="A161" s="111">
        <f t="shared" si="25"/>
        <v>116</v>
      </c>
      <c r="B161" s="665" t="s">
        <v>188</v>
      </c>
      <c r="C161" s="663">
        <v>2017</v>
      </c>
      <c r="D161" s="1136">
        <v>50000</v>
      </c>
      <c r="E161" s="63">
        <f>D161*'16-PlantAdditions'!$E$103</f>
        <v>3750</v>
      </c>
      <c r="F161" s="63">
        <f t="shared" si="26"/>
        <v>53750</v>
      </c>
      <c r="G161" s="1136">
        <v>0</v>
      </c>
      <c r="H161" s="1136">
        <v>0</v>
      </c>
      <c r="I161" s="63">
        <f>(G161-H161)*'16-PlantAdditions'!$E$103</f>
        <v>0</v>
      </c>
      <c r="J161" s="63">
        <f t="shared" si="27"/>
        <v>4690019.9385000011</v>
      </c>
      <c r="K161" s="63">
        <f t="shared" si="28"/>
        <v>485092.8685000008</v>
      </c>
    </row>
    <row r="162" spans="1:11" s="702" customFormat="1">
      <c r="A162" s="111">
        <f t="shared" si="25"/>
        <v>117</v>
      </c>
      <c r="B162" s="662" t="s">
        <v>191</v>
      </c>
      <c r="C162" s="663">
        <v>2017</v>
      </c>
      <c r="D162" s="1136">
        <v>40000</v>
      </c>
      <c r="E162" s="63">
        <f>D162*'16-PlantAdditions'!$E$103</f>
        <v>3000</v>
      </c>
      <c r="F162" s="63">
        <f t="shared" si="26"/>
        <v>43000</v>
      </c>
      <c r="G162" s="1136">
        <v>0</v>
      </c>
      <c r="H162" s="1136">
        <v>0</v>
      </c>
      <c r="I162" s="63">
        <f>(G162-H162)*'16-PlantAdditions'!$E$103</f>
        <v>0</v>
      </c>
      <c r="J162" s="63">
        <f t="shared" si="27"/>
        <v>4733019.9385000011</v>
      </c>
      <c r="K162" s="63">
        <f t="shared" si="28"/>
        <v>528092.8685000008</v>
      </c>
    </row>
    <row r="163" spans="1:11" s="702" customFormat="1">
      <c r="A163" s="111">
        <f t="shared" si="25"/>
        <v>118</v>
      </c>
      <c r="B163" s="662" t="s">
        <v>190</v>
      </c>
      <c r="C163" s="663">
        <v>2017</v>
      </c>
      <c r="D163" s="1136">
        <v>35000</v>
      </c>
      <c r="E163" s="63">
        <f>D163*'16-PlantAdditions'!$E$103</f>
        <v>2625</v>
      </c>
      <c r="F163" s="63">
        <f t="shared" si="26"/>
        <v>37625</v>
      </c>
      <c r="G163" s="1136">
        <v>0</v>
      </c>
      <c r="H163" s="1136">
        <v>0</v>
      </c>
      <c r="I163" s="63">
        <f>(G163-H163)*'16-PlantAdditions'!$E$103</f>
        <v>0</v>
      </c>
      <c r="J163" s="63">
        <f t="shared" si="27"/>
        <v>4770644.9385000011</v>
      </c>
      <c r="K163" s="63">
        <f t="shared" si="28"/>
        <v>565717.8685000008</v>
      </c>
    </row>
    <row r="164" spans="1:11" s="702" customFormat="1">
      <c r="A164" s="111">
        <f t="shared" si="25"/>
        <v>119</v>
      </c>
      <c r="B164" s="662" t="s">
        <v>180</v>
      </c>
      <c r="C164" s="663">
        <v>2017</v>
      </c>
      <c r="D164" s="1136">
        <v>24000</v>
      </c>
      <c r="E164" s="63">
        <f>D164*'16-PlantAdditions'!$E$103</f>
        <v>1800</v>
      </c>
      <c r="F164" s="63">
        <f t="shared" si="26"/>
        <v>25800</v>
      </c>
      <c r="G164" s="1136">
        <v>0</v>
      </c>
      <c r="H164" s="1136">
        <v>0</v>
      </c>
      <c r="I164" s="63">
        <f>(G164-H164)*'16-PlantAdditions'!$E$103</f>
        <v>0</v>
      </c>
      <c r="J164" s="63">
        <f t="shared" si="27"/>
        <v>4796444.9385000011</v>
      </c>
      <c r="K164" s="63">
        <f t="shared" si="28"/>
        <v>591517.8685000008</v>
      </c>
    </row>
    <row r="165" spans="1:11" s="702" customFormat="1">
      <c r="A165" s="111">
        <f t="shared" si="25"/>
        <v>120</v>
      </c>
      <c r="B165" s="662" t="s">
        <v>181</v>
      </c>
      <c r="C165" s="663">
        <v>2018</v>
      </c>
      <c r="D165" s="1136">
        <v>75000</v>
      </c>
      <c r="E165" s="63">
        <f>D165*'16-PlantAdditions'!$E$103</f>
        <v>5625</v>
      </c>
      <c r="F165" s="63">
        <f t="shared" si="26"/>
        <v>80625</v>
      </c>
      <c r="G165" s="1136">
        <v>0</v>
      </c>
      <c r="H165" s="1136">
        <v>0</v>
      </c>
      <c r="I165" s="63">
        <f>(G165-H165)*'16-PlantAdditions'!$E$103</f>
        <v>0</v>
      </c>
      <c r="J165" s="63">
        <f t="shared" si="27"/>
        <v>4877069.9385000011</v>
      </c>
      <c r="K165" s="63">
        <f t="shared" si="28"/>
        <v>672142.8685000008</v>
      </c>
    </row>
    <row r="166" spans="1:11" s="702" customFormat="1">
      <c r="A166" s="111">
        <f t="shared" si="25"/>
        <v>121</v>
      </c>
      <c r="B166" s="665" t="s">
        <v>182</v>
      </c>
      <c r="C166" s="663">
        <v>2018</v>
      </c>
      <c r="D166" s="1136">
        <v>75000</v>
      </c>
      <c r="E166" s="63">
        <f>D166*'16-PlantAdditions'!$E$103</f>
        <v>5625</v>
      </c>
      <c r="F166" s="63">
        <f t="shared" si="26"/>
        <v>80625</v>
      </c>
      <c r="G166" s="1136">
        <v>0</v>
      </c>
      <c r="H166" s="1136">
        <v>0</v>
      </c>
      <c r="I166" s="63">
        <f>(G166-H166)*'16-PlantAdditions'!$E$103</f>
        <v>0</v>
      </c>
      <c r="J166" s="63">
        <f t="shared" si="27"/>
        <v>4957694.9385000011</v>
      </c>
      <c r="K166" s="63">
        <f t="shared" si="28"/>
        <v>752767.8685000008</v>
      </c>
    </row>
    <row r="167" spans="1:11" s="702" customFormat="1">
      <c r="A167" s="111">
        <f t="shared" si="25"/>
        <v>122</v>
      </c>
      <c r="B167" s="665" t="s">
        <v>195</v>
      </c>
      <c r="C167" s="663">
        <v>2018</v>
      </c>
      <c r="D167" s="1136">
        <v>125000</v>
      </c>
      <c r="E167" s="63">
        <f>D167*'16-PlantAdditions'!$E$103</f>
        <v>9375</v>
      </c>
      <c r="F167" s="63">
        <f t="shared" si="26"/>
        <v>134375</v>
      </c>
      <c r="G167" s="1136">
        <v>0</v>
      </c>
      <c r="H167" s="1136">
        <v>0</v>
      </c>
      <c r="I167" s="63">
        <f>(G167-H167)*'16-PlantAdditions'!$E$103</f>
        <v>0</v>
      </c>
      <c r="J167" s="63">
        <f t="shared" si="27"/>
        <v>5092069.9385000011</v>
      </c>
      <c r="K167" s="63">
        <f t="shared" si="28"/>
        <v>887142.8685000008</v>
      </c>
    </row>
    <row r="168" spans="1:11" s="702" customFormat="1">
      <c r="A168" s="111">
        <f t="shared" si="25"/>
        <v>123</v>
      </c>
      <c r="B168" s="662" t="s">
        <v>183</v>
      </c>
      <c r="C168" s="663">
        <v>2018</v>
      </c>
      <c r="D168" s="1136">
        <v>125000</v>
      </c>
      <c r="E168" s="63">
        <f>D168*'16-PlantAdditions'!$E$103</f>
        <v>9375</v>
      </c>
      <c r="F168" s="63">
        <f t="shared" si="26"/>
        <v>134375</v>
      </c>
      <c r="G168" s="1136">
        <v>0</v>
      </c>
      <c r="H168" s="1136">
        <v>0</v>
      </c>
      <c r="I168" s="63">
        <f>(G168-H168)*'16-PlantAdditions'!$E$103</f>
        <v>0</v>
      </c>
      <c r="J168" s="63">
        <f t="shared" si="27"/>
        <v>5226444.9385000011</v>
      </c>
      <c r="K168" s="63">
        <f t="shared" si="28"/>
        <v>1021517.8685000008</v>
      </c>
    </row>
    <row r="169" spans="1:11" s="702" customFormat="1">
      <c r="A169" s="111">
        <f t="shared" si="25"/>
        <v>124</v>
      </c>
      <c r="B169" s="665" t="s">
        <v>184</v>
      </c>
      <c r="C169" s="663">
        <v>2018</v>
      </c>
      <c r="D169" s="1136">
        <v>200000</v>
      </c>
      <c r="E169" s="63">
        <f>D169*'16-PlantAdditions'!$E$103</f>
        <v>15000</v>
      </c>
      <c r="F169" s="63">
        <f t="shared" si="26"/>
        <v>215000</v>
      </c>
      <c r="G169" s="1136">
        <v>0</v>
      </c>
      <c r="H169" s="1136">
        <v>0</v>
      </c>
      <c r="I169" s="63">
        <f>(G169-H169)*'16-PlantAdditions'!$E$103</f>
        <v>0</v>
      </c>
      <c r="J169" s="63">
        <f t="shared" si="27"/>
        <v>5441444.9385000011</v>
      </c>
      <c r="K169" s="63">
        <f t="shared" si="28"/>
        <v>1236517.8685000008</v>
      </c>
    </row>
    <row r="170" spans="1:11" s="702" customFormat="1">
      <c r="A170" s="111">
        <f t="shared" si="25"/>
        <v>125</v>
      </c>
      <c r="B170" s="665" t="s">
        <v>1483</v>
      </c>
      <c r="C170" s="663">
        <v>2018</v>
      </c>
      <c r="D170" s="1136">
        <v>250000</v>
      </c>
      <c r="E170" s="63">
        <f>D170*'16-PlantAdditions'!$E$103</f>
        <v>18750</v>
      </c>
      <c r="F170" s="63">
        <f t="shared" si="26"/>
        <v>268750</v>
      </c>
      <c r="G170" s="1136">
        <v>0</v>
      </c>
      <c r="H170" s="1136">
        <v>0</v>
      </c>
      <c r="I170" s="63">
        <f>(G170-H170)*'16-PlantAdditions'!$E$103</f>
        <v>0</v>
      </c>
      <c r="J170" s="63">
        <f t="shared" si="27"/>
        <v>5710194.9385000011</v>
      </c>
      <c r="K170" s="63">
        <f t="shared" si="28"/>
        <v>1505267.8685000008</v>
      </c>
    </row>
    <row r="171" spans="1:11" s="702" customFormat="1">
      <c r="A171" s="111">
        <f t="shared" si="25"/>
        <v>126</v>
      </c>
      <c r="B171" s="662" t="s">
        <v>186</v>
      </c>
      <c r="C171" s="663">
        <v>2018</v>
      </c>
      <c r="D171" s="1136">
        <v>375000</v>
      </c>
      <c r="E171" s="63">
        <f>D171*'16-PlantAdditions'!$E$103</f>
        <v>28125</v>
      </c>
      <c r="F171" s="63">
        <f t="shared" si="26"/>
        <v>403125</v>
      </c>
      <c r="G171" s="1136">
        <v>0</v>
      </c>
      <c r="H171" s="1136">
        <v>0</v>
      </c>
      <c r="I171" s="63">
        <f>(G171-H171)*'16-PlantAdditions'!$E$103</f>
        <v>0</v>
      </c>
      <c r="J171" s="63">
        <f t="shared" si="27"/>
        <v>6113319.9385000011</v>
      </c>
      <c r="K171" s="63">
        <f t="shared" si="28"/>
        <v>1908392.8685000008</v>
      </c>
    </row>
    <row r="172" spans="1:11" s="702" customFormat="1">
      <c r="A172" s="111">
        <f t="shared" si="25"/>
        <v>127</v>
      </c>
      <c r="B172" s="665" t="s">
        <v>187</v>
      </c>
      <c r="C172" s="663">
        <v>2018</v>
      </c>
      <c r="D172" s="1136">
        <v>375000</v>
      </c>
      <c r="E172" s="63">
        <f>D172*'16-PlantAdditions'!$E$103</f>
        <v>28125</v>
      </c>
      <c r="F172" s="63">
        <f t="shared" si="26"/>
        <v>403125</v>
      </c>
      <c r="G172" s="1136">
        <v>0</v>
      </c>
      <c r="H172" s="1136">
        <v>0</v>
      </c>
      <c r="I172" s="63">
        <f>(G172-H172)*'16-PlantAdditions'!$E$103</f>
        <v>0</v>
      </c>
      <c r="J172" s="63">
        <f t="shared" si="27"/>
        <v>6516444.9385000011</v>
      </c>
      <c r="K172" s="63">
        <f t="shared" si="28"/>
        <v>2311517.8685000008</v>
      </c>
    </row>
    <row r="173" spans="1:11" s="702" customFormat="1">
      <c r="A173" s="111">
        <f t="shared" si="25"/>
        <v>128</v>
      </c>
      <c r="B173" s="665" t="s">
        <v>188</v>
      </c>
      <c r="C173" s="663">
        <v>2018</v>
      </c>
      <c r="D173" s="1136">
        <v>375000</v>
      </c>
      <c r="E173" s="63">
        <f>D173*'16-PlantAdditions'!$E$103</f>
        <v>28125</v>
      </c>
      <c r="F173" s="63">
        <f t="shared" si="26"/>
        <v>403125</v>
      </c>
      <c r="G173" s="1136">
        <v>0</v>
      </c>
      <c r="H173" s="1136">
        <v>0</v>
      </c>
      <c r="I173" s="63">
        <f>(G173-H173)*'16-PlantAdditions'!$E$103</f>
        <v>0</v>
      </c>
      <c r="J173" s="63">
        <f t="shared" si="27"/>
        <v>6919569.9385000011</v>
      </c>
      <c r="K173" s="63">
        <f t="shared" si="28"/>
        <v>2714642.8685000008</v>
      </c>
    </row>
    <row r="174" spans="1:11" s="702" customFormat="1">
      <c r="A174" s="111">
        <f t="shared" si="25"/>
        <v>129</v>
      </c>
      <c r="B174" s="665" t="s">
        <v>191</v>
      </c>
      <c r="C174" s="663">
        <v>2018</v>
      </c>
      <c r="D174" s="1136">
        <v>375000</v>
      </c>
      <c r="E174" s="63">
        <f>D174*'16-PlantAdditions'!$E$103</f>
        <v>28125</v>
      </c>
      <c r="F174" s="63">
        <f t="shared" si="26"/>
        <v>403125</v>
      </c>
      <c r="G174" s="1136">
        <v>0</v>
      </c>
      <c r="H174" s="1136">
        <v>0</v>
      </c>
      <c r="I174" s="63">
        <f>(G174-H174)*'16-PlantAdditions'!$E$103</f>
        <v>0</v>
      </c>
      <c r="J174" s="63">
        <f t="shared" ref="J174:J176" si="29">J173+F174-G174-I174</f>
        <v>7322694.9385000011</v>
      </c>
      <c r="K174" s="63">
        <f t="shared" si="28"/>
        <v>3117767.8685000008</v>
      </c>
    </row>
    <row r="175" spans="1:11" s="702" customFormat="1">
      <c r="A175" s="111">
        <f t="shared" si="25"/>
        <v>130</v>
      </c>
      <c r="B175" s="665" t="s">
        <v>190</v>
      </c>
      <c r="C175" s="663">
        <v>2018</v>
      </c>
      <c r="D175" s="1136">
        <v>300000</v>
      </c>
      <c r="E175" s="63">
        <f>D175*'16-PlantAdditions'!$E$103</f>
        <v>22500</v>
      </c>
      <c r="F175" s="63">
        <f t="shared" si="26"/>
        <v>322500</v>
      </c>
      <c r="G175" s="1136">
        <v>0</v>
      </c>
      <c r="H175" s="1136">
        <v>0</v>
      </c>
      <c r="I175" s="63">
        <f>(G175-H175)*'16-PlantAdditions'!$E$103</f>
        <v>0</v>
      </c>
      <c r="J175" s="63">
        <f t="shared" si="29"/>
        <v>7645194.9385000011</v>
      </c>
      <c r="K175" s="63">
        <f t="shared" si="28"/>
        <v>3440267.8685000008</v>
      </c>
    </row>
    <row r="176" spans="1:11" s="702" customFormat="1">
      <c r="A176" s="111">
        <f t="shared" si="25"/>
        <v>131</v>
      </c>
      <c r="B176" s="665" t="s">
        <v>180</v>
      </c>
      <c r="C176" s="663">
        <v>2018</v>
      </c>
      <c r="D176" s="1136">
        <v>250000</v>
      </c>
      <c r="E176" s="63">
        <f>D176*'16-PlantAdditions'!$E$103</f>
        <v>18750</v>
      </c>
      <c r="F176" s="63">
        <f t="shared" si="26"/>
        <v>268750</v>
      </c>
      <c r="G176" s="1136">
        <v>0</v>
      </c>
      <c r="H176" s="1136">
        <v>0</v>
      </c>
      <c r="I176" s="63">
        <f>(G176-H176)*'16-PlantAdditions'!$E$103</f>
        <v>0</v>
      </c>
      <c r="J176" s="63">
        <f t="shared" si="29"/>
        <v>7913944.9385000011</v>
      </c>
      <c r="K176" s="112">
        <f t="shared" si="28"/>
        <v>3709017.8685000008</v>
      </c>
    </row>
    <row r="177" spans="1:11" s="702" customFormat="1">
      <c r="A177" s="111">
        <f t="shared" si="25"/>
        <v>132</v>
      </c>
      <c r="B177"/>
      <c r="C177" s="701" t="s">
        <v>1635</v>
      </c>
      <c r="D177"/>
      <c r="E177"/>
      <c r="F177"/>
      <c r="G177"/>
      <c r="H177"/>
      <c r="I177"/>
      <c r="J177"/>
      <c r="K177" s="73">
        <f>AVERAGE(K164:K176)</f>
        <v>1836037.099269232</v>
      </c>
    </row>
    <row r="178" spans="1:11" s="702" customFormat="1">
      <c r="A178" s="111"/>
      <c r="B178"/>
      <c r="C178" s="701"/>
      <c r="D178"/>
      <c r="E178"/>
      <c r="F178"/>
      <c r="G178"/>
      <c r="H178"/>
      <c r="I178"/>
      <c r="J178"/>
      <c r="K178" s="73"/>
    </row>
    <row r="179" spans="1:11" s="702" customFormat="1">
      <c r="B179" s="703" t="s">
        <v>1970</v>
      </c>
      <c r="D179" s="1379" t="s">
        <v>1980</v>
      </c>
      <c r="E179" s="1379"/>
    </row>
    <row r="180" spans="1:11" s="702" customFormat="1">
      <c r="A180" s="697"/>
      <c r="B180" s="697"/>
      <c r="C180" s="697"/>
      <c r="D180" s="697" t="s">
        <v>363</v>
      </c>
      <c r="E180" s="697" t="s">
        <v>347</v>
      </c>
      <c r="F180" s="697" t="s">
        <v>348</v>
      </c>
      <c r="G180" s="697" t="s">
        <v>349</v>
      </c>
      <c r="H180" s="697" t="s">
        <v>350</v>
      </c>
      <c r="I180" s="697" t="s">
        <v>351</v>
      </c>
      <c r="J180" s="697" t="s">
        <v>352</v>
      </c>
      <c r="K180" s="697" t="s">
        <v>544</v>
      </c>
    </row>
    <row r="181" spans="1:11" s="702" customFormat="1" ht="38.25">
      <c r="D181" s="704"/>
      <c r="E181" s="705" t="s">
        <v>2108</v>
      </c>
      <c r="F181" s="706" t="s">
        <v>1964</v>
      </c>
      <c r="G181" s="512"/>
      <c r="H181" s="704"/>
      <c r="I181" s="705" t="s">
        <v>2109</v>
      </c>
      <c r="J181" s="705" t="s">
        <v>1965</v>
      </c>
      <c r="K181" s="705" t="s">
        <v>1966</v>
      </c>
    </row>
    <row r="182" spans="1:11" s="702" customFormat="1">
      <c r="D182" s="704"/>
      <c r="E182" s="705"/>
      <c r="F182" s="706"/>
      <c r="G182" s="4" t="str">
        <f>G51</f>
        <v>Unloaded</v>
      </c>
      <c r="H182" s="704"/>
      <c r="I182" s="705"/>
      <c r="J182" s="705"/>
      <c r="K182" s="705"/>
    </row>
    <row r="183" spans="1:11" s="702" customFormat="1">
      <c r="A183" s="699"/>
      <c r="B183" s="699"/>
      <c r="C183" s="699"/>
      <c r="D183" s="699" t="str">
        <f>D$52</f>
        <v>Forecast</v>
      </c>
      <c r="E183" s="699" t="str">
        <f t="shared" ref="E183:J183" si="30">E$52</f>
        <v>Corporate</v>
      </c>
      <c r="F183" s="699" t="str">
        <f t="shared" si="30"/>
        <v xml:space="preserve">Total </v>
      </c>
      <c r="G183" s="4" t="str">
        <f>G52</f>
        <v>Total</v>
      </c>
      <c r="H183" s="699" t="str">
        <f t="shared" si="30"/>
        <v>Prior Period</v>
      </c>
      <c r="I183" s="699" t="str">
        <f t="shared" si="30"/>
        <v>Over Heads</v>
      </c>
      <c r="J183" s="699" t="str">
        <f t="shared" si="30"/>
        <v>Forecast</v>
      </c>
      <c r="K183" s="600" t="str">
        <f>K$52</f>
        <v>Forecast Period</v>
      </c>
    </row>
    <row r="184" spans="1:11" s="702" customFormat="1">
      <c r="A184" s="960" t="s">
        <v>332</v>
      </c>
      <c r="B184" s="661" t="s">
        <v>192</v>
      </c>
      <c r="C184" s="661" t="s">
        <v>193</v>
      </c>
      <c r="D184" s="697" t="str">
        <f>D$53</f>
        <v>Expenditures</v>
      </c>
      <c r="E184" s="697" t="str">
        <f t="shared" ref="E184:J184" si="31">E$53</f>
        <v>Overheads</v>
      </c>
      <c r="F184" s="697" t="str">
        <f t="shared" si="31"/>
        <v>CWIP Exp</v>
      </c>
      <c r="G184" s="84" t="str">
        <f>G53</f>
        <v>Plant Adds</v>
      </c>
      <c r="H184" s="697" t="str">
        <f t="shared" si="31"/>
        <v>CWIP Closed</v>
      </c>
      <c r="I184" s="697" t="str">
        <f t="shared" si="31"/>
        <v>Closed to PIS</v>
      </c>
      <c r="J184" s="697" t="str">
        <f t="shared" si="31"/>
        <v>Period CWIP</v>
      </c>
      <c r="K184" s="697" t="str">
        <f>K$53</f>
        <v>Incremental CWIP</v>
      </c>
    </row>
    <row r="185" spans="1:11" s="702" customFormat="1">
      <c r="A185" s="111">
        <f>A177+1</f>
        <v>133</v>
      </c>
      <c r="B185" s="662" t="s">
        <v>180</v>
      </c>
      <c r="C185" s="663">
        <v>2016</v>
      </c>
      <c r="D185" s="706" t="s">
        <v>76</v>
      </c>
      <c r="E185" s="706" t="s">
        <v>76</v>
      </c>
      <c r="F185" s="706" t="s">
        <v>76</v>
      </c>
      <c r="G185" s="706" t="s">
        <v>76</v>
      </c>
      <c r="H185" s="706" t="s">
        <v>76</v>
      </c>
      <c r="I185" s="706" t="s">
        <v>76</v>
      </c>
      <c r="J185" s="63">
        <f>H25</f>
        <v>69685244.670000002</v>
      </c>
      <c r="K185" s="706" t="s">
        <v>76</v>
      </c>
    </row>
    <row r="186" spans="1:11" s="702" customFormat="1">
      <c r="A186" s="111">
        <f>A185+1</f>
        <v>134</v>
      </c>
      <c r="B186" s="662" t="s">
        <v>181</v>
      </c>
      <c r="C186" s="663">
        <v>2017</v>
      </c>
      <c r="D186" s="1136">
        <v>427982.87000000005</v>
      </c>
      <c r="E186" s="63">
        <f>D186*'16-PlantAdditions'!$E$103</f>
        <v>32098.715250000001</v>
      </c>
      <c r="F186" s="63">
        <f>E186+D186</f>
        <v>460081.58525000006</v>
      </c>
      <c r="G186" s="1136">
        <v>0</v>
      </c>
      <c r="H186" s="1136">
        <v>0</v>
      </c>
      <c r="I186" s="63">
        <f>(G186-H186)*'16-PlantAdditions'!$E$103</f>
        <v>0</v>
      </c>
      <c r="J186" s="63">
        <f>J185+F186-G186-I186</f>
        <v>70145326.255250007</v>
      </c>
      <c r="K186" s="63">
        <f>J186-$J$185</f>
        <v>460081.58525000513</v>
      </c>
    </row>
    <row r="187" spans="1:11" s="702" customFormat="1">
      <c r="A187" s="111">
        <f t="shared" ref="A187:A210" si="32">A186+1</f>
        <v>135</v>
      </c>
      <c r="B187" s="665" t="s">
        <v>182</v>
      </c>
      <c r="C187" s="663">
        <v>2017</v>
      </c>
      <c r="D187" s="1136">
        <v>747590.12000000011</v>
      </c>
      <c r="E187" s="63">
        <f>D187*'16-PlantAdditions'!$E$103</f>
        <v>56069.259000000005</v>
      </c>
      <c r="F187" s="63">
        <f t="shared" ref="F187:F206" si="33">E187+D187</f>
        <v>803659.37900000007</v>
      </c>
      <c r="G187" s="1136">
        <v>0</v>
      </c>
      <c r="H187" s="1136">
        <v>0</v>
      </c>
      <c r="I187" s="63">
        <f>(G187-H187)*'16-PlantAdditions'!$E$103</f>
        <v>0</v>
      </c>
      <c r="J187" s="63">
        <f t="shared" ref="J187:J206" si="34">J186+F187-G187-I187</f>
        <v>70948985.63425</v>
      </c>
      <c r="K187" s="63">
        <f t="shared" ref="K187:K209" si="35">J187-$J$185</f>
        <v>1263740.9642499983</v>
      </c>
    </row>
    <row r="188" spans="1:11" s="702" customFormat="1">
      <c r="A188" s="111">
        <f t="shared" si="32"/>
        <v>136</v>
      </c>
      <c r="B188" s="665" t="s">
        <v>195</v>
      </c>
      <c r="C188" s="663">
        <v>2017</v>
      </c>
      <c r="D188" s="1136">
        <v>2489500.6599999997</v>
      </c>
      <c r="E188" s="63">
        <f>D188*'16-PlantAdditions'!$E$103</f>
        <v>186712.54949999996</v>
      </c>
      <c r="F188" s="63">
        <f t="shared" si="33"/>
        <v>2676213.2094999999</v>
      </c>
      <c r="G188" s="1136">
        <v>0</v>
      </c>
      <c r="H188" s="1136">
        <v>0</v>
      </c>
      <c r="I188" s="63">
        <f>(G188-H188)*'16-PlantAdditions'!$E$103</f>
        <v>0</v>
      </c>
      <c r="J188" s="63">
        <f t="shared" si="34"/>
        <v>73625198.84375</v>
      </c>
      <c r="K188" s="63">
        <f t="shared" si="35"/>
        <v>3939954.1737499982</v>
      </c>
    </row>
    <row r="189" spans="1:11" s="702" customFormat="1">
      <c r="A189" s="111">
        <f t="shared" si="32"/>
        <v>137</v>
      </c>
      <c r="B189" s="662" t="s">
        <v>183</v>
      </c>
      <c r="C189" s="663">
        <v>2017</v>
      </c>
      <c r="D189" s="1136">
        <v>993608.99999999988</v>
      </c>
      <c r="E189" s="63">
        <f>D189*'16-PlantAdditions'!$E$103</f>
        <v>74520.674999999988</v>
      </c>
      <c r="F189" s="63">
        <f t="shared" si="33"/>
        <v>1068129.6749999998</v>
      </c>
      <c r="G189" s="1136">
        <v>0</v>
      </c>
      <c r="H189" s="1136">
        <v>0</v>
      </c>
      <c r="I189" s="63">
        <f>(G189-H189)*'16-PlantAdditions'!$E$103</f>
        <v>0</v>
      </c>
      <c r="J189" s="63">
        <f t="shared" si="34"/>
        <v>74693328.518749997</v>
      </c>
      <c r="K189" s="63">
        <f t="shared" si="35"/>
        <v>5008083.8487499952</v>
      </c>
    </row>
    <row r="190" spans="1:11" s="702" customFormat="1">
      <c r="A190" s="111">
        <f t="shared" si="32"/>
        <v>138</v>
      </c>
      <c r="B190" s="665" t="s">
        <v>184</v>
      </c>
      <c r="C190" s="663">
        <v>2017</v>
      </c>
      <c r="D190" s="1136">
        <v>1393303</v>
      </c>
      <c r="E190" s="63">
        <f>D190*'16-PlantAdditions'!$E$103</f>
        <v>104497.72499999999</v>
      </c>
      <c r="F190" s="63">
        <f t="shared" si="33"/>
        <v>1497800.7250000001</v>
      </c>
      <c r="G190" s="1136">
        <v>0</v>
      </c>
      <c r="H190" s="1136">
        <v>0</v>
      </c>
      <c r="I190" s="63">
        <f>(G190-H190)*'16-PlantAdditions'!$E$103</f>
        <v>0</v>
      </c>
      <c r="J190" s="63">
        <f t="shared" si="34"/>
        <v>76191129.243749991</v>
      </c>
      <c r="K190" s="63">
        <f t="shared" si="35"/>
        <v>6505884.5737499893</v>
      </c>
    </row>
    <row r="191" spans="1:11" s="702" customFormat="1">
      <c r="A191" s="111">
        <f t="shared" si="32"/>
        <v>139</v>
      </c>
      <c r="B191" s="665" t="s">
        <v>1483</v>
      </c>
      <c r="C191" s="663">
        <v>2017</v>
      </c>
      <c r="D191" s="1136">
        <v>1354552.0000000002</v>
      </c>
      <c r="E191" s="63">
        <f>D191*'16-PlantAdditions'!$E$103</f>
        <v>101591.40000000001</v>
      </c>
      <c r="F191" s="63">
        <f t="shared" si="33"/>
        <v>1456143.4000000001</v>
      </c>
      <c r="G191" s="1136">
        <v>0</v>
      </c>
      <c r="H191" s="1136">
        <v>0</v>
      </c>
      <c r="I191" s="63">
        <f>(G191-H191)*'16-PlantAdditions'!$E$103</f>
        <v>0</v>
      </c>
      <c r="J191" s="63">
        <f t="shared" si="34"/>
        <v>77647272.643749997</v>
      </c>
      <c r="K191" s="63">
        <f t="shared" si="35"/>
        <v>7962027.9737499952</v>
      </c>
    </row>
    <row r="192" spans="1:11" s="702" customFormat="1">
      <c r="A192" s="111">
        <f t="shared" si="32"/>
        <v>140</v>
      </c>
      <c r="B192" s="662" t="s">
        <v>186</v>
      </c>
      <c r="C192" s="663">
        <v>2017</v>
      </c>
      <c r="D192" s="1136">
        <v>3567310.9999999995</v>
      </c>
      <c r="E192" s="63">
        <f>D192*'16-PlantAdditions'!$E$103</f>
        <v>267548.32499999995</v>
      </c>
      <c r="F192" s="63">
        <f t="shared" si="33"/>
        <v>3834859.3249999993</v>
      </c>
      <c r="G192" s="1136">
        <v>0</v>
      </c>
      <c r="H192" s="1136">
        <v>0</v>
      </c>
      <c r="I192" s="63">
        <f>(G192-H192)*'16-PlantAdditions'!$E$103</f>
        <v>0</v>
      </c>
      <c r="J192" s="63">
        <f t="shared" si="34"/>
        <v>81482131.96875</v>
      </c>
      <c r="K192" s="63">
        <f t="shared" si="35"/>
        <v>11796887.298749998</v>
      </c>
    </row>
    <row r="193" spans="1:11" s="702" customFormat="1">
      <c r="A193" s="111">
        <f t="shared" si="32"/>
        <v>141</v>
      </c>
      <c r="B193" s="665" t="s">
        <v>187</v>
      </c>
      <c r="C193" s="663">
        <v>2017</v>
      </c>
      <c r="D193" s="1136">
        <v>4249978.9999999991</v>
      </c>
      <c r="E193" s="63">
        <f>D193*'16-PlantAdditions'!$E$103</f>
        <v>318748.42499999993</v>
      </c>
      <c r="F193" s="63">
        <f t="shared" si="33"/>
        <v>4568727.4249999989</v>
      </c>
      <c r="G193" s="1136">
        <v>0</v>
      </c>
      <c r="H193" s="1136">
        <v>0</v>
      </c>
      <c r="I193" s="63">
        <f>(G193-H193)*'16-PlantAdditions'!$E$103</f>
        <v>0</v>
      </c>
      <c r="J193" s="63">
        <f t="shared" si="34"/>
        <v>86050859.393749997</v>
      </c>
      <c r="K193" s="63">
        <f t="shared" si="35"/>
        <v>16365614.723749995</v>
      </c>
    </row>
    <row r="194" spans="1:11" s="702" customFormat="1">
      <c r="A194" s="111">
        <f t="shared" si="32"/>
        <v>142</v>
      </c>
      <c r="B194" s="665" t="s">
        <v>188</v>
      </c>
      <c r="C194" s="663">
        <v>2017</v>
      </c>
      <c r="D194" s="1136">
        <v>5137763</v>
      </c>
      <c r="E194" s="63">
        <f>D194*'16-PlantAdditions'!$E$103</f>
        <v>385332.22499999998</v>
      </c>
      <c r="F194" s="63">
        <f t="shared" si="33"/>
        <v>5523095.2249999996</v>
      </c>
      <c r="G194" s="1136">
        <v>0</v>
      </c>
      <c r="H194" s="1136">
        <v>0</v>
      </c>
      <c r="I194" s="63">
        <f>(G194-H194)*'16-PlantAdditions'!$E$103</f>
        <v>0</v>
      </c>
      <c r="J194" s="63">
        <f t="shared" si="34"/>
        <v>91573954.618749991</v>
      </c>
      <c r="K194" s="63">
        <f t="shared" si="35"/>
        <v>21888709.948749989</v>
      </c>
    </row>
    <row r="195" spans="1:11" s="702" customFormat="1">
      <c r="A195" s="111">
        <f t="shared" si="32"/>
        <v>143</v>
      </c>
      <c r="B195" s="662" t="s">
        <v>191</v>
      </c>
      <c r="C195" s="663">
        <v>2017</v>
      </c>
      <c r="D195" s="1136">
        <v>5018559.0000000009</v>
      </c>
      <c r="E195" s="63">
        <f>D195*'16-PlantAdditions'!$E$103</f>
        <v>376391.92500000005</v>
      </c>
      <c r="F195" s="63">
        <f t="shared" si="33"/>
        <v>5394950.9250000007</v>
      </c>
      <c r="G195" s="1136">
        <v>0</v>
      </c>
      <c r="H195" s="1136">
        <v>0</v>
      </c>
      <c r="I195" s="63">
        <f>(G195-H195)*'16-PlantAdditions'!$E$103</f>
        <v>0</v>
      </c>
      <c r="J195" s="63">
        <f t="shared" si="34"/>
        <v>96968905.543749988</v>
      </c>
      <c r="K195" s="63">
        <f t="shared" si="35"/>
        <v>27283660.873749986</v>
      </c>
    </row>
    <row r="196" spans="1:11" s="702" customFormat="1">
      <c r="A196" s="111">
        <f t="shared" si="32"/>
        <v>144</v>
      </c>
      <c r="B196" s="662" t="s">
        <v>190</v>
      </c>
      <c r="C196" s="663">
        <v>2017</v>
      </c>
      <c r="D196" s="1136">
        <v>4063589.0000000005</v>
      </c>
      <c r="E196" s="63">
        <f>D196*'16-PlantAdditions'!$E$103</f>
        <v>304769.17500000005</v>
      </c>
      <c r="F196" s="63">
        <f t="shared" si="33"/>
        <v>4368358.1750000007</v>
      </c>
      <c r="G196" s="1136">
        <v>0</v>
      </c>
      <c r="H196" s="1136">
        <v>0</v>
      </c>
      <c r="I196" s="63">
        <f>(G196-H196)*'16-PlantAdditions'!$E$103</f>
        <v>0</v>
      </c>
      <c r="J196" s="63">
        <f t="shared" si="34"/>
        <v>101337263.71874999</v>
      </c>
      <c r="K196" s="63">
        <f t="shared" si="35"/>
        <v>31652019.048749983</v>
      </c>
    </row>
    <row r="197" spans="1:11" s="702" customFormat="1">
      <c r="A197" s="111">
        <f t="shared" si="32"/>
        <v>145</v>
      </c>
      <c r="B197" s="662" t="s">
        <v>180</v>
      </c>
      <c r="C197" s="663">
        <v>2017</v>
      </c>
      <c r="D197" s="1136">
        <v>8316849</v>
      </c>
      <c r="E197" s="63">
        <f>D197*'16-PlantAdditions'!$E$103</f>
        <v>623763.67499999993</v>
      </c>
      <c r="F197" s="63">
        <f t="shared" si="33"/>
        <v>8940612.6750000007</v>
      </c>
      <c r="G197" s="1136">
        <v>0</v>
      </c>
      <c r="H197" s="1136">
        <v>0</v>
      </c>
      <c r="I197" s="63">
        <f>(G197-H197)*'16-PlantAdditions'!$E$103</f>
        <v>0</v>
      </c>
      <c r="J197" s="63">
        <f t="shared" si="34"/>
        <v>110277876.39374998</v>
      </c>
      <c r="K197" s="63">
        <f t="shared" si="35"/>
        <v>40592631.72374998</v>
      </c>
    </row>
    <row r="198" spans="1:11" s="702" customFormat="1">
      <c r="A198" s="111">
        <f t="shared" si="32"/>
        <v>146</v>
      </c>
      <c r="B198" s="662" t="s">
        <v>181</v>
      </c>
      <c r="C198" s="663">
        <v>2018</v>
      </c>
      <c r="D198" s="1136">
        <v>8471000</v>
      </c>
      <c r="E198" s="63">
        <f>D198*'16-PlantAdditions'!$E$103</f>
        <v>635325</v>
      </c>
      <c r="F198" s="63">
        <f t="shared" si="33"/>
        <v>9106325</v>
      </c>
      <c r="G198" s="1136">
        <v>0</v>
      </c>
      <c r="H198" s="1136">
        <v>0</v>
      </c>
      <c r="I198" s="63">
        <f>(G198-H198)*'16-PlantAdditions'!$E$103</f>
        <v>0</v>
      </c>
      <c r="J198" s="63">
        <f t="shared" si="34"/>
        <v>119384201.39374998</v>
      </c>
      <c r="K198" s="63">
        <f t="shared" si="35"/>
        <v>49698956.72374998</v>
      </c>
    </row>
    <row r="199" spans="1:11" s="702" customFormat="1">
      <c r="A199" s="111">
        <f t="shared" si="32"/>
        <v>147</v>
      </c>
      <c r="B199" s="665" t="s">
        <v>182</v>
      </c>
      <c r="C199" s="663">
        <v>2018</v>
      </c>
      <c r="D199" s="1136">
        <v>8671000</v>
      </c>
      <c r="E199" s="63">
        <f>D199*'16-PlantAdditions'!$E$103</f>
        <v>650325</v>
      </c>
      <c r="F199" s="63">
        <f t="shared" si="33"/>
        <v>9321325</v>
      </c>
      <c r="G199" s="1136">
        <v>0</v>
      </c>
      <c r="H199" s="1136">
        <v>0</v>
      </c>
      <c r="I199" s="63">
        <f>(G199-H199)*'16-PlantAdditions'!$E$103</f>
        <v>0</v>
      </c>
      <c r="J199" s="63">
        <f t="shared" si="34"/>
        <v>128705526.39374998</v>
      </c>
      <c r="K199" s="63">
        <f t="shared" si="35"/>
        <v>59020281.72374998</v>
      </c>
    </row>
    <row r="200" spans="1:11" s="702" customFormat="1">
      <c r="A200" s="111">
        <f t="shared" si="32"/>
        <v>148</v>
      </c>
      <c r="B200" s="665" t="s">
        <v>195</v>
      </c>
      <c r="C200" s="663">
        <v>2018</v>
      </c>
      <c r="D200" s="1136">
        <v>20991000</v>
      </c>
      <c r="E200" s="63">
        <f>D200*'16-PlantAdditions'!$E$103</f>
        <v>1574325</v>
      </c>
      <c r="F200" s="63">
        <f t="shared" si="33"/>
        <v>22565325</v>
      </c>
      <c r="G200" s="1136">
        <v>0</v>
      </c>
      <c r="H200" s="1136">
        <v>0</v>
      </c>
      <c r="I200" s="63">
        <f>(G200-H200)*'16-PlantAdditions'!$E$103</f>
        <v>0</v>
      </c>
      <c r="J200" s="63">
        <f t="shared" si="34"/>
        <v>151270851.39374998</v>
      </c>
      <c r="K200" s="63">
        <f t="shared" si="35"/>
        <v>81585606.72374998</v>
      </c>
    </row>
    <row r="201" spans="1:11" s="702" customFormat="1">
      <c r="A201" s="111">
        <f t="shared" si="32"/>
        <v>149</v>
      </c>
      <c r="B201" s="662" t="s">
        <v>183</v>
      </c>
      <c r="C201" s="663">
        <v>2018</v>
      </c>
      <c r="D201" s="1136">
        <v>20991000</v>
      </c>
      <c r="E201" s="63">
        <f>D201*'16-PlantAdditions'!$E$103</f>
        <v>1574325</v>
      </c>
      <c r="F201" s="63">
        <f t="shared" si="33"/>
        <v>22565325</v>
      </c>
      <c r="G201" s="1136">
        <v>0</v>
      </c>
      <c r="H201" s="1136">
        <v>0</v>
      </c>
      <c r="I201" s="63">
        <f>(G201-H201)*'16-PlantAdditions'!$E$103</f>
        <v>0</v>
      </c>
      <c r="J201" s="63">
        <f t="shared" si="34"/>
        <v>173836176.39374998</v>
      </c>
      <c r="K201" s="63">
        <f t="shared" si="35"/>
        <v>104150931.72374998</v>
      </c>
    </row>
    <row r="202" spans="1:11" s="702" customFormat="1">
      <c r="A202" s="111">
        <f t="shared" si="32"/>
        <v>150</v>
      </c>
      <c r="B202" s="665" t="s">
        <v>184</v>
      </c>
      <c r="C202" s="663">
        <v>2018</v>
      </c>
      <c r="D202" s="1136">
        <v>21071000</v>
      </c>
      <c r="E202" s="63">
        <f>D202*'16-PlantAdditions'!$E$103</f>
        <v>1580325</v>
      </c>
      <c r="F202" s="63">
        <f t="shared" si="33"/>
        <v>22651325</v>
      </c>
      <c r="G202" s="1136">
        <v>0</v>
      </c>
      <c r="H202" s="1136">
        <v>0</v>
      </c>
      <c r="I202" s="63">
        <f>(G202-H202)*'16-PlantAdditions'!$E$103</f>
        <v>0</v>
      </c>
      <c r="J202" s="63">
        <f t="shared" si="34"/>
        <v>196487501.39374998</v>
      </c>
      <c r="K202" s="63">
        <f t="shared" si="35"/>
        <v>126802256.72374998</v>
      </c>
    </row>
    <row r="203" spans="1:11" s="702" customFormat="1">
      <c r="A203" s="111">
        <f t="shared" si="32"/>
        <v>151</v>
      </c>
      <c r="B203" s="665" t="s">
        <v>1483</v>
      </c>
      <c r="C203" s="663">
        <v>2018</v>
      </c>
      <c r="D203" s="1136">
        <v>21060000</v>
      </c>
      <c r="E203" s="63">
        <f>D203*'16-PlantAdditions'!$E$103</f>
        <v>1579500</v>
      </c>
      <c r="F203" s="63">
        <f t="shared" si="33"/>
        <v>22639500</v>
      </c>
      <c r="G203" s="1136">
        <v>0</v>
      </c>
      <c r="H203" s="1136">
        <v>0</v>
      </c>
      <c r="I203" s="63">
        <f>(G203-H203)*'16-PlantAdditions'!$E$103</f>
        <v>0</v>
      </c>
      <c r="J203" s="63">
        <f t="shared" si="34"/>
        <v>219127001.39374998</v>
      </c>
      <c r="K203" s="63">
        <f t="shared" si="35"/>
        <v>149441756.72375</v>
      </c>
    </row>
    <row r="204" spans="1:11" s="702" customFormat="1">
      <c r="A204" s="111">
        <f t="shared" si="32"/>
        <v>152</v>
      </c>
      <c r="B204" s="662" t="s">
        <v>186</v>
      </c>
      <c r="C204" s="663">
        <v>2018</v>
      </c>
      <c r="D204" s="1136">
        <v>21140000</v>
      </c>
      <c r="E204" s="63">
        <f>D204*'16-PlantAdditions'!$E$103</f>
        <v>1585500</v>
      </c>
      <c r="F204" s="63">
        <f t="shared" si="33"/>
        <v>22725500</v>
      </c>
      <c r="G204" s="1136">
        <v>0</v>
      </c>
      <c r="H204" s="1136">
        <v>0</v>
      </c>
      <c r="I204" s="63">
        <f>(G204-H204)*'16-PlantAdditions'!$E$103</f>
        <v>0</v>
      </c>
      <c r="J204" s="63">
        <f t="shared" si="34"/>
        <v>241852501.39374998</v>
      </c>
      <c r="K204" s="63">
        <f t="shared" si="35"/>
        <v>172167256.72375</v>
      </c>
    </row>
    <row r="205" spans="1:11" s="702" customFormat="1">
      <c r="A205" s="111">
        <f t="shared" si="32"/>
        <v>153</v>
      </c>
      <c r="B205" s="665" t="s">
        <v>187</v>
      </c>
      <c r="C205" s="663">
        <v>2018</v>
      </c>
      <c r="D205" s="1136">
        <v>21193000</v>
      </c>
      <c r="E205" s="63">
        <f>D205*'16-PlantAdditions'!$E$103</f>
        <v>1589475</v>
      </c>
      <c r="F205" s="63">
        <f t="shared" si="33"/>
        <v>22782475</v>
      </c>
      <c r="G205" s="1136">
        <v>0</v>
      </c>
      <c r="H205" s="1136">
        <v>0</v>
      </c>
      <c r="I205" s="63">
        <f>(G205-H205)*'16-PlantAdditions'!$E$103</f>
        <v>0</v>
      </c>
      <c r="J205" s="63">
        <f t="shared" si="34"/>
        <v>264634976.39374998</v>
      </c>
      <c r="K205" s="63">
        <f t="shared" si="35"/>
        <v>194949731.72375</v>
      </c>
    </row>
    <row r="206" spans="1:11" s="702" customFormat="1">
      <c r="A206" s="111">
        <f t="shared" si="32"/>
        <v>154</v>
      </c>
      <c r="B206" s="665" t="s">
        <v>188</v>
      </c>
      <c r="C206" s="663">
        <v>2018</v>
      </c>
      <c r="D206" s="1136">
        <v>23061000</v>
      </c>
      <c r="E206" s="63">
        <f>D206*'16-PlantAdditions'!$E$103</f>
        <v>1729575</v>
      </c>
      <c r="F206" s="63">
        <f t="shared" si="33"/>
        <v>24790575</v>
      </c>
      <c r="G206" s="1136">
        <v>0</v>
      </c>
      <c r="H206" s="1136">
        <v>0</v>
      </c>
      <c r="I206" s="63">
        <f>(G206-H206)*'16-PlantAdditions'!$E$103</f>
        <v>0</v>
      </c>
      <c r="J206" s="63">
        <f t="shared" si="34"/>
        <v>289425551.39374995</v>
      </c>
      <c r="K206" s="63">
        <f t="shared" si="35"/>
        <v>219740306.72374994</v>
      </c>
    </row>
    <row r="207" spans="1:11" s="702" customFormat="1">
      <c r="A207" s="111">
        <f t="shared" si="32"/>
        <v>155</v>
      </c>
      <c r="B207" s="665" t="s">
        <v>191</v>
      </c>
      <c r="C207" s="663">
        <v>2018</v>
      </c>
      <c r="D207" s="1136">
        <v>28552000</v>
      </c>
      <c r="E207" s="63">
        <f>D207*'16-PlantAdditions'!$E$103</f>
        <v>2141400</v>
      </c>
      <c r="F207" s="63">
        <f t="shared" ref="F207:F209" si="36">E207+D207</f>
        <v>30693400</v>
      </c>
      <c r="G207" s="1136">
        <v>0</v>
      </c>
      <c r="H207" s="1136">
        <v>0</v>
      </c>
      <c r="I207" s="63">
        <f>(G207-H207)*'16-PlantAdditions'!$E$103</f>
        <v>0</v>
      </c>
      <c r="J207" s="63">
        <f t="shared" ref="J207:J209" si="37">J206+F207-G207-I207</f>
        <v>320118951.39374995</v>
      </c>
      <c r="K207" s="63">
        <f t="shared" si="35"/>
        <v>250433706.72374994</v>
      </c>
    </row>
    <row r="208" spans="1:11" s="702" customFormat="1">
      <c r="A208" s="111">
        <f t="shared" si="32"/>
        <v>156</v>
      </c>
      <c r="B208" s="665" t="s">
        <v>190</v>
      </c>
      <c r="C208" s="663">
        <v>2018</v>
      </c>
      <c r="D208" s="1136">
        <v>22224000</v>
      </c>
      <c r="E208" s="63">
        <f>D208*'16-PlantAdditions'!$E$103</f>
        <v>1666800</v>
      </c>
      <c r="F208" s="63">
        <f t="shared" si="36"/>
        <v>23890800</v>
      </c>
      <c r="G208" s="1136">
        <v>0</v>
      </c>
      <c r="H208" s="1136">
        <v>0</v>
      </c>
      <c r="I208" s="63">
        <f>(G208-H208)*'16-PlantAdditions'!$E$103</f>
        <v>0</v>
      </c>
      <c r="J208" s="63">
        <f t="shared" si="37"/>
        <v>344009751.39374995</v>
      </c>
      <c r="K208" s="63">
        <f t="shared" si="35"/>
        <v>274324506.72374994</v>
      </c>
    </row>
    <row r="209" spans="1:11" s="702" customFormat="1">
      <c r="A209" s="111">
        <f t="shared" si="32"/>
        <v>157</v>
      </c>
      <c r="B209" s="665" t="s">
        <v>180</v>
      </c>
      <c r="C209" s="663">
        <v>2018</v>
      </c>
      <c r="D209" s="1136">
        <v>22389000</v>
      </c>
      <c r="E209" s="63">
        <f>D209*'16-PlantAdditions'!$E$103</f>
        <v>1679175</v>
      </c>
      <c r="F209" s="63">
        <f t="shared" si="36"/>
        <v>24068175</v>
      </c>
      <c r="G209" s="1136">
        <v>0</v>
      </c>
      <c r="H209" s="1136">
        <v>0</v>
      </c>
      <c r="I209" s="63">
        <f>(G209-H209)*'16-PlantAdditions'!$E$103</f>
        <v>0</v>
      </c>
      <c r="J209" s="63">
        <f t="shared" si="37"/>
        <v>368077926.39374995</v>
      </c>
      <c r="K209" s="112">
        <f t="shared" si="35"/>
        <v>298392681.72374994</v>
      </c>
    </row>
    <row r="210" spans="1:11" s="702" customFormat="1">
      <c r="A210" s="111">
        <f t="shared" si="32"/>
        <v>158</v>
      </c>
      <c r="B210"/>
      <c r="C210" s="701" t="s">
        <v>1635</v>
      </c>
      <c r="D210"/>
      <c r="E210"/>
      <c r="F210"/>
      <c r="G210"/>
      <c r="H210"/>
      <c r="I210"/>
      <c r="J210"/>
      <c r="K210" s="73">
        <f>AVERAGE(K197:K209)</f>
        <v>155484662.49298072</v>
      </c>
    </row>
    <row r="211" spans="1:11" s="702" customFormat="1">
      <c r="A211" s="111"/>
      <c r="B211"/>
      <c r="C211" s="701"/>
      <c r="D211"/>
      <c r="E211"/>
      <c r="F211"/>
      <c r="G211"/>
      <c r="H211"/>
      <c r="I211"/>
      <c r="J211"/>
      <c r="K211" s="73"/>
    </row>
    <row r="212" spans="1:11" s="702" customFormat="1">
      <c r="B212" s="703" t="s">
        <v>1971</v>
      </c>
      <c r="D212" s="1379" t="s">
        <v>548</v>
      </c>
      <c r="E212" s="1379"/>
    </row>
    <row r="213" spans="1:11" s="702" customFormat="1">
      <c r="D213" s="704"/>
      <c r="E213" s="704"/>
      <c r="F213" s="704"/>
      <c r="G213" s="600" t="str">
        <f>G51</f>
        <v>Unloaded</v>
      </c>
      <c r="H213" s="704"/>
      <c r="I213" s="704"/>
    </row>
    <row r="214" spans="1:11" s="702" customFormat="1">
      <c r="A214" s="699"/>
      <c r="B214" s="699"/>
      <c r="C214" s="699"/>
      <c r="D214" s="699" t="str">
        <f>D$52</f>
        <v>Forecast</v>
      </c>
      <c r="E214" s="699" t="str">
        <f t="shared" ref="E214:J214" si="38">E$52</f>
        <v>Corporate</v>
      </c>
      <c r="F214" s="699" t="str">
        <f t="shared" si="38"/>
        <v xml:space="preserve">Total </v>
      </c>
      <c r="G214" s="600" t="str">
        <f>G52</f>
        <v>Total</v>
      </c>
      <c r="H214" s="699" t="str">
        <f t="shared" si="38"/>
        <v>Prior Period</v>
      </c>
      <c r="I214" s="699" t="str">
        <f t="shared" si="38"/>
        <v>Over Heads</v>
      </c>
      <c r="J214" s="699" t="str">
        <f t="shared" si="38"/>
        <v>Forecast</v>
      </c>
      <c r="K214" s="600" t="str">
        <f>K$52</f>
        <v>Forecast Period</v>
      </c>
    </row>
    <row r="215" spans="1:11" s="702" customFormat="1">
      <c r="A215" s="960" t="s">
        <v>332</v>
      </c>
      <c r="B215" s="661" t="s">
        <v>192</v>
      </c>
      <c r="C215" s="661" t="s">
        <v>193</v>
      </c>
      <c r="D215" s="697" t="str">
        <f>D$53</f>
        <v>Expenditures</v>
      </c>
      <c r="E215" s="697" t="str">
        <f t="shared" ref="E215:J215" si="39">E$53</f>
        <v>Overheads</v>
      </c>
      <c r="F215" s="697" t="str">
        <f t="shared" si="39"/>
        <v>CWIP Exp</v>
      </c>
      <c r="G215" s="3" t="str">
        <f>G53</f>
        <v>Plant Adds</v>
      </c>
      <c r="H215" s="697" t="str">
        <f t="shared" si="39"/>
        <v>CWIP Closed</v>
      </c>
      <c r="I215" s="697" t="str">
        <f t="shared" si="39"/>
        <v>Closed to PIS</v>
      </c>
      <c r="J215" s="697" t="str">
        <f t="shared" si="39"/>
        <v>Period CWIP</v>
      </c>
      <c r="K215" s="697" t="str">
        <f>K$53</f>
        <v>Incremental CWIP</v>
      </c>
    </row>
    <row r="216" spans="1:11" s="702" customFormat="1">
      <c r="A216" s="111">
        <f>A210+1</f>
        <v>159</v>
      </c>
      <c r="B216" s="662" t="s">
        <v>180</v>
      </c>
      <c r="C216" s="663">
        <v>2016</v>
      </c>
      <c r="D216" s="706" t="s">
        <v>76</v>
      </c>
      <c r="E216" s="706" t="s">
        <v>76</v>
      </c>
      <c r="F216" s="706" t="s">
        <v>76</v>
      </c>
      <c r="G216" s="706" t="s">
        <v>76</v>
      </c>
      <c r="H216" s="706" t="s">
        <v>76</v>
      </c>
      <c r="I216" s="706" t="s">
        <v>76</v>
      </c>
      <c r="J216" s="63">
        <f>I25</f>
        <v>0</v>
      </c>
      <c r="K216" s="706" t="s">
        <v>76</v>
      </c>
    </row>
    <row r="217" spans="1:11" s="702" customFormat="1">
      <c r="A217" s="111">
        <f>A216+1</f>
        <v>160</v>
      </c>
      <c r="B217" s="662" t="s">
        <v>181</v>
      </c>
      <c r="C217" s="663">
        <v>2017</v>
      </c>
      <c r="D217" s="1136">
        <v>0</v>
      </c>
      <c r="E217" s="63">
        <f>D217*'16-PlantAdditions'!$E$103</f>
        <v>0</v>
      </c>
      <c r="F217" s="63">
        <f>E217+D217</f>
        <v>0</v>
      </c>
      <c r="G217" s="1136">
        <v>0</v>
      </c>
      <c r="H217" s="1136">
        <v>0</v>
      </c>
      <c r="I217" s="63">
        <f>(G217-H217)*'16-PlantAdditions'!$E$103</f>
        <v>0</v>
      </c>
      <c r="J217" s="63">
        <f>J216+F217-G217-I217</f>
        <v>0</v>
      </c>
      <c r="K217" s="63">
        <f>J217-$J$216</f>
        <v>0</v>
      </c>
    </row>
    <row r="218" spans="1:11" s="702" customFormat="1">
      <c r="A218" s="111">
        <f t="shared" ref="A218:A241" si="40">A217+1</f>
        <v>161</v>
      </c>
      <c r="B218" s="665" t="s">
        <v>182</v>
      </c>
      <c r="C218" s="663">
        <v>2017</v>
      </c>
      <c r="D218" s="1136">
        <v>3269.44</v>
      </c>
      <c r="E218" s="63">
        <f>D218*'16-PlantAdditions'!$E$103</f>
        <v>245.208</v>
      </c>
      <c r="F218" s="63">
        <f t="shared" ref="F218:F237" si="41">E218+D218</f>
        <v>3514.6480000000001</v>
      </c>
      <c r="G218" s="1136">
        <v>3269.44</v>
      </c>
      <c r="H218" s="1136">
        <v>0</v>
      </c>
      <c r="I218" s="63">
        <f>(G218-H218)*'16-PlantAdditions'!$E$103</f>
        <v>245.208</v>
      </c>
      <c r="J218" s="63">
        <f t="shared" ref="J218:J237" si="42">J217+F218-G218-I218</f>
        <v>0</v>
      </c>
      <c r="K218" s="63">
        <f t="shared" ref="K218:K240" si="43">J218-$J$216</f>
        <v>0</v>
      </c>
    </row>
    <row r="219" spans="1:11" s="702" customFormat="1">
      <c r="A219" s="111">
        <f t="shared" si="40"/>
        <v>162</v>
      </c>
      <c r="B219" s="665" t="s">
        <v>195</v>
      </c>
      <c r="C219" s="663">
        <v>2017</v>
      </c>
      <c r="D219" s="1136">
        <v>2028.9100000000003</v>
      </c>
      <c r="E219" s="63">
        <f>D219*'16-PlantAdditions'!$E$103</f>
        <v>152.16825000000003</v>
      </c>
      <c r="F219" s="63">
        <f t="shared" si="41"/>
        <v>2181.0782500000005</v>
      </c>
      <c r="G219" s="1136">
        <v>2028.9100000000003</v>
      </c>
      <c r="H219" s="1136">
        <v>0</v>
      </c>
      <c r="I219" s="63">
        <f>(G219-H219)*'16-PlantAdditions'!$E$103</f>
        <v>152.16825000000003</v>
      </c>
      <c r="J219" s="63">
        <f t="shared" si="42"/>
        <v>0</v>
      </c>
      <c r="K219" s="63">
        <f t="shared" si="43"/>
        <v>0</v>
      </c>
    </row>
    <row r="220" spans="1:11" s="702" customFormat="1">
      <c r="A220" s="111">
        <f t="shared" si="40"/>
        <v>163</v>
      </c>
      <c r="B220" s="662" t="s">
        <v>183</v>
      </c>
      <c r="C220" s="663">
        <v>2017</v>
      </c>
      <c r="D220" s="1136">
        <v>0</v>
      </c>
      <c r="E220" s="63">
        <f>D220*'16-PlantAdditions'!$E$103</f>
        <v>0</v>
      </c>
      <c r="F220" s="63">
        <f t="shared" si="41"/>
        <v>0</v>
      </c>
      <c r="G220" s="1136">
        <v>0</v>
      </c>
      <c r="H220" s="1136">
        <v>0</v>
      </c>
      <c r="I220" s="63">
        <f>(G220-H220)*'16-PlantAdditions'!$E$103</f>
        <v>0</v>
      </c>
      <c r="J220" s="63">
        <f t="shared" si="42"/>
        <v>0</v>
      </c>
      <c r="K220" s="63">
        <f t="shared" si="43"/>
        <v>0</v>
      </c>
    </row>
    <row r="221" spans="1:11" s="702" customFormat="1">
      <c r="A221" s="111">
        <f t="shared" si="40"/>
        <v>164</v>
      </c>
      <c r="B221" s="665" t="s">
        <v>184</v>
      </c>
      <c r="C221" s="663">
        <v>2017</v>
      </c>
      <c r="D221" s="1136">
        <v>0</v>
      </c>
      <c r="E221" s="63">
        <f>D221*'16-PlantAdditions'!$E$103</f>
        <v>0</v>
      </c>
      <c r="F221" s="63">
        <f t="shared" si="41"/>
        <v>0</v>
      </c>
      <c r="G221" s="1136">
        <v>0</v>
      </c>
      <c r="H221" s="1136">
        <v>0</v>
      </c>
      <c r="I221" s="63">
        <f>(G221-H221)*'16-PlantAdditions'!$E$103</f>
        <v>0</v>
      </c>
      <c r="J221" s="63">
        <f t="shared" si="42"/>
        <v>0</v>
      </c>
      <c r="K221" s="63">
        <f t="shared" si="43"/>
        <v>0</v>
      </c>
    </row>
    <row r="222" spans="1:11" s="702" customFormat="1">
      <c r="A222" s="111">
        <f t="shared" si="40"/>
        <v>165</v>
      </c>
      <c r="B222" s="665" t="s">
        <v>1483</v>
      </c>
      <c r="C222" s="663">
        <v>2017</v>
      </c>
      <c r="D222" s="1136">
        <v>0</v>
      </c>
      <c r="E222" s="63">
        <f>D222*'16-PlantAdditions'!$E$103</f>
        <v>0</v>
      </c>
      <c r="F222" s="63">
        <f t="shared" si="41"/>
        <v>0</v>
      </c>
      <c r="G222" s="1136">
        <v>0</v>
      </c>
      <c r="H222" s="1136">
        <v>0</v>
      </c>
      <c r="I222" s="63">
        <f>(G222-H222)*'16-PlantAdditions'!$E$103</f>
        <v>0</v>
      </c>
      <c r="J222" s="63">
        <f t="shared" si="42"/>
        <v>0</v>
      </c>
      <c r="K222" s="63">
        <f t="shared" si="43"/>
        <v>0</v>
      </c>
    </row>
    <row r="223" spans="1:11" s="702" customFormat="1">
      <c r="A223" s="111">
        <f t="shared" si="40"/>
        <v>166</v>
      </c>
      <c r="B223" s="662" t="s">
        <v>186</v>
      </c>
      <c r="C223" s="663">
        <v>2017</v>
      </c>
      <c r="D223" s="1136">
        <v>0</v>
      </c>
      <c r="E223" s="63">
        <f>D223*'16-PlantAdditions'!$E$103</f>
        <v>0</v>
      </c>
      <c r="F223" s="63">
        <f t="shared" si="41"/>
        <v>0</v>
      </c>
      <c r="G223" s="1136">
        <v>0</v>
      </c>
      <c r="H223" s="1136">
        <v>0</v>
      </c>
      <c r="I223" s="63">
        <f>(G223-H223)*'16-PlantAdditions'!$E$103</f>
        <v>0</v>
      </c>
      <c r="J223" s="63">
        <f t="shared" si="42"/>
        <v>0</v>
      </c>
      <c r="K223" s="63">
        <f t="shared" si="43"/>
        <v>0</v>
      </c>
    </row>
    <row r="224" spans="1:11" s="702" customFormat="1">
      <c r="A224" s="111">
        <f t="shared" si="40"/>
        <v>167</v>
      </c>
      <c r="B224" s="665" t="s">
        <v>187</v>
      </c>
      <c r="C224" s="663">
        <v>2017</v>
      </c>
      <c r="D224" s="1136">
        <v>0</v>
      </c>
      <c r="E224" s="63">
        <f>D224*'16-PlantAdditions'!$E$103</f>
        <v>0</v>
      </c>
      <c r="F224" s="63">
        <f t="shared" si="41"/>
        <v>0</v>
      </c>
      <c r="G224" s="1136">
        <v>0</v>
      </c>
      <c r="H224" s="1136">
        <v>0</v>
      </c>
      <c r="I224" s="63">
        <f>(G224-H224)*'16-PlantAdditions'!$E$103</f>
        <v>0</v>
      </c>
      <c r="J224" s="63">
        <f t="shared" si="42"/>
        <v>0</v>
      </c>
      <c r="K224" s="63">
        <f t="shared" si="43"/>
        <v>0</v>
      </c>
    </row>
    <row r="225" spans="1:11" s="702" customFormat="1">
      <c r="A225" s="111">
        <f t="shared" si="40"/>
        <v>168</v>
      </c>
      <c r="B225" s="665" t="s">
        <v>188</v>
      </c>
      <c r="C225" s="663">
        <v>2017</v>
      </c>
      <c r="D225" s="1136">
        <v>0</v>
      </c>
      <c r="E225" s="63">
        <f>D225*'16-PlantAdditions'!$E$103</f>
        <v>0</v>
      </c>
      <c r="F225" s="63">
        <f t="shared" si="41"/>
        <v>0</v>
      </c>
      <c r="G225" s="1136">
        <v>0</v>
      </c>
      <c r="H225" s="1136">
        <v>0</v>
      </c>
      <c r="I225" s="63">
        <f>(G225-H225)*'16-PlantAdditions'!$E$103</f>
        <v>0</v>
      </c>
      <c r="J225" s="63">
        <f t="shared" si="42"/>
        <v>0</v>
      </c>
      <c r="K225" s="63">
        <f t="shared" si="43"/>
        <v>0</v>
      </c>
    </row>
    <row r="226" spans="1:11" s="702" customFormat="1">
      <c r="A226" s="111">
        <f t="shared" si="40"/>
        <v>169</v>
      </c>
      <c r="B226" s="662" t="s">
        <v>191</v>
      </c>
      <c r="C226" s="663">
        <v>2017</v>
      </c>
      <c r="D226" s="1136">
        <v>0</v>
      </c>
      <c r="E226" s="63">
        <f>D226*'16-PlantAdditions'!$E$103</f>
        <v>0</v>
      </c>
      <c r="F226" s="63">
        <f t="shared" si="41"/>
        <v>0</v>
      </c>
      <c r="G226" s="1136">
        <v>0</v>
      </c>
      <c r="H226" s="1136">
        <v>0</v>
      </c>
      <c r="I226" s="63">
        <f>(G226-H226)*'16-PlantAdditions'!$E$103</f>
        <v>0</v>
      </c>
      <c r="J226" s="63">
        <f t="shared" si="42"/>
        <v>0</v>
      </c>
      <c r="K226" s="63">
        <f t="shared" si="43"/>
        <v>0</v>
      </c>
    </row>
    <row r="227" spans="1:11" s="702" customFormat="1">
      <c r="A227" s="111">
        <f t="shared" si="40"/>
        <v>170</v>
      </c>
      <c r="B227" s="662" t="s">
        <v>190</v>
      </c>
      <c r="C227" s="663">
        <v>2017</v>
      </c>
      <c r="D227" s="1136">
        <v>0</v>
      </c>
      <c r="E227" s="63">
        <f>D227*'16-PlantAdditions'!$E$103</f>
        <v>0</v>
      </c>
      <c r="F227" s="63">
        <f t="shared" si="41"/>
        <v>0</v>
      </c>
      <c r="G227" s="1136">
        <v>0</v>
      </c>
      <c r="H227" s="1136">
        <v>0</v>
      </c>
      <c r="I227" s="63">
        <f>(G227-H227)*'16-PlantAdditions'!$E$103</f>
        <v>0</v>
      </c>
      <c r="J227" s="63">
        <f t="shared" si="42"/>
        <v>0</v>
      </c>
      <c r="K227" s="63">
        <f t="shared" si="43"/>
        <v>0</v>
      </c>
    </row>
    <row r="228" spans="1:11" s="702" customFormat="1">
      <c r="A228" s="111">
        <f t="shared" si="40"/>
        <v>171</v>
      </c>
      <c r="B228" s="662" t="s">
        <v>180</v>
      </c>
      <c r="C228" s="663">
        <v>2017</v>
      </c>
      <c r="D228" s="1136">
        <v>0</v>
      </c>
      <c r="E228" s="63">
        <f>D228*'16-PlantAdditions'!$E$103</f>
        <v>0</v>
      </c>
      <c r="F228" s="63">
        <f t="shared" si="41"/>
        <v>0</v>
      </c>
      <c r="G228" s="1136">
        <v>0</v>
      </c>
      <c r="H228" s="1136">
        <v>0</v>
      </c>
      <c r="I228" s="63">
        <f>(G228-H228)*'16-PlantAdditions'!$E$103</f>
        <v>0</v>
      </c>
      <c r="J228" s="63">
        <f t="shared" si="42"/>
        <v>0</v>
      </c>
      <c r="K228" s="63">
        <f t="shared" si="43"/>
        <v>0</v>
      </c>
    </row>
    <row r="229" spans="1:11" s="702" customFormat="1">
      <c r="A229" s="111">
        <f t="shared" si="40"/>
        <v>172</v>
      </c>
      <c r="B229" s="662" t="s">
        <v>181</v>
      </c>
      <c r="C229" s="663">
        <v>2018</v>
      </c>
      <c r="D229" s="1136">
        <v>0</v>
      </c>
      <c r="E229" s="63">
        <f>D229*'16-PlantAdditions'!$E$103</f>
        <v>0</v>
      </c>
      <c r="F229" s="63">
        <f t="shared" si="41"/>
        <v>0</v>
      </c>
      <c r="G229" s="1136">
        <v>0</v>
      </c>
      <c r="H229" s="1136">
        <v>0</v>
      </c>
      <c r="I229" s="63">
        <f>(G229-H229)*'16-PlantAdditions'!$E$103</f>
        <v>0</v>
      </c>
      <c r="J229" s="63">
        <f t="shared" si="42"/>
        <v>0</v>
      </c>
      <c r="K229" s="63">
        <f t="shared" si="43"/>
        <v>0</v>
      </c>
    </row>
    <row r="230" spans="1:11" s="702" customFormat="1">
      <c r="A230" s="111">
        <f t="shared" si="40"/>
        <v>173</v>
      </c>
      <c r="B230" s="665" t="s">
        <v>182</v>
      </c>
      <c r="C230" s="663">
        <v>2018</v>
      </c>
      <c r="D230" s="1136">
        <v>0</v>
      </c>
      <c r="E230" s="63">
        <f>D230*'16-PlantAdditions'!$E$103</f>
        <v>0</v>
      </c>
      <c r="F230" s="63">
        <f t="shared" si="41"/>
        <v>0</v>
      </c>
      <c r="G230" s="1136">
        <v>0</v>
      </c>
      <c r="H230" s="1136">
        <v>0</v>
      </c>
      <c r="I230" s="63">
        <f>(G230-H230)*'16-PlantAdditions'!$E$103</f>
        <v>0</v>
      </c>
      <c r="J230" s="63">
        <f t="shared" si="42"/>
        <v>0</v>
      </c>
      <c r="K230" s="63">
        <f t="shared" si="43"/>
        <v>0</v>
      </c>
    </row>
    <row r="231" spans="1:11" s="702" customFormat="1">
      <c r="A231" s="111">
        <f t="shared" si="40"/>
        <v>174</v>
      </c>
      <c r="B231" s="665" t="s">
        <v>195</v>
      </c>
      <c r="C231" s="663">
        <v>2018</v>
      </c>
      <c r="D231" s="1136">
        <v>0</v>
      </c>
      <c r="E231" s="63">
        <f>D231*'16-PlantAdditions'!$E$103</f>
        <v>0</v>
      </c>
      <c r="F231" s="63">
        <f t="shared" si="41"/>
        <v>0</v>
      </c>
      <c r="G231" s="1136">
        <v>0</v>
      </c>
      <c r="H231" s="1136">
        <v>0</v>
      </c>
      <c r="I231" s="63">
        <f>(G231-H231)*'16-PlantAdditions'!$E$103</f>
        <v>0</v>
      </c>
      <c r="J231" s="63">
        <f t="shared" si="42"/>
        <v>0</v>
      </c>
      <c r="K231" s="63">
        <f t="shared" si="43"/>
        <v>0</v>
      </c>
    </row>
    <row r="232" spans="1:11" s="702" customFormat="1">
      <c r="A232" s="111">
        <f t="shared" si="40"/>
        <v>175</v>
      </c>
      <c r="B232" s="662" t="s">
        <v>183</v>
      </c>
      <c r="C232" s="663">
        <v>2018</v>
      </c>
      <c r="D232" s="1136">
        <v>0</v>
      </c>
      <c r="E232" s="63">
        <f>D232*'16-PlantAdditions'!$E$103</f>
        <v>0</v>
      </c>
      <c r="F232" s="63">
        <f t="shared" si="41"/>
        <v>0</v>
      </c>
      <c r="G232" s="1136">
        <v>0</v>
      </c>
      <c r="H232" s="1136">
        <v>0</v>
      </c>
      <c r="I232" s="63">
        <f>(G232-H232)*'16-PlantAdditions'!$E$103</f>
        <v>0</v>
      </c>
      <c r="J232" s="63">
        <f t="shared" si="42"/>
        <v>0</v>
      </c>
      <c r="K232" s="63">
        <f t="shared" si="43"/>
        <v>0</v>
      </c>
    </row>
    <row r="233" spans="1:11" s="702" customFormat="1">
      <c r="A233" s="111">
        <f t="shared" si="40"/>
        <v>176</v>
      </c>
      <c r="B233" s="665" t="s">
        <v>184</v>
      </c>
      <c r="C233" s="663">
        <v>2018</v>
      </c>
      <c r="D233" s="1136">
        <v>0</v>
      </c>
      <c r="E233" s="63">
        <f>D233*'16-PlantAdditions'!$E$103</f>
        <v>0</v>
      </c>
      <c r="F233" s="63">
        <f t="shared" si="41"/>
        <v>0</v>
      </c>
      <c r="G233" s="1136">
        <v>0</v>
      </c>
      <c r="H233" s="1136">
        <v>0</v>
      </c>
      <c r="I233" s="63">
        <f>(G233-H233)*'16-PlantAdditions'!$E$103</f>
        <v>0</v>
      </c>
      <c r="J233" s="63">
        <f t="shared" si="42"/>
        <v>0</v>
      </c>
      <c r="K233" s="63">
        <f t="shared" si="43"/>
        <v>0</v>
      </c>
    </row>
    <row r="234" spans="1:11" s="702" customFormat="1">
      <c r="A234" s="111">
        <f t="shared" si="40"/>
        <v>177</v>
      </c>
      <c r="B234" s="665" t="s">
        <v>1483</v>
      </c>
      <c r="C234" s="663">
        <v>2018</v>
      </c>
      <c r="D234" s="1136">
        <v>0</v>
      </c>
      <c r="E234" s="63">
        <f>D234*'16-PlantAdditions'!$E$103</f>
        <v>0</v>
      </c>
      <c r="F234" s="63">
        <f t="shared" si="41"/>
        <v>0</v>
      </c>
      <c r="G234" s="1136">
        <v>0</v>
      </c>
      <c r="H234" s="1136">
        <v>0</v>
      </c>
      <c r="I234" s="63">
        <f>(G234-H234)*'16-PlantAdditions'!$E$103</f>
        <v>0</v>
      </c>
      <c r="J234" s="63">
        <f t="shared" si="42"/>
        <v>0</v>
      </c>
      <c r="K234" s="63">
        <f t="shared" si="43"/>
        <v>0</v>
      </c>
    </row>
    <row r="235" spans="1:11" s="702" customFormat="1">
      <c r="A235" s="111">
        <f t="shared" si="40"/>
        <v>178</v>
      </c>
      <c r="B235" s="662" t="s">
        <v>186</v>
      </c>
      <c r="C235" s="663">
        <v>2018</v>
      </c>
      <c r="D235" s="1136">
        <v>0</v>
      </c>
      <c r="E235" s="63">
        <f>D235*'16-PlantAdditions'!$E$103</f>
        <v>0</v>
      </c>
      <c r="F235" s="63">
        <f t="shared" si="41"/>
        <v>0</v>
      </c>
      <c r="G235" s="1136">
        <v>0</v>
      </c>
      <c r="H235" s="1136">
        <v>0</v>
      </c>
      <c r="I235" s="63">
        <f>(G235-H235)*'16-PlantAdditions'!$E$103</f>
        <v>0</v>
      </c>
      <c r="J235" s="63">
        <f t="shared" si="42"/>
        <v>0</v>
      </c>
      <c r="K235" s="63">
        <f t="shared" si="43"/>
        <v>0</v>
      </c>
    </row>
    <row r="236" spans="1:11" s="702" customFormat="1">
      <c r="A236" s="111">
        <f t="shared" si="40"/>
        <v>179</v>
      </c>
      <c r="B236" s="665" t="s">
        <v>187</v>
      </c>
      <c r="C236" s="663">
        <v>2018</v>
      </c>
      <c r="D236" s="1136">
        <v>0</v>
      </c>
      <c r="E236" s="63">
        <f>D236*'16-PlantAdditions'!$E$103</f>
        <v>0</v>
      </c>
      <c r="F236" s="63">
        <f t="shared" si="41"/>
        <v>0</v>
      </c>
      <c r="G236" s="1136">
        <v>0</v>
      </c>
      <c r="H236" s="1136">
        <v>0</v>
      </c>
      <c r="I236" s="63">
        <f>(G236-H236)*'16-PlantAdditions'!$E$103</f>
        <v>0</v>
      </c>
      <c r="J236" s="63">
        <f t="shared" si="42"/>
        <v>0</v>
      </c>
      <c r="K236" s="63">
        <f t="shared" si="43"/>
        <v>0</v>
      </c>
    </row>
    <row r="237" spans="1:11" s="702" customFormat="1">
      <c r="A237" s="111">
        <f t="shared" si="40"/>
        <v>180</v>
      </c>
      <c r="B237" s="665" t="s">
        <v>188</v>
      </c>
      <c r="C237" s="663">
        <v>2018</v>
      </c>
      <c r="D237" s="1136">
        <v>0</v>
      </c>
      <c r="E237" s="63">
        <f>D237*'16-PlantAdditions'!$E$103</f>
        <v>0</v>
      </c>
      <c r="F237" s="63">
        <f t="shared" si="41"/>
        <v>0</v>
      </c>
      <c r="G237" s="1136">
        <v>0</v>
      </c>
      <c r="H237" s="1136">
        <v>0</v>
      </c>
      <c r="I237" s="63">
        <f>(G237-H237)*'16-PlantAdditions'!$E$103</f>
        <v>0</v>
      </c>
      <c r="J237" s="63">
        <f t="shared" si="42"/>
        <v>0</v>
      </c>
      <c r="K237" s="63">
        <f t="shared" si="43"/>
        <v>0</v>
      </c>
    </row>
    <row r="238" spans="1:11" s="702" customFormat="1">
      <c r="A238" s="111">
        <f t="shared" si="40"/>
        <v>181</v>
      </c>
      <c r="B238" s="665" t="s">
        <v>191</v>
      </c>
      <c r="C238" s="663">
        <v>2018</v>
      </c>
      <c r="D238" s="1136">
        <v>0</v>
      </c>
      <c r="E238" s="63">
        <f>D238*'16-PlantAdditions'!$E$103</f>
        <v>0</v>
      </c>
      <c r="F238" s="63">
        <f t="shared" ref="F238:F240" si="44">E238+D238</f>
        <v>0</v>
      </c>
      <c r="G238" s="1136">
        <v>0</v>
      </c>
      <c r="H238" s="1136">
        <v>0</v>
      </c>
      <c r="I238" s="63">
        <f>(G238-H238)*'16-PlantAdditions'!$E$103</f>
        <v>0</v>
      </c>
      <c r="J238" s="63">
        <f t="shared" ref="J238:J240" si="45">J237+F238-G238-I238</f>
        <v>0</v>
      </c>
      <c r="K238" s="63">
        <f t="shared" si="43"/>
        <v>0</v>
      </c>
    </row>
    <row r="239" spans="1:11" s="702" customFormat="1">
      <c r="A239" s="111">
        <f t="shared" si="40"/>
        <v>182</v>
      </c>
      <c r="B239" s="665" t="s">
        <v>190</v>
      </c>
      <c r="C239" s="663">
        <v>2018</v>
      </c>
      <c r="D239" s="1136">
        <v>0</v>
      </c>
      <c r="E239" s="63">
        <f>D239*'16-PlantAdditions'!$E$103</f>
        <v>0</v>
      </c>
      <c r="F239" s="63">
        <f t="shared" si="44"/>
        <v>0</v>
      </c>
      <c r="G239" s="1136">
        <v>0</v>
      </c>
      <c r="H239" s="1136">
        <v>0</v>
      </c>
      <c r="I239" s="63">
        <f>(G239-H239)*'16-PlantAdditions'!$E$103</f>
        <v>0</v>
      </c>
      <c r="J239" s="63">
        <f t="shared" si="45"/>
        <v>0</v>
      </c>
      <c r="K239" s="63">
        <f t="shared" si="43"/>
        <v>0</v>
      </c>
    </row>
    <row r="240" spans="1:11" s="702" customFormat="1">
      <c r="A240" s="111">
        <f t="shared" si="40"/>
        <v>183</v>
      </c>
      <c r="B240" s="665" t="s">
        <v>180</v>
      </c>
      <c r="C240" s="663">
        <v>2018</v>
      </c>
      <c r="D240" s="1136">
        <v>0</v>
      </c>
      <c r="E240" s="63">
        <f>D240*'16-PlantAdditions'!$E$103</f>
        <v>0</v>
      </c>
      <c r="F240" s="63">
        <f t="shared" si="44"/>
        <v>0</v>
      </c>
      <c r="G240" s="1136">
        <v>0</v>
      </c>
      <c r="H240" s="1136">
        <v>0</v>
      </c>
      <c r="I240" s="63">
        <f>(G240-H240)*'16-PlantAdditions'!$E$103</f>
        <v>0</v>
      </c>
      <c r="J240" s="63">
        <f t="shared" si="45"/>
        <v>0</v>
      </c>
      <c r="K240" s="112">
        <f t="shared" si="43"/>
        <v>0</v>
      </c>
    </row>
    <row r="241" spans="1:11" s="702" customFormat="1">
      <c r="A241" s="111">
        <f t="shared" si="40"/>
        <v>184</v>
      </c>
      <c r="B241"/>
      <c r="C241" s="701" t="s">
        <v>1635</v>
      </c>
      <c r="D241"/>
      <c r="E241"/>
      <c r="F241"/>
      <c r="G241"/>
      <c r="H241"/>
      <c r="I241"/>
      <c r="J241"/>
      <c r="K241" s="73">
        <f>AVERAGE(K228:K240)</f>
        <v>0</v>
      </c>
    </row>
    <row r="242" spans="1:11" s="702" customFormat="1">
      <c r="A242" s="111"/>
      <c r="B242"/>
      <c r="C242" s="701"/>
      <c r="D242"/>
      <c r="E242"/>
      <c r="F242"/>
      <c r="G242"/>
      <c r="H242"/>
      <c r="I242"/>
      <c r="J242"/>
      <c r="K242" s="73"/>
    </row>
    <row r="243" spans="1:11" s="702" customFormat="1">
      <c r="B243" s="703" t="s">
        <v>1972</v>
      </c>
      <c r="D243" s="1379" t="s">
        <v>1973</v>
      </c>
      <c r="E243" s="1379"/>
    </row>
    <row r="244" spans="1:11" s="702" customFormat="1">
      <c r="A244" s="697"/>
      <c r="B244" s="697"/>
      <c r="C244" s="697"/>
      <c r="D244" s="697" t="s">
        <v>363</v>
      </c>
      <c r="E244" s="697" t="s">
        <v>347</v>
      </c>
      <c r="F244" s="697" t="s">
        <v>348</v>
      </c>
      <c r="G244" s="697" t="s">
        <v>349</v>
      </c>
      <c r="H244" s="697" t="s">
        <v>350</v>
      </c>
      <c r="I244" s="697" t="s">
        <v>351</v>
      </c>
      <c r="J244" s="697" t="s">
        <v>352</v>
      </c>
      <c r="K244" s="697" t="s">
        <v>544</v>
      </c>
    </row>
    <row r="245" spans="1:11" s="702" customFormat="1" ht="38.25">
      <c r="D245" s="704"/>
      <c r="E245" s="705" t="s">
        <v>2108</v>
      </c>
      <c r="F245" s="706" t="s">
        <v>1964</v>
      </c>
      <c r="G245" s="512"/>
      <c r="H245" s="704"/>
      <c r="I245" s="705" t="s">
        <v>2109</v>
      </c>
      <c r="J245" s="705" t="s">
        <v>1965</v>
      </c>
      <c r="K245" s="705" t="s">
        <v>1966</v>
      </c>
    </row>
    <row r="246" spans="1:11" s="702" customFormat="1">
      <c r="D246" s="704"/>
      <c r="E246" s="704"/>
      <c r="F246" s="704"/>
      <c r="G246" s="600" t="s">
        <v>1974</v>
      </c>
      <c r="H246" s="704"/>
      <c r="I246" s="704"/>
    </row>
    <row r="247" spans="1:11" s="702" customFormat="1">
      <c r="A247" s="699"/>
      <c r="B247" s="699"/>
      <c r="C247" s="699"/>
      <c r="D247" s="699" t="str">
        <f>D$52</f>
        <v>Forecast</v>
      </c>
      <c r="E247" s="699" t="str">
        <f t="shared" ref="E247:J247" si="46">E$52</f>
        <v>Corporate</v>
      </c>
      <c r="F247" s="699" t="str">
        <f t="shared" si="46"/>
        <v xml:space="preserve">Total </v>
      </c>
      <c r="G247" s="699" t="s">
        <v>196</v>
      </c>
      <c r="H247" s="699" t="str">
        <f t="shared" si="46"/>
        <v>Prior Period</v>
      </c>
      <c r="I247" s="699" t="str">
        <f t="shared" si="46"/>
        <v>Over Heads</v>
      </c>
      <c r="J247" s="699" t="str">
        <f t="shared" si="46"/>
        <v>Forecast</v>
      </c>
      <c r="K247" s="600" t="str">
        <f>K$52</f>
        <v>Forecast Period</v>
      </c>
    </row>
    <row r="248" spans="1:11" s="702" customFormat="1">
      <c r="A248" s="960" t="s">
        <v>332</v>
      </c>
      <c r="B248" s="661" t="s">
        <v>192</v>
      </c>
      <c r="C248" s="661" t="s">
        <v>193</v>
      </c>
      <c r="D248" s="697" t="str">
        <f>D$53</f>
        <v>Expenditures</v>
      </c>
      <c r="E248" s="697" t="str">
        <f t="shared" ref="E248:J248" si="47">E$53</f>
        <v>Overheads</v>
      </c>
      <c r="F248" s="697" t="str">
        <f t="shared" si="47"/>
        <v>CWIP Exp</v>
      </c>
      <c r="G248" s="697" t="s">
        <v>1957</v>
      </c>
      <c r="H248" s="697" t="str">
        <f t="shared" si="47"/>
        <v>CWIP Closed</v>
      </c>
      <c r="I248" s="697" t="str">
        <f t="shared" si="47"/>
        <v>Closed to PIS</v>
      </c>
      <c r="J248" s="697" t="str">
        <f t="shared" si="47"/>
        <v>Period CWIP</v>
      </c>
      <c r="K248" s="697" t="str">
        <f>K$53</f>
        <v>Incremental CWIP</v>
      </c>
    </row>
    <row r="249" spans="1:11" s="702" customFormat="1">
      <c r="A249" s="111">
        <f>A241+1</f>
        <v>185</v>
      </c>
      <c r="B249" s="662" t="s">
        <v>180</v>
      </c>
      <c r="C249" s="663">
        <v>2016</v>
      </c>
      <c r="D249" s="706" t="s">
        <v>76</v>
      </c>
      <c r="E249" s="706" t="s">
        <v>76</v>
      </c>
      <c r="F249" s="706" t="s">
        <v>76</v>
      </c>
      <c r="G249" s="706" t="s">
        <v>76</v>
      </c>
      <c r="H249" s="706" t="s">
        <v>76</v>
      </c>
      <c r="I249" s="706" t="s">
        <v>76</v>
      </c>
      <c r="J249" s="63">
        <f>D45</f>
        <v>26943987.050000001</v>
      </c>
      <c r="K249" s="706" t="s">
        <v>76</v>
      </c>
    </row>
    <row r="250" spans="1:11" s="702" customFormat="1">
      <c r="A250" s="111">
        <f>A249+1</f>
        <v>186</v>
      </c>
      <c r="B250" s="662" t="s">
        <v>181</v>
      </c>
      <c r="C250" s="663">
        <v>2017</v>
      </c>
      <c r="D250" s="1136">
        <v>654163.68999999994</v>
      </c>
      <c r="E250" s="63">
        <f>D250*'16-PlantAdditions'!$E$103</f>
        <v>49062.276749999997</v>
      </c>
      <c r="F250" s="63">
        <f>E250+D250</f>
        <v>703225.96674999991</v>
      </c>
      <c r="G250" s="1136">
        <v>0</v>
      </c>
      <c r="H250" s="1136">
        <v>0</v>
      </c>
      <c r="I250" s="63">
        <f>(G250-H250)*'16-PlantAdditions'!$E$103</f>
        <v>0</v>
      </c>
      <c r="J250" s="63">
        <f>J249+F250-G250-I250</f>
        <v>27647213.01675</v>
      </c>
      <c r="K250" s="63">
        <f>J250-$J$249</f>
        <v>703225.96674999967</v>
      </c>
    </row>
    <row r="251" spans="1:11" s="702" customFormat="1">
      <c r="A251" s="111">
        <f t="shared" ref="A251:A274" si="48">A250+1</f>
        <v>187</v>
      </c>
      <c r="B251" s="665" t="s">
        <v>182</v>
      </c>
      <c r="C251" s="663">
        <v>2017</v>
      </c>
      <c r="D251" s="1136">
        <v>879331.3</v>
      </c>
      <c r="E251" s="63">
        <f>D251*'16-PlantAdditions'!$E$103</f>
        <v>65949.847500000003</v>
      </c>
      <c r="F251" s="63">
        <f t="shared" ref="F251:F270" si="49">E251+D251</f>
        <v>945281.14750000008</v>
      </c>
      <c r="G251" s="1136">
        <v>0</v>
      </c>
      <c r="H251" s="1136">
        <v>0</v>
      </c>
      <c r="I251" s="63">
        <f>(G251-H251)*'16-PlantAdditions'!$E$103</f>
        <v>0</v>
      </c>
      <c r="J251" s="63">
        <f t="shared" ref="J251:J270" si="50">J250+F251-G251-I251</f>
        <v>28592494.164250001</v>
      </c>
      <c r="K251" s="63">
        <f t="shared" ref="K251:K273" si="51">J251-$J$249</f>
        <v>1648507.1142500006</v>
      </c>
    </row>
    <row r="252" spans="1:11" s="702" customFormat="1">
      <c r="A252" s="111">
        <f t="shared" si="48"/>
        <v>188</v>
      </c>
      <c r="B252" s="665" t="s">
        <v>195</v>
      </c>
      <c r="C252" s="663">
        <v>2017</v>
      </c>
      <c r="D252" s="1136">
        <v>3461579.48</v>
      </c>
      <c r="E252" s="63">
        <f>D252*'16-PlantAdditions'!$E$103</f>
        <v>259618.46099999998</v>
      </c>
      <c r="F252" s="63">
        <f t="shared" si="49"/>
        <v>3721197.9410000001</v>
      </c>
      <c r="G252" s="1136">
        <v>0</v>
      </c>
      <c r="H252" s="1136">
        <v>0</v>
      </c>
      <c r="I252" s="63">
        <f>(G252-H252)*'16-PlantAdditions'!$E$103</f>
        <v>0</v>
      </c>
      <c r="J252" s="63">
        <f t="shared" si="50"/>
        <v>32313692.105250001</v>
      </c>
      <c r="K252" s="63">
        <f t="shared" si="51"/>
        <v>5369705.0552500002</v>
      </c>
    </row>
    <row r="253" spans="1:11" s="702" customFormat="1">
      <c r="A253" s="111">
        <f t="shared" si="48"/>
        <v>189</v>
      </c>
      <c r="B253" s="662" t="s">
        <v>183</v>
      </c>
      <c r="C253" s="663">
        <v>2017</v>
      </c>
      <c r="D253" s="1136">
        <v>661932.26333333342</v>
      </c>
      <c r="E253" s="63">
        <f>D253*'16-PlantAdditions'!$E$103</f>
        <v>49644.919750000008</v>
      </c>
      <c r="F253" s="63">
        <f t="shared" si="49"/>
        <v>711577.18308333342</v>
      </c>
      <c r="G253" s="1136">
        <v>31960130.409999996</v>
      </c>
      <c r="H253" s="1136">
        <v>26336912.5</v>
      </c>
      <c r="I253" s="63">
        <f>(G253-H253)*'16-PlantAdditions'!$E$103</f>
        <v>421741.34324999974</v>
      </c>
      <c r="J253" s="63">
        <f t="shared" si="50"/>
        <v>643397.53508333792</v>
      </c>
      <c r="K253" s="63">
        <f t="shared" si="51"/>
        <v>-26300589.514916662</v>
      </c>
    </row>
    <row r="254" spans="1:11" s="702" customFormat="1">
      <c r="A254" s="111">
        <f t="shared" si="48"/>
        <v>190</v>
      </c>
      <c r="B254" s="665" t="s">
        <v>184</v>
      </c>
      <c r="C254" s="663">
        <v>2017</v>
      </c>
      <c r="D254" s="1136">
        <v>161932.26333333334</v>
      </c>
      <c r="E254" s="63">
        <f>D254*'16-PlantAdditions'!$E$103</f>
        <v>12144.919749999999</v>
      </c>
      <c r="F254" s="63">
        <f t="shared" si="49"/>
        <v>174077.18308333334</v>
      </c>
      <c r="G254" s="1136">
        <v>150000</v>
      </c>
      <c r="H254" s="1136">
        <v>0</v>
      </c>
      <c r="I254" s="63">
        <f>(G254-H254)*'16-PlantAdditions'!$E$103</f>
        <v>11250</v>
      </c>
      <c r="J254" s="63">
        <f t="shared" si="50"/>
        <v>656224.71816667123</v>
      </c>
      <c r="K254" s="63">
        <f t="shared" si="51"/>
        <v>-26287762.331833329</v>
      </c>
    </row>
    <row r="255" spans="1:11" s="702" customFormat="1">
      <c r="A255" s="111">
        <f t="shared" si="48"/>
        <v>191</v>
      </c>
      <c r="B255" s="665" t="s">
        <v>1483</v>
      </c>
      <c r="C255" s="663">
        <v>2017</v>
      </c>
      <c r="D255" s="1136">
        <v>161932.26333333334</v>
      </c>
      <c r="E255" s="63">
        <f>D255*'16-PlantAdditions'!$E$103</f>
        <v>12144.919749999999</v>
      </c>
      <c r="F255" s="63">
        <f t="shared" si="49"/>
        <v>174077.18308333334</v>
      </c>
      <c r="G255" s="1136">
        <v>814727.90000000014</v>
      </c>
      <c r="H255" s="1136">
        <v>607074.55000000005</v>
      </c>
      <c r="I255" s="63">
        <f>(G255-H255)*'16-PlantAdditions'!$E$103</f>
        <v>15574.001250000007</v>
      </c>
      <c r="J255" s="63">
        <f t="shared" si="50"/>
        <v>4.3892214307561517E-9</v>
      </c>
      <c r="K255" s="63">
        <f t="shared" si="51"/>
        <v>-26943987.049999997</v>
      </c>
    </row>
    <row r="256" spans="1:11" s="702" customFormat="1">
      <c r="A256" s="111">
        <f t="shared" si="48"/>
        <v>192</v>
      </c>
      <c r="B256" s="662" t="s">
        <v>186</v>
      </c>
      <c r="C256" s="663">
        <v>2017</v>
      </c>
      <c r="D256" s="1136">
        <v>86932.263333333336</v>
      </c>
      <c r="E256" s="63">
        <f>D256*'16-PlantAdditions'!$E$103</f>
        <v>6519.91975</v>
      </c>
      <c r="F256" s="63">
        <f t="shared" si="49"/>
        <v>93452.183083333337</v>
      </c>
      <c r="G256" s="1136">
        <v>86932.263333333336</v>
      </c>
      <c r="H256" s="1136">
        <v>0</v>
      </c>
      <c r="I256" s="63">
        <f>(G256-H256)*'16-PlantAdditions'!$E$103</f>
        <v>6519.91975</v>
      </c>
      <c r="J256" s="63">
        <f t="shared" si="50"/>
        <v>4.3955878936685622E-9</v>
      </c>
      <c r="K256" s="63">
        <f t="shared" si="51"/>
        <v>-26943987.049999997</v>
      </c>
    </row>
    <row r="257" spans="1:11" s="702" customFormat="1">
      <c r="A257" s="111">
        <f t="shared" si="48"/>
        <v>193</v>
      </c>
      <c r="B257" s="665" t="s">
        <v>187</v>
      </c>
      <c r="C257" s="663">
        <v>2017</v>
      </c>
      <c r="D257" s="1136">
        <v>13932.263333333332</v>
      </c>
      <c r="E257" s="63">
        <f>D257*'16-PlantAdditions'!$E$103</f>
        <v>1044.9197499999998</v>
      </c>
      <c r="F257" s="63">
        <f t="shared" si="49"/>
        <v>14977.183083333332</v>
      </c>
      <c r="G257" s="1136">
        <v>13932.263333333332</v>
      </c>
      <c r="H257" s="1136">
        <v>0</v>
      </c>
      <c r="I257" s="63">
        <f>(G257-H257)*'16-PlantAdditions'!$E$103</f>
        <v>1044.9197499999998</v>
      </c>
      <c r="J257" s="63">
        <f t="shared" si="50"/>
        <v>4.3958152673440054E-9</v>
      </c>
      <c r="K257" s="63">
        <f t="shared" si="51"/>
        <v>-26943987.049999997</v>
      </c>
    </row>
    <row r="258" spans="1:11" s="702" customFormat="1">
      <c r="A258" s="111">
        <f t="shared" si="48"/>
        <v>194</v>
      </c>
      <c r="B258" s="665" t="s">
        <v>188</v>
      </c>
      <c r="C258" s="663">
        <v>2017</v>
      </c>
      <c r="D258" s="1136">
        <v>11932.263333333332</v>
      </c>
      <c r="E258" s="63">
        <f>D258*'16-PlantAdditions'!$E$103</f>
        <v>894.91974999999991</v>
      </c>
      <c r="F258" s="63">
        <f t="shared" si="49"/>
        <v>12827.183083333332</v>
      </c>
      <c r="G258" s="1136">
        <v>11932.263333333332</v>
      </c>
      <c r="H258" s="1136">
        <v>0</v>
      </c>
      <c r="I258" s="63">
        <f>(G258-H258)*'16-PlantAdditions'!$E$103</f>
        <v>894.91974999999991</v>
      </c>
      <c r="J258" s="63">
        <f t="shared" si="50"/>
        <v>4.3957015805062838E-9</v>
      </c>
      <c r="K258" s="63">
        <f t="shared" si="51"/>
        <v>-26943987.049999997</v>
      </c>
    </row>
    <row r="259" spans="1:11" s="702" customFormat="1">
      <c r="A259" s="111">
        <f t="shared" si="48"/>
        <v>195</v>
      </c>
      <c r="B259" s="662" t="s">
        <v>191</v>
      </c>
      <c r="C259" s="663">
        <v>2017</v>
      </c>
      <c r="D259" s="1136">
        <v>11932.263333333332</v>
      </c>
      <c r="E259" s="63">
        <f>D259*'16-PlantAdditions'!$E$103</f>
        <v>894.91974999999991</v>
      </c>
      <c r="F259" s="63">
        <f t="shared" si="49"/>
        <v>12827.183083333332</v>
      </c>
      <c r="G259" s="1136">
        <v>11932.263333333332</v>
      </c>
      <c r="H259" s="1136">
        <v>0</v>
      </c>
      <c r="I259" s="63">
        <f>(G259-H259)*'16-PlantAdditions'!$E$103</f>
        <v>894.91974999999991</v>
      </c>
      <c r="J259" s="63">
        <f t="shared" si="50"/>
        <v>4.3957015805062838E-9</v>
      </c>
      <c r="K259" s="63">
        <f t="shared" si="51"/>
        <v>-26943987.049999997</v>
      </c>
    </row>
    <row r="260" spans="1:11" s="702" customFormat="1">
      <c r="A260" s="111">
        <f t="shared" si="48"/>
        <v>196</v>
      </c>
      <c r="B260" s="662" t="s">
        <v>190</v>
      </c>
      <c r="C260" s="663">
        <v>2017</v>
      </c>
      <c r="D260" s="1136">
        <v>11932.263333333332</v>
      </c>
      <c r="E260" s="63">
        <f>D260*'16-PlantAdditions'!$E$103</f>
        <v>894.91974999999991</v>
      </c>
      <c r="F260" s="63">
        <f t="shared" si="49"/>
        <v>12827.183083333332</v>
      </c>
      <c r="G260" s="1136">
        <v>11932.263333333332</v>
      </c>
      <c r="H260" s="1136">
        <v>0</v>
      </c>
      <c r="I260" s="63">
        <f>(G260-H260)*'16-PlantAdditions'!$E$103</f>
        <v>894.91974999999991</v>
      </c>
      <c r="J260" s="63">
        <f t="shared" si="50"/>
        <v>4.3957015805062838E-9</v>
      </c>
      <c r="K260" s="63">
        <f t="shared" si="51"/>
        <v>-26943987.049999997</v>
      </c>
    </row>
    <row r="261" spans="1:11" s="702" customFormat="1">
      <c r="A261" s="111">
        <f t="shared" si="48"/>
        <v>197</v>
      </c>
      <c r="B261" s="662" t="s">
        <v>180</v>
      </c>
      <c r="C261" s="663">
        <v>2017</v>
      </c>
      <c r="D261" s="1136">
        <v>11932.263333333332</v>
      </c>
      <c r="E261" s="63">
        <f>D261*'16-PlantAdditions'!$E$103</f>
        <v>894.91974999999991</v>
      </c>
      <c r="F261" s="63">
        <f t="shared" si="49"/>
        <v>12827.183083333332</v>
      </c>
      <c r="G261" s="1136">
        <v>11932.263333333332</v>
      </c>
      <c r="H261" s="1136">
        <v>0</v>
      </c>
      <c r="I261" s="63">
        <f>(G261-H261)*'16-PlantAdditions'!$E$103</f>
        <v>894.91974999999991</v>
      </c>
      <c r="J261" s="63">
        <f t="shared" si="50"/>
        <v>4.3957015805062838E-9</v>
      </c>
      <c r="K261" s="63">
        <f t="shared" si="51"/>
        <v>-26943987.049999997</v>
      </c>
    </row>
    <row r="262" spans="1:11" s="702" customFormat="1">
      <c r="A262" s="111">
        <f t="shared" si="48"/>
        <v>198</v>
      </c>
      <c r="B262" s="662" t="s">
        <v>181</v>
      </c>
      <c r="C262" s="663">
        <v>2018</v>
      </c>
      <c r="D262" s="1136">
        <v>0</v>
      </c>
      <c r="E262" s="63">
        <f>D262*'16-PlantAdditions'!$E$103</f>
        <v>0</v>
      </c>
      <c r="F262" s="63">
        <f t="shared" si="49"/>
        <v>0</v>
      </c>
      <c r="G262" s="1136">
        <v>0</v>
      </c>
      <c r="H262" s="1136">
        <v>0</v>
      </c>
      <c r="I262" s="63">
        <f>(G262-H262)*'16-PlantAdditions'!$E$103</f>
        <v>0</v>
      </c>
      <c r="J262" s="63">
        <f t="shared" si="50"/>
        <v>4.3957015805062838E-9</v>
      </c>
      <c r="K262" s="63">
        <f t="shared" si="51"/>
        <v>-26943987.049999997</v>
      </c>
    </row>
    <row r="263" spans="1:11" s="702" customFormat="1">
      <c r="A263" s="111">
        <f t="shared" si="48"/>
        <v>199</v>
      </c>
      <c r="B263" s="665" t="s">
        <v>182</v>
      </c>
      <c r="C263" s="663">
        <v>2018</v>
      </c>
      <c r="D263" s="1136">
        <v>0</v>
      </c>
      <c r="E263" s="63">
        <f>D263*'16-PlantAdditions'!$E$103</f>
        <v>0</v>
      </c>
      <c r="F263" s="63">
        <f t="shared" si="49"/>
        <v>0</v>
      </c>
      <c r="G263" s="1136">
        <v>0</v>
      </c>
      <c r="H263" s="1136">
        <v>0</v>
      </c>
      <c r="I263" s="63">
        <f>(G263-H263)*'16-PlantAdditions'!$E$103</f>
        <v>0</v>
      </c>
      <c r="J263" s="63">
        <f t="shared" si="50"/>
        <v>4.3957015805062838E-9</v>
      </c>
      <c r="K263" s="63">
        <f t="shared" si="51"/>
        <v>-26943987.049999997</v>
      </c>
    </row>
    <row r="264" spans="1:11" s="702" customFormat="1">
      <c r="A264" s="111">
        <f t="shared" si="48"/>
        <v>200</v>
      </c>
      <c r="B264" s="665" t="s">
        <v>195</v>
      </c>
      <c r="C264" s="663">
        <v>2018</v>
      </c>
      <c r="D264" s="1136">
        <v>0</v>
      </c>
      <c r="E264" s="63">
        <f>D264*'16-PlantAdditions'!$E$103</f>
        <v>0</v>
      </c>
      <c r="F264" s="63">
        <f t="shared" si="49"/>
        <v>0</v>
      </c>
      <c r="G264" s="1136">
        <v>0</v>
      </c>
      <c r="H264" s="1136">
        <v>0</v>
      </c>
      <c r="I264" s="63">
        <f>(G264-H264)*'16-PlantAdditions'!$E$103</f>
        <v>0</v>
      </c>
      <c r="J264" s="63">
        <f t="shared" si="50"/>
        <v>4.3957015805062838E-9</v>
      </c>
      <c r="K264" s="63">
        <f t="shared" si="51"/>
        <v>-26943987.049999997</v>
      </c>
    </row>
    <row r="265" spans="1:11" s="702" customFormat="1">
      <c r="A265" s="111">
        <f t="shared" si="48"/>
        <v>201</v>
      </c>
      <c r="B265" s="662" t="s">
        <v>183</v>
      </c>
      <c r="C265" s="663">
        <v>2018</v>
      </c>
      <c r="D265" s="1136">
        <v>0</v>
      </c>
      <c r="E265" s="63">
        <f>D265*'16-PlantAdditions'!$E$103</f>
        <v>0</v>
      </c>
      <c r="F265" s="63">
        <f t="shared" si="49"/>
        <v>0</v>
      </c>
      <c r="G265" s="1136">
        <v>0</v>
      </c>
      <c r="H265" s="1136">
        <v>0</v>
      </c>
      <c r="I265" s="63">
        <f>(G265-H265)*'16-PlantAdditions'!$E$103</f>
        <v>0</v>
      </c>
      <c r="J265" s="63">
        <f t="shared" si="50"/>
        <v>4.3957015805062838E-9</v>
      </c>
      <c r="K265" s="63">
        <f t="shared" si="51"/>
        <v>-26943987.049999997</v>
      </c>
    </row>
    <row r="266" spans="1:11" s="702" customFormat="1">
      <c r="A266" s="111">
        <f t="shared" si="48"/>
        <v>202</v>
      </c>
      <c r="B266" s="665" t="s">
        <v>184</v>
      </c>
      <c r="C266" s="663">
        <v>2018</v>
      </c>
      <c r="D266" s="1136">
        <v>0</v>
      </c>
      <c r="E266" s="63">
        <f>D266*'16-PlantAdditions'!$E$103</f>
        <v>0</v>
      </c>
      <c r="F266" s="63">
        <f t="shared" si="49"/>
        <v>0</v>
      </c>
      <c r="G266" s="1136">
        <v>0</v>
      </c>
      <c r="H266" s="1136">
        <v>0</v>
      </c>
      <c r="I266" s="63">
        <f>(G266-H266)*'16-PlantAdditions'!$E$103</f>
        <v>0</v>
      </c>
      <c r="J266" s="63">
        <f t="shared" si="50"/>
        <v>4.3957015805062838E-9</v>
      </c>
      <c r="K266" s="63">
        <f t="shared" si="51"/>
        <v>-26943987.049999997</v>
      </c>
    </row>
    <row r="267" spans="1:11" s="702" customFormat="1">
      <c r="A267" s="111">
        <f t="shared" si="48"/>
        <v>203</v>
      </c>
      <c r="B267" s="665" t="s">
        <v>1483</v>
      </c>
      <c r="C267" s="663">
        <v>2018</v>
      </c>
      <c r="D267" s="1136">
        <v>0</v>
      </c>
      <c r="E267" s="63">
        <f>D267*'16-PlantAdditions'!$E$103</f>
        <v>0</v>
      </c>
      <c r="F267" s="63">
        <f t="shared" si="49"/>
        <v>0</v>
      </c>
      <c r="G267" s="1136">
        <v>0</v>
      </c>
      <c r="H267" s="1136">
        <v>0</v>
      </c>
      <c r="I267" s="63">
        <f>(G267-H267)*'16-PlantAdditions'!$E$103</f>
        <v>0</v>
      </c>
      <c r="J267" s="63">
        <f t="shared" si="50"/>
        <v>4.3957015805062838E-9</v>
      </c>
      <c r="K267" s="63">
        <f t="shared" si="51"/>
        <v>-26943987.049999997</v>
      </c>
    </row>
    <row r="268" spans="1:11" s="702" customFormat="1">
      <c r="A268" s="111">
        <f t="shared" si="48"/>
        <v>204</v>
      </c>
      <c r="B268" s="662" t="s">
        <v>186</v>
      </c>
      <c r="C268" s="663">
        <v>2018</v>
      </c>
      <c r="D268" s="1136">
        <v>0</v>
      </c>
      <c r="E268" s="63">
        <f>D268*'16-PlantAdditions'!$E$103</f>
        <v>0</v>
      </c>
      <c r="F268" s="63">
        <f t="shared" si="49"/>
        <v>0</v>
      </c>
      <c r="G268" s="1136">
        <v>0</v>
      </c>
      <c r="H268" s="1136">
        <v>0</v>
      </c>
      <c r="I268" s="63">
        <f>(G268-H268)*'16-PlantAdditions'!$E$103</f>
        <v>0</v>
      </c>
      <c r="J268" s="63">
        <f t="shared" si="50"/>
        <v>4.3957015805062838E-9</v>
      </c>
      <c r="K268" s="63">
        <f t="shared" si="51"/>
        <v>-26943987.049999997</v>
      </c>
    </row>
    <row r="269" spans="1:11" s="702" customFormat="1">
      <c r="A269" s="111">
        <f t="shared" si="48"/>
        <v>205</v>
      </c>
      <c r="B269" s="665" t="s">
        <v>187</v>
      </c>
      <c r="C269" s="663">
        <v>2018</v>
      </c>
      <c r="D269" s="1136">
        <v>0</v>
      </c>
      <c r="E269" s="63">
        <f>D269*'16-PlantAdditions'!$E$103</f>
        <v>0</v>
      </c>
      <c r="F269" s="63">
        <f t="shared" si="49"/>
        <v>0</v>
      </c>
      <c r="G269" s="1136">
        <v>0</v>
      </c>
      <c r="H269" s="1136">
        <v>0</v>
      </c>
      <c r="I269" s="63">
        <f>(G269-H269)*'16-PlantAdditions'!$E$103</f>
        <v>0</v>
      </c>
      <c r="J269" s="63">
        <f t="shared" si="50"/>
        <v>4.3957015805062838E-9</v>
      </c>
      <c r="K269" s="63">
        <f t="shared" si="51"/>
        <v>-26943987.049999997</v>
      </c>
    </row>
    <row r="270" spans="1:11" s="702" customFormat="1">
      <c r="A270" s="111">
        <f t="shared" si="48"/>
        <v>206</v>
      </c>
      <c r="B270" s="665" t="s">
        <v>188</v>
      </c>
      <c r="C270" s="663">
        <v>2018</v>
      </c>
      <c r="D270" s="1136">
        <v>0</v>
      </c>
      <c r="E270" s="63">
        <f>D270*'16-PlantAdditions'!$E$103</f>
        <v>0</v>
      </c>
      <c r="F270" s="63">
        <f t="shared" si="49"/>
        <v>0</v>
      </c>
      <c r="G270" s="1136">
        <v>0</v>
      </c>
      <c r="H270" s="1136">
        <v>0</v>
      </c>
      <c r="I270" s="63">
        <f>(G270-H270)*'16-PlantAdditions'!$E$103</f>
        <v>0</v>
      </c>
      <c r="J270" s="63">
        <f t="shared" si="50"/>
        <v>4.3957015805062838E-9</v>
      </c>
      <c r="K270" s="63">
        <f t="shared" si="51"/>
        <v>-26943987.049999997</v>
      </c>
    </row>
    <row r="271" spans="1:11" s="702" customFormat="1">
      <c r="A271" s="111">
        <f t="shared" si="48"/>
        <v>207</v>
      </c>
      <c r="B271" s="665" t="s">
        <v>191</v>
      </c>
      <c r="C271" s="663">
        <v>2018</v>
      </c>
      <c r="D271" s="1136">
        <v>0</v>
      </c>
      <c r="E271" s="63">
        <f>D271*'16-PlantAdditions'!$E$103</f>
        <v>0</v>
      </c>
      <c r="F271" s="63">
        <f t="shared" ref="F271:F273" si="52">E271+D271</f>
        <v>0</v>
      </c>
      <c r="G271" s="1136">
        <v>0</v>
      </c>
      <c r="H271" s="1136">
        <v>0</v>
      </c>
      <c r="I271" s="63">
        <f>(G271-H271)*'16-PlantAdditions'!$E$103</f>
        <v>0</v>
      </c>
      <c r="J271" s="63">
        <f t="shared" ref="J271:J273" si="53">J270+F271-G271-I271</f>
        <v>4.3957015805062838E-9</v>
      </c>
      <c r="K271" s="63">
        <f t="shared" si="51"/>
        <v>-26943987.049999997</v>
      </c>
    </row>
    <row r="272" spans="1:11" s="702" customFormat="1">
      <c r="A272" s="111">
        <f t="shared" si="48"/>
        <v>208</v>
      </c>
      <c r="B272" s="665" t="s">
        <v>190</v>
      </c>
      <c r="C272" s="663">
        <v>2018</v>
      </c>
      <c r="D272" s="1136">
        <v>0</v>
      </c>
      <c r="E272" s="63">
        <f>D272*'16-PlantAdditions'!$E$103</f>
        <v>0</v>
      </c>
      <c r="F272" s="63">
        <f t="shared" si="52"/>
        <v>0</v>
      </c>
      <c r="G272" s="1136">
        <v>0</v>
      </c>
      <c r="H272" s="1136">
        <v>0</v>
      </c>
      <c r="I272" s="63">
        <f>(G272-H272)*'16-PlantAdditions'!$E$103</f>
        <v>0</v>
      </c>
      <c r="J272" s="63">
        <f t="shared" si="53"/>
        <v>4.3957015805062838E-9</v>
      </c>
      <c r="K272" s="63">
        <f t="shared" si="51"/>
        <v>-26943987.049999997</v>
      </c>
    </row>
    <row r="273" spans="1:13" s="702" customFormat="1">
      <c r="A273" s="111">
        <f t="shared" si="48"/>
        <v>209</v>
      </c>
      <c r="B273" s="665" t="s">
        <v>180</v>
      </c>
      <c r="C273" s="663">
        <v>2018</v>
      </c>
      <c r="D273" s="1136">
        <v>0</v>
      </c>
      <c r="E273" s="63">
        <f>D273*'16-PlantAdditions'!$E$103</f>
        <v>0</v>
      </c>
      <c r="F273" s="63">
        <f t="shared" si="52"/>
        <v>0</v>
      </c>
      <c r="G273" s="1136">
        <v>0</v>
      </c>
      <c r="H273" s="1136">
        <v>0</v>
      </c>
      <c r="I273" s="63">
        <f>(G273-H273)*'16-PlantAdditions'!$E$103</f>
        <v>0</v>
      </c>
      <c r="J273" s="63">
        <f t="shared" si="53"/>
        <v>4.3957015805062838E-9</v>
      </c>
      <c r="K273" s="112">
        <f t="shared" si="51"/>
        <v>-26943987.049999997</v>
      </c>
    </row>
    <row r="274" spans="1:13" s="702" customFormat="1">
      <c r="A274" s="111">
        <f t="shared" si="48"/>
        <v>210</v>
      </c>
      <c r="B274"/>
      <c r="C274" s="701" t="s">
        <v>1635</v>
      </c>
      <c r="D274"/>
      <c r="E274"/>
      <c r="F274"/>
      <c r="G274"/>
      <c r="H274"/>
      <c r="I274"/>
      <c r="J274"/>
      <c r="K274" s="73">
        <f>AVERAGE(K261:K273)</f>
        <v>-26943987.050000008</v>
      </c>
    </row>
    <row r="275" spans="1:13" s="702" customFormat="1" ht="12.75" customHeight="1">
      <c r="A275" s="111"/>
      <c r="B275"/>
      <c r="C275" s="701"/>
      <c r="D275"/>
      <c r="E275"/>
      <c r="F275"/>
      <c r="G275"/>
      <c r="H275"/>
      <c r="I275"/>
      <c r="J275"/>
      <c r="K275" s="73"/>
    </row>
    <row r="276" spans="1:13" s="702" customFormat="1">
      <c r="B276" s="703" t="s">
        <v>1975</v>
      </c>
      <c r="D276" s="1379" t="s">
        <v>1976</v>
      </c>
      <c r="E276" s="1379"/>
    </row>
    <row r="277" spans="1:13" s="702" customFormat="1">
      <c r="D277" s="704"/>
      <c r="E277" s="705"/>
      <c r="F277" s="706"/>
      <c r="G277" s="699" t="str">
        <f>G51</f>
        <v>Unloaded</v>
      </c>
      <c r="H277" s="704"/>
      <c r="I277" s="705"/>
      <c r="J277" s="705"/>
      <c r="K277" s="705"/>
    </row>
    <row r="278" spans="1:13" s="702" customFormat="1">
      <c r="A278" s="699"/>
      <c r="B278" s="699"/>
      <c r="C278" s="699"/>
      <c r="D278" s="699" t="str">
        <f>D$52</f>
        <v>Forecast</v>
      </c>
      <c r="E278" s="699" t="str">
        <f t="shared" ref="E278:J278" si="54">E$52</f>
        <v>Corporate</v>
      </c>
      <c r="F278" s="699" t="str">
        <f t="shared" si="54"/>
        <v xml:space="preserve">Total </v>
      </c>
      <c r="G278" s="699" t="str">
        <f>G52</f>
        <v>Total</v>
      </c>
      <c r="H278" s="699" t="str">
        <f t="shared" si="54"/>
        <v>Prior Period</v>
      </c>
      <c r="I278" s="699" t="str">
        <f t="shared" si="54"/>
        <v>Over Heads</v>
      </c>
      <c r="J278" s="699" t="str">
        <f t="shared" si="54"/>
        <v>Forecast</v>
      </c>
      <c r="K278" s="600" t="str">
        <f>K$52</f>
        <v>Forecast Period</v>
      </c>
    </row>
    <row r="279" spans="1:13" s="702" customFormat="1">
      <c r="A279" s="960" t="s">
        <v>332</v>
      </c>
      <c r="B279" s="661" t="s">
        <v>192</v>
      </c>
      <c r="C279" s="661" t="s">
        <v>193</v>
      </c>
      <c r="D279" s="697" t="str">
        <f>D$53</f>
        <v>Expenditures</v>
      </c>
      <c r="E279" s="697" t="str">
        <f t="shared" ref="E279:J279" si="55">E$53</f>
        <v>Overheads</v>
      </c>
      <c r="F279" s="697" t="str">
        <f t="shared" si="55"/>
        <v>CWIP Exp</v>
      </c>
      <c r="G279" s="697" t="str">
        <f>G53</f>
        <v>Plant Adds</v>
      </c>
      <c r="H279" s="697" t="str">
        <f t="shared" si="55"/>
        <v>CWIP Closed</v>
      </c>
      <c r="I279" s="697" t="str">
        <f t="shared" si="55"/>
        <v>Closed to PIS</v>
      </c>
      <c r="J279" s="697" t="str">
        <f t="shared" si="55"/>
        <v>Period CWIP</v>
      </c>
      <c r="K279" s="697" t="str">
        <f>K$53</f>
        <v>Incremental CWIP</v>
      </c>
    </row>
    <row r="280" spans="1:13" s="702" customFormat="1">
      <c r="A280" s="111">
        <f>A274+1</f>
        <v>211</v>
      </c>
      <c r="B280" s="662" t="s">
        <v>180</v>
      </c>
      <c r="C280" s="663">
        <v>2016</v>
      </c>
      <c r="D280" s="706" t="s">
        <v>76</v>
      </c>
      <c r="E280" s="706" t="s">
        <v>76</v>
      </c>
      <c r="F280" s="706" t="s">
        <v>76</v>
      </c>
      <c r="G280" s="706" t="s">
        <v>76</v>
      </c>
      <c r="H280" s="706" t="s">
        <v>76</v>
      </c>
      <c r="I280" s="706" t="s">
        <v>76</v>
      </c>
      <c r="J280" s="63">
        <f>E45</f>
        <v>0</v>
      </c>
      <c r="K280" s="706" t="s">
        <v>76</v>
      </c>
    </row>
    <row r="281" spans="1:13" s="702" customFormat="1">
      <c r="A281" s="111">
        <f>A280+1</f>
        <v>212</v>
      </c>
      <c r="B281" s="662" t="s">
        <v>181</v>
      </c>
      <c r="C281" s="663">
        <v>2017</v>
      </c>
      <c r="D281" s="1136">
        <v>-335081.45</v>
      </c>
      <c r="E281" s="63">
        <f>D281*'16-PlantAdditions'!$E$103</f>
        <v>-25131.108749999999</v>
      </c>
      <c r="F281" s="63">
        <f>E281+D281</f>
        <v>-360212.55875000003</v>
      </c>
      <c r="G281" s="1136">
        <v>-335081.45</v>
      </c>
      <c r="H281" s="1136">
        <v>0</v>
      </c>
      <c r="I281" s="63">
        <f>(G281-H281)*'16-PlantAdditions'!$E$103</f>
        <v>-25131.108749999999</v>
      </c>
      <c r="J281" s="63">
        <f>J280+F281-G281-I281</f>
        <v>0</v>
      </c>
      <c r="K281" s="63">
        <f>J281-$J$280</f>
        <v>0</v>
      </c>
    </row>
    <row r="282" spans="1:13" s="702" customFormat="1">
      <c r="A282" s="111">
        <f t="shared" ref="A282:A305" si="56">A281+1</f>
        <v>213</v>
      </c>
      <c r="B282" s="665" t="s">
        <v>182</v>
      </c>
      <c r="C282" s="663">
        <v>2017</v>
      </c>
      <c r="D282" s="1136">
        <v>111070.15999999999</v>
      </c>
      <c r="E282" s="63">
        <f>D282*'16-PlantAdditions'!$E$103</f>
        <v>8330.2619999999988</v>
      </c>
      <c r="F282" s="63">
        <f t="shared" ref="F282:F301" si="57">E282+D282</f>
        <v>119400.42199999999</v>
      </c>
      <c r="G282" s="1136">
        <v>111070.15999999999</v>
      </c>
      <c r="H282" s="1136">
        <v>0</v>
      </c>
      <c r="I282" s="63">
        <f>(G282-H282)*'16-PlantAdditions'!$E$103</f>
        <v>8330.2619999999988</v>
      </c>
      <c r="J282" s="63">
        <f t="shared" ref="J282:J301" si="58">J281+F282-G282-I282</f>
        <v>0</v>
      </c>
      <c r="K282" s="63">
        <f t="shared" ref="K282:K304" si="59">J282-$J$280</f>
        <v>0</v>
      </c>
    </row>
    <row r="283" spans="1:13" s="702" customFormat="1">
      <c r="A283" s="111">
        <f t="shared" si="56"/>
        <v>214</v>
      </c>
      <c r="B283" s="665" t="s">
        <v>195</v>
      </c>
      <c r="C283" s="663">
        <v>2017</v>
      </c>
      <c r="D283" s="1136">
        <v>98479.250000000015</v>
      </c>
      <c r="E283" s="63">
        <f>D283*'16-PlantAdditions'!$E$103</f>
        <v>7385.9437500000004</v>
      </c>
      <c r="F283" s="63">
        <f t="shared" si="57"/>
        <v>105865.19375000002</v>
      </c>
      <c r="G283" s="1136">
        <v>98479.250000000015</v>
      </c>
      <c r="H283" s="1136">
        <v>0</v>
      </c>
      <c r="I283" s="63">
        <f>(G283-H283)*'16-PlantAdditions'!$E$103</f>
        <v>7385.9437500000004</v>
      </c>
      <c r="J283" s="63">
        <f t="shared" si="58"/>
        <v>0</v>
      </c>
      <c r="K283" s="63">
        <f t="shared" si="59"/>
        <v>0</v>
      </c>
    </row>
    <row r="284" spans="1:13" s="702" customFormat="1">
      <c r="A284" s="111">
        <f t="shared" si="56"/>
        <v>215</v>
      </c>
      <c r="B284" s="662" t="s">
        <v>183</v>
      </c>
      <c r="C284" s="663">
        <v>2017</v>
      </c>
      <c r="D284" s="1136">
        <v>15000</v>
      </c>
      <c r="E284" s="63">
        <f>D284*'16-PlantAdditions'!$E$103</f>
        <v>1125</v>
      </c>
      <c r="F284" s="63">
        <f t="shared" si="57"/>
        <v>16125</v>
      </c>
      <c r="G284" s="1136">
        <v>15000</v>
      </c>
      <c r="H284" s="1136">
        <v>0</v>
      </c>
      <c r="I284" s="63">
        <f>(G284-H284)*'16-PlantAdditions'!$E$103</f>
        <v>1125</v>
      </c>
      <c r="J284" s="63">
        <f t="shared" si="58"/>
        <v>0</v>
      </c>
      <c r="K284" s="63">
        <f t="shared" si="59"/>
        <v>0</v>
      </c>
    </row>
    <row r="285" spans="1:13" s="702" customFormat="1">
      <c r="A285" s="111">
        <f t="shared" si="56"/>
        <v>216</v>
      </c>
      <c r="B285" s="665" t="s">
        <v>184</v>
      </c>
      <c r="C285" s="663">
        <v>2017</v>
      </c>
      <c r="D285" s="1136">
        <v>50000</v>
      </c>
      <c r="E285" s="63">
        <f>D285*'16-PlantAdditions'!$E$103</f>
        <v>3750</v>
      </c>
      <c r="F285" s="63">
        <f t="shared" si="57"/>
        <v>53750</v>
      </c>
      <c r="G285" s="1136">
        <v>50000</v>
      </c>
      <c r="H285" s="1136">
        <v>0</v>
      </c>
      <c r="I285" s="63">
        <f>(G285-H285)*'16-PlantAdditions'!$E$103</f>
        <v>3750</v>
      </c>
      <c r="J285" s="63">
        <f t="shared" si="58"/>
        <v>0</v>
      </c>
      <c r="K285" s="63">
        <f t="shared" si="59"/>
        <v>0</v>
      </c>
      <c r="L285" s="699"/>
      <c r="M285" s="699"/>
    </row>
    <row r="286" spans="1:13" s="702" customFormat="1">
      <c r="A286" s="111">
        <f t="shared" si="56"/>
        <v>217</v>
      </c>
      <c r="B286" s="665" t="s">
        <v>1483</v>
      </c>
      <c r="C286" s="663">
        <v>2017</v>
      </c>
      <c r="D286" s="1136">
        <v>50000</v>
      </c>
      <c r="E286" s="63">
        <f>D286*'16-PlantAdditions'!$E$103</f>
        <v>3750</v>
      </c>
      <c r="F286" s="63">
        <f t="shared" si="57"/>
        <v>53750</v>
      </c>
      <c r="G286" s="1136">
        <v>50000</v>
      </c>
      <c r="H286" s="1136">
        <v>0</v>
      </c>
      <c r="I286" s="63">
        <f>(G286-H286)*'16-PlantAdditions'!$E$103</f>
        <v>3750</v>
      </c>
      <c r="J286" s="63">
        <f t="shared" si="58"/>
        <v>0</v>
      </c>
      <c r="K286" s="63">
        <f t="shared" si="59"/>
        <v>0</v>
      </c>
      <c r="L286" s="697"/>
      <c r="M286" s="697"/>
    </row>
    <row r="287" spans="1:13" s="702" customFormat="1">
      <c r="A287" s="111">
        <f t="shared" si="56"/>
        <v>218</v>
      </c>
      <c r="B287" s="662" t="s">
        <v>186</v>
      </c>
      <c r="C287" s="663">
        <v>2017</v>
      </c>
      <c r="D287" s="1136">
        <v>33000</v>
      </c>
      <c r="E287" s="63">
        <f>D287*'16-PlantAdditions'!$E$103</f>
        <v>2475</v>
      </c>
      <c r="F287" s="63">
        <f t="shared" si="57"/>
        <v>35475</v>
      </c>
      <c r="G287" s="1136">
        <v>33000</v>
      </c>
      <c r="H287" s="1136">
        <v>0</v>
      </c>
      <c r="I287" s="63">
        <f>(G287-H287)*'16-PlantAdditions'!$E$103</f>
        <v>2475</v>
      </c>
      <c r="J287" s="63">
        <f t="shared" si="58"/>
        <v>0</v>
      </c>
      <c r="K287" s="63">
        <f t="shared" si="59"/>
        <v>0</v>
      </c>
    </row>
    <row r="288" spans="1:13" s="702" customFormat="1">
      <c r="A288" s="111">
        <f t="shared" si="56"/>
        <v>219</v>
      </c>
      <c r="B288" s="665" t="s">
        <v>187</v>
      </c>
      <c r="C288" s="663">
        <v>2017</v>
      </c>
      <c r="D288" s="1136">
        <v>0</v>
      </c>
      <c r="E288" s="63">
        <f>D288*'16-PlantAdditions'!$E$103</f>
        <v>0</v>
      </c>
      <c r="F288" s="63">
        <f t="shared" si="57"/>
        <v>0</v>
      </c>
      <c r="G288" s="1136">
        <v>0</v>
      </c>
      <c r="H288" s="1136">
        <v>0</v>
      </c>
      <c r="I288" s="63">
        <f>(G288-H288)*'16-PlantAdditions'!$E$103</f>
        <v>0</v>
      </c>
      <c r="J288" s="63">
        <f t="shared" si="58"/>
        <v>0</v>
      </c>
      <c r="K288" s="63">
        <f t="shared" si="59"/>
        <v>0</v>
      </c>
    </row>
    <row r="289" spans="1:11" s="702" customFormat="1">
      <c r="A289" s="111">
        <f t="shared" si="56"/>
        <v>220</v>
      </c>
      <c r="B289" s="665" t="s">
        <v>188</v>
      </c>
      <c r="C289" s="663">
        <v>2017</v>
      </c>
      <c r="D289" s="1136">
        <v>0</v>
      </c>
      <c r="E289" s="63">
        <f>D289*'16-PlantAdditions'!$E$103</f>
        <v>0</v>
      </c>
      <c r="F289" s="63">
        <f t="shared" si="57"/>
        <v>0</v>
      </c>
      <c r="G289" s="1136">
        <v>0</v>
      </c>
      <c r="H289" s="1136">
        <v>0</v>
      </c>
      <c r="I289" s="63">
        <f>(G289-H289)*'16-PlantAdditions'!$E$103</f>
        <v>0</v>
      </c>
      <c r="J289" s="63">
        <f t="shared" si="58"/>
        <v>0</v>
      </c>
      <c r="K289" s="63">
        <f t="shared" si="59"/>
        <v>0</v>
      </c>
    </row>
    <row r="290" spans="1:11" s="702" customFormat="1">
      <c r="A290" s="111">
        <f t="shared" si="56"/>
        <v>221</v>
      </c>
      <c r="B290" s="662" t="s">
        <v>191</v>
      </c>
      <c r="C290" s="663">
        <v>2017</v>
      </c>
      <c r="D290" s="1136">
        <v>0</v>
      </c>
      <c r="E290" s="63">
        <f>D290*'16-PlantAdditions'!$E$103</f>
        <v>0</v>
      </c>
      <c r="F290" s="63">
        <f t="shared" si="57"/>
        <v>0</v>
      </c>
      <c r="G290" s="1136">
        <v>0</v>
      </c>
      <c r="H290" s="1136">
        <v>0</v>
      </c>
      <c r="I290" s="63">
        <f>(G290-H290)*'16-PlantAdditions'!$E$103</f>
        <v>0</v>
      </c>
      <c r="J290" s="63">
        <f t="shared" si="58"/>
        <v>0</v>
      </c>
      <c r="K290" s="63">
        <f t="shared" si="59"/>
        <v>0</v>
      </c>
    </row>
    <row r="291" spans="1:11" s="702" customFormat="1">
      <c r="A291" s="111">
        <f t="shared" si="56"/>
        <v>222</v>
      </c>
      <c r="B291" s="662" t="s">
        <v>190</v>
      </c>
      <c r="C291" s="663">
        <v>2017</v>
      </c>
      <c r="D291" s="1136">
        <v>0</v>
      </c>
      <c r="E291" s="63">
        <f>D291*'16-PlantAdditions'!$E$103</f>
        <v>0</v>
      </c>
      <c r="F291" s="63">
        <f t="shared" si="57"/>
        <v>0</v>
      </c>
      <c r="G291" s="1136">
        <v>0</v>
      </c>
      <c r="H291" s="1136">
        <v>0</v>
      </c>
      <c r="I291" s="63">
        <f>(G291-H291)*'16-PlantAdditions'!$E$103</f>
        <v>0</v>
      </c>
      <c r="J291" s="63">
        <f t="shared" si="58"/>
        <v>0</v>
      </c>
      <c r="K291" s="63">
        <f t="shared" si="59"/>
        <v>0</v>
      </c>
    </row>
    <row r="292" spans="1:11" s="702" customFormat="1">
      <c r="A292" s="111">
        <f t="shared" si="56"/>
        <v>223</v>
      </c>
      <c r="B292" s="662" t="s">
        <v>180</v>
      </c>
      <c r="C292" s="663">
        <v>2017</v>
      </c>
      <c r="D292" s="1136">
        <v>0</v>
      </c>
      <c r="E292" s="63">
        <f>D292*'16-PlantAdditions'!$E$103</f>
        <v>0</v>
      </c>
      <c r="F292" s="63">
        <f t="shared" si="57"/>
        <v>0</v>
      </c>
      <c r="G292" s="1136">
        <v>0</v>
      </c>
      <c r="H292" s="1136">
        <v>0</v>
      </c>
      <c r="I292" s="63">
        <f>(G292-H292)*'16-PlantAdditions'!$E$103</f>
        <v>0</v>
      </c>
      <c r="J292" s="63">
        <f t="shared" si="58"/>
        <v>0</v>
      </c>
      <c r="K292" s="63">
        <f t="shared" si="59"/>
        <v>0</v>
      </c>
    </row>
    <row r="293" spans="1:11" s="702" customFormat="1">
      <c r="A293" s="111">
        <f t="shared" si="56"/>
        <v>224</v>
      </c>
      <c r="B293" s="662" t="s">
        <v>181</v>
      </c>
      <c r="C293" s="663">
        <v>2018</v>
      </c>
      <c r="D293" s="1136">
        <v>0</v>
      </c>
      <c r="E293" s="63">
        <f>D293*'16-PlantAdditions'!$E$103</f>
        <v>0</v>
      </c>
      <c r="F293" s="63">
        <f t="shared" si="57"/>
        <v>0</v>
      </c>
      <c r="G293" s="1136">
        <v>0</v>
      </c>
      <c r="H293" s="1136">
        <v>0</v>
      </c>
      <c r="I293" s="63">
        <f>(G293-H293)*'16-PlantAdditions'!$E$103</f>
        <v>0</v>
      </c>
      <c r="J293" s="63">
        <f t="shared" si="58"/>
        <v>0</v>
      </c>
      <c r="K293" s="63">
        <f t="shared" si="59"/>
        <v>0</v>
      </c>
    </row>
    <row r="294" spans="1:11" s="702" customFormat="1">
      <c r="A294" s="111">
        <f t="shared" si="56"/>
        <v>225</v>
      </c>
      <c r="B294" s="665" t="s">
        <v>182</v>
      </c>
      <c r="C294" s="663">
        <v>2018</v>
      </c>
      <c r="D294" s="1136">
        <v>0</v>
      </c>
      <c r="E294" s="63">
        <f>D294*'16-PlantAdditions'!$E$103</f>
        <v>0</v>
      </c>
      <c r="F294" s="63">
        <f t="shared" si="57"/>
        <v>0</v>
      </c>
      <c r="G294" s="1136">
        <v>0</v>
      </c>
      <c r="H294" s="1136">
        <v>0</v>
      </c>
      <c r="I294" s="63">
        <f>(G294-H294)*'16-PlantAdditions'!$E$103</f>
        <v>0</v>
      </c>
      <c r="J294" s="63">
        <f t="shared" si="58"/>
        <v>0</v>
      </c>
      <c r="K294" s="63">
        <f t="shared" si="59"/>
        <v>0</v>
      </c>
    </row>
    <row r="295" spans="1:11" s="702" customFormat="1">
      <c r="A295" s="111">
        <f t="shared" si="56"/>
        <v>226</v>
      </c>
      <c r="B295" s="665" t="s">
        <v>195</v>
      </c>
      <c r="C295" s="663">
        <v>2018</v>
      </c>
      <c r="D295" s="1136">
        <v>0</v>
      </c>
      <c r="E295" s="63">
        <f>D295*'16-PlantAdditions'!$E$103</f>
        <v>0</v>
      </c>
      <c r="F295" s="63">
        <f t="shared" si="57"/>
        <v>0</v>
      </c>
      <c r="G295" s="1136">
        <v>0</v>
      </c>
      <c r="H295" s="1136">
        <v>0</v>
      </c>
      <c r="I295" s="63">
        <f>(G295-H295)*'16-PlantAdditions'!$E$103</f>
        <v>0</v>
      </c>
      <c r="J295" s="63">
        <f t="shared" si="58"/>
        <v>0</v>
      </c>
      <c r="K295" s="63">
        <f t="shared" si="59"/>
        <v>0</v>
      </c>
    </row>
    <row r="296" spans="1:11" s="702" customFormat="1">
      <c r="A296" s="111">
        <f t="shared" si="56"/>
        <v>227</v>
      </c>
      <c r="B296" s="662" t="s">
        <v>183</v>
      </c>
      <c r="C296" s="663">
        <v>2018</v>
      </c>
      <c r="D296" s="1136">
        <v>0</v>
      </c>
      <c r="E296" s="63">
        <f>D296*'16-PlantAdditions'!$E$103</f>
        <v>0</v>
      </c>
      <c r="F296" s="63">
        <f t="shared" si="57"/>
        <v>0</v>
      </c>
      <c r="G296" s="1136">
        <v>0</v>
      </c>
      <c r="H296" s="1136">
        <v>0</v>
      </c>
      <c r="I296" s="63">
        <f>(G296-H296)*'16-PlantAdditions'!$E$103</f>
        <v>0</v>
      </c>
      <c r="J296" s="63">
        <f t="shared" si="58"/>
        <v>0</v>
      </c>
      <c r="K296" s="63">
        <f t="shared" si="59"/>
        <v>0</v>
      </c>
    </row>
    <row r="297" spans="1:11" s="702" customFormat="1">
      <c r="A297" s="111">
        <f t="shared" si="56"/>
        <v>228</v>
      </c>
      <c r="B297" s="665" t="s">
        <v>184</v>
      </c>
      <c r="C297" s="663">
        <v>2018</v>
      </c>
      <c r="D297" s="1136">
        <v>0</v>
      </c>
      <c r="E297" s="63">
        <f>D297*'16-PlantAdditions'!$E$103</f>
        <v>0</v>
      </c>
      <c r="F297" s="63">
        <f t="shared" si="57"/>
        <v>0</v>
      </c>
      <c r="G297" s="1136">
        <v>0</v>
      </c>
      <c r="H297" s="1136">
        <v>0</v>
      </c>
      <c r="I297" s="63">
        <f>(G297-H297)*'16-PlantAdditions'!$E$103</f>
        <v>0</v>
      </c>
      <c r="J297" s="63">
        <f t="shared" si="58"/>
        <v>0</v>
      </c>
      <c r="K297" s="63">
        <f t="shared" si="59"/>
        <v>0</v>
      </c>
    </row>
    <row r="298" spans="1:11" s="702" customFormat="1">
      <c r="A298" s="111">
        <f t="shared" si="56"/>
        <v>229</v>
      </c>
      <c r="B298" s="665" t="s">
        <v>1483</v>
      </c>
      <c r="C298" s="663">
        <v>2018</v>
      </c>
      <c r="D298" s="1136">
        <v>0</v>
      </c>
      <c r="E298" s="63">
        <f>D298*'16-PlantAdditions'!$E$103</f>
        <v>0</v>
      </c>
      <c r="F298" s="63">
        <f t="shared" si="57"/>
        <v>0</v>
      </c>
      <c r="G298" s="1136">
        <v>0</v>
      </c>
      <c r="H298" s="1136">
        <v>0</v>
      </c>
      <c r="I298" s="63">
        <f>(G298-H298)*'16-PlantAdditions'!$E$103</f>
        <v>0</v>
      </c>
      <c r="J298" s="63">
        <f t="shared" si="58"/>
        <v>0</v>
      </c>
      <c r="K298" s="63">
        <f t="shared" si="59"/>
        <v>0</v>
      </c>
    </row>
    <row r="299" spans="1:11" s="702" customFormat="1">
      <c r="A299" s="111">
        <f t="shared" si="56"/>
        <v>230</v>
      </c>
      <c r="B299" s="662" t="s">
        <v>186</v>
      </c>
      <c r="C299" s="663">
        <v>2018</v>
      </c>
      <c r="D299" s="1136">
        <v>0</v>
      </c>
      <c r="E299" s="63">
        <f>D299*'16-PlantAdditions'!$E$103</f>
        <v>0</v>
      </c>
      <c r="F299" s="63">
        <f t="shared" si="57"/>
        <v>0</v>
      </c>
      <c r="G299" s="1136">
        <v>0</v>
      </c>
      <c r="H299" s="1136">
        <v>0</v>
      </c>
      <c r="I299" s="63">
        <f>(G299-H299)*'16-PlantAdditions'!$E$103</f>
        <v>0</v>
      </c>
      <c r="J299" s="63">
        <f t="shared" si="58"/>
        <v>0</v>
      </c>
      <c r="K299" s="63">
        <f t="shared" si="59"/>
        <v>0</v>
      </c>
    </row>
    <row r="300" spans="1:11" s="702" customFormat="1">
      <c r="A300" s="111">
        <f t="shared" si="56"/>
        <v>231</v>
      </c>
      <c r="B300" s="665" t="s">
        <v>187</v>
      </c>
      <c r="C300" s="663">
        <v>2018</v>
      </c>
      <c r="D300" s="1136">
        <v>0</v>
      </c>
      <c r="E300" s="63">
        <f>D300*'16-PlantAdditions'!$E$103</f>
        <v>0</v>
      </c>
      <c r="F300" s="63">
        <f t="shared" si="57"/>
        <v>0</v>
      </c>
      <c r="G300" s="1136">
        <v>0</v>
      </c>
      <c r="H300" s="1136">
        <v>0</v>
      </c>
      <c r="I300" s="63">
        <f>(G300-H300)*'16-PlantAdditions'!$E$103</f>
        <v>0</v>
      </c>
      <c r="J300" s="63">
        <f t="shared" si="58"/>
        <v>0</v>
      </c>
      <c r="K300" s="63">
        <f t="shared" si="59"/>
        <v>0</v>
      </c>
    </row>
    <row r="301" spans="1:11" s="702" customFormat="1">
      <c r="A301" s="111">
        <f t="shared" si="56"/>
        <v>232</v>
      </c>
      <c r="B301" s="665" t="s">
        <v>188</v>
      </c>
      <c r="C301" s="663">
        <v>2018</v>
      </c>
      <c r="D301" s="1136">
        <v>0</v>
      </c>
      <c r="E301" s="63">
        <f>D301*'16-PlantAdditions'!$E$103</f>
        <v>0</v>
      </c>
      <c r="F301" s="63">
        <f t="shared" si="57"/>
        <v>0</v>
      </c>
      <c r="G301" s="1136">
        <v>0</v>
      </c>
      <c r="H301" s="1136">
        <v>0</v>
      </c>
      <c r="I301" s="63">
        <f>(G301-H301)*'16-PlantAdditions'!$E$103</f>
        <v>0</v>
      </c>
      <c r="J301" s="63">
        <f t="shared" si="58"/>
        <v>0</v>
      </c>
      <c r="K301" s="63">
        <f t="shared" si="59"/>
        <v>0</v>
      </c>
    </row>
    <row r="302" spans="1:11" s="702" customFormat="1">
      <c r="A302" s="111">
        <f t="shared" si="56"/>
        <v>233</v>
      </c>
      <c r="B302" s="665" t="s">
        <v>191</v>
      </c>
      <c r="C302" s="663">
        <v>2018</v>
      </c>
      <c r="D302" s="1136">
        <v>0</v>
      </c>
      <c r="E302" s="63">
        <f>D302*'16-PlantAdditions'!$E$103</f>
        <v>0</v>
      </c>
      <c r="F302" s="63">
        <f t="shared" ref="F302:F304" si="60">E302+D302</f>
        <v>0</v>
      </c>
      <c r="G302" s="1136">
        <v>0</v>
      </c>
      <c r="H302" s="1136">
        <v>0</v>
      </c>
      <c r="I302" s="63">
        <f>(G302-H302)*'16-PlantAdditions'!$E$103</f>
        <v>0</v>
      </c>
      <c r="J302" s="63">
        <f t="shared" ref="J302:J304" si="61">J301+F302-G302-I302</f>
        <v>0</v>
      </c>
      <c r="K302" s="63">
        <f t="shared" si="59"/>
        <v>0</v>
      </c>
    </row>
    <row r="303" spans="1:11" s="702" customFormat="1">
      <c r="A303" s="111">
        <f t="shared" si="56"/>
        <v>234</v>
      </c>
      <c r="B303" s="665" t="s">
        <v>190</v>
      </c>
      <c r="C303" s="663">
        <v>2018</v>
      </c>
      <c r="D303" s="1136">
        <v>0</v>
      </c>
      <c r="E303" s="63">
        <f>D303*'16-PlantAdditions'!$E$103</f>
        <v>0</v>
      </c>
      <c r="F303" s="63">
        <f t="shared" si="60"/>
        <v>0</v>
      </c>
      <c r="G303" s="1136">
        <v>0</v>
      </c>
      <c r="H303" s="1136">
        <v>0</v>
      </c>
      <c r="I303" s="63">
        <f>(G303-H303)*'16-PlantAdditions'!$E$103</f>
        <v>0</v>
      </c>
      <c r="J303" s="63">
        <f t="shared" si="61"/>
        <v>0</v>
      </c>
      <c r="K303" s="63">
        <f t="shared" si="59"/>
        <v>0</v>
      </c>
    </row>
    <row r="304" spans="1:11" s="702" customFormat="1">
      <c r="A304" s="111">
        <f t="shared" si="56"/>
        <v>235</v>
      </c>
      <c r="B304" s="665" t="s">
        <v>180</v>
      </c>
      <c r="C304" s="663">
        <v>2018</v>
      </c>
      <c r="D304" s="1136">
        <v>0</v>
      </c>
      <c r="E304" s="63">
        <f>D304*'16-PlantAdditions'!$E$103</f>
        <v>0</v>
      </c>
      <c r="F304" s="63">
        <f t="shared" si="60"/>
        <v>0</v>
      </c>
      <c r="G304" s="1136">
        <v>0</v>
      </c>
      <c r="H304" s="1136">
        <v>0</v>
      </c>
      <c r="I304" s="63">
        <f>(G304-H304)*'16-PlantAdditions'!$E$103</f>
        <v>0</v>
      </c>
      <c r="J304" s="63">
        <f t="shared" si="61"/>
        <v>0</v>
      </c>
      <c r="K304" s="112">
        <f t="shared" si="59"/>
        <v>0</v>
      </c>
    </row>
    <row r="305" spans="1:12" s="702" customFormat="1">
      <c r="A305" s="111">
        <f t="shared" si="56"/>
        <v>236</v>
      </c>
      <c r="B305"/>
      <c r="C305" s="701" t="s">
        <v>1635</v>
      </c>
      <c r="D305"/>
      <c r="E305"/>
      <c r="F305"/>
      <c r="G305"/>
      <c r="H305"/>
      <c r="I305"/>
      <c r="J305"/>
      <c r="K305" s="73">
        <f>AVERAGE(K292:K304)</f>
        <v>0</v>
      </c>
    </row>
    <row r="306" spans="1:12" s="702" customFormat="1">
      <c r="A306" s="111"/>
      <c r="B306"/>
      <c r="C306" s="701"/>
      <c r="D306"/>
      <c r="E306"/>
      <c r="F306"/>
      <c r="G306"/>
      <c r="H306"/>
      <c r="I306"/>
      <c r="J306"/>
      <c r="K306" s="73"/>
    </row>
    <row r="307" spans="1:12" s="702" customFormat="1">
      <c r="B307" s="703" t="s">
        <v>1977</v>
      </c>
      <c r="D307" s="1379"/>
      <c r="E307" s="1379"/>
    </row>
    <row r="308" spans="1:12" s="702" customFormat="1">
      <c r="A308" s="697"/>
      <c r="B308" s="697"/>
      <c r="C308" s="697"/>
      <c r="D308" s="697" t="s">
        <v>363</v>
      </c>
      <c r="E308" s="697" t="s">
        <v>347</v>
      </c>
      <c r="F308" s="697" t="s">
        <v>348</v>
      </c>
      <c r="G308" s="697" t="s">
        <v>349</v>
      </c>
      <c r="H308" s="697" t="s">
        <v>350</v>
      </c>
      <c r="I308" s="697" t="s">
        <v>351</v>
      </c>
      <c r="J308" s="697" t="s">
        <v>352</v>
      </c>
      <c r="K308" s="697" t="s">
        <v>544</v>
      </c>
    </row>
    <row r="309" spans="1:12" s="702" customFormat="1" ht="38.25">
      <c r="D309" s="704"/>
      <c r="E309" s="705" t="s">
        <v>2108</v>
      </c>
      <c r="F309" s="706" t="s">
        <v>1964</v>
      </c>
      <c r="G309" s="512"/>
      <c r="H309" s="704"/>
      <c r="I309" s="705" t="s">
        <v>2109</v>
      </c>
      <c r="J309" s="705" t="s">
        <v>1965</v>
      </c>
      <c r="K309" s="705" t="s">
        <v>1966</v>
      </c>
    </row>
    <row r="310" spans="1:12" s="702" customFormat="1">
      <c r="D310" s="704"/>
      <c r="E310" s="704"/>
      <c r="F310" s="704"/>
      <c r="G310" s="600" t="str">
        <f>G51</f>
        <v>Unloaded</v>
      </c>
      <c r="H310" s="704"/>
      <c r="I310" s="704"/>
    </row>
    <row r="311" spans="1:12" s="702" customFormat="1">
      <c r="A311" s="699"/>
      <c r="B311" s="699"/>
      <c r="C311" s="699"/>
      <c r="D311" s="699" t="str">
        <f>D$52</f>
        <v>Forecast</v>
      </c>
      <c r="E311" s="699" t="str">
        <f t="shared" ref="E311:J311" si="62">E$52</f>
        <v>Corporate</v>
      </c>
      <c r="F311" s="699" t="str">
        <f t="shared" si="62"/>
        <v xml:space="preserve">Total </v>
      </c>
      <c r="G311" s="600" t="str">
        <f>G52</f>
        <v>Total</v>
      </c>
      <c r="H311" s="699" t="str">
        <f t="shared" si="62"/>
        <v>Prior Period</v>
      </c>
      <c r="I311" s="699" t="str">
        <f t="shared" si="62"/>
        <v>Over Heads</v>
      </c>
      <c r="J311" s="699" t="str">
        <f t="shared" si="62"/>
        <v>Forecast</v>
      </c>
      <c r="K311" s="600" t="str">
        <f>K$52</f>
        <v>Forecast Period</v>
      </c>
    </row>
    <row r="312" spans="1:12" s="702" customFormat="1">
      <c r="A312" s="960" t="s">
        <v>332</v>
      </c>
      <c r="B312" s="661" t="s">
        <v>192</v>
      </c>
      <c r="C312" s="661" t="s">
        <v>193</v>
      </c>
      <c r="D312" s="697" t="str">
        <f>D$53</f>
        <v>Expenditures</v>
      </c>
      <c r="E312" s="697" t="str">
        <f t="shared" ref="E312:J312" si="63">E$53</f>
        <v>Overheads</v>
      </c>
      <c r="F312" s="697" t="str">
        <f t="shared" si="63"/>
        <v>CWIP Exp</v>
      </c>
      <c r="G312" s="3" t="str">
        <f>G53</f>
        <v>Plant Adds</v>
      </c>
      <c r="H312" s="697" t="str">
        <f t="shared" si="63"/>
        <v>CWIP Closed</v>
      </c>
      <c r="I312" s="697" t="str">
        <f t="shared" si="63"/>
        <v>Closed to PIS</v>
      </c>
      <c r="J312" s="697" t="str">
        <f t="shared" si="63"/>
        <v>Period CWIP</v>
      </c>
      <c r="K312" s="697" t="str">
        <f>K$53</f>
        <v>Incremental CWIP</v>
      </c>
    </row>
    <row r="313" spans="1:12" s="702" customFormat="1">
      <c r="A313" s="111">
        <f>A305+1</f>
        <v>237</v>
      </c>
      <c r="B313" s="662" t="s">
        <v>180</v>
      </c>
      <c r="C313" s="663">
        <v>2016</v>
      </c>
      <c r="D313" s="706" t="s">
        <v>76</v>
      </c>
      <c r="E313" s="706" t="s">
        <v>76</v>
      </c>
      <c r="F313" s="706" t="s">
        <v>76</v>
      </c>
      <c r="G313" s="706" t="s">
        <v>76</v>
      </c>
      <c r="H313" s="706" t="s">
        <v>76</v>
      </c>
      <c r="I313" s="706" t="s">
        <v>76</v>
      </c>
      <c r="J313" s="63">
        <f>F45</f>
        <v>0</v>
      </c>
      <c r="K313" s="706" t="s">
        <v>76</v>
      </c>
    </row>
    <row r="314" spans="1:12" s="702" customFormat="1">
      <c r="A314" s="111">
        <f>A313+1</f>
        <v>238</v>
      </c>
      <c r="B314" s="662" t="s">
        <v>181</v>
      </c>
      <c r="C314" s="663">
        <v>2017</v>
      </c>
      <c r="D314" s="1136">
        <v>0</v>
      </c>
      <c r="E314" s="63">
        <f>D314*'16-PlantAdditions'!$E$103</f>
        <v>0</v>
      </c>
      <c r="F314" s="63">
        <f>E314+D314</f>
        <v>0</v>
      </c>
      <c r="G314" s="1136"/>
      <c r="H314" s="1136"/>
      <c r="I314" s="63">
        <f>(G314-H314)*'16-PlantAdditions'!$E$103</f>
        <v>0</v>
      </c>
      <c r="J314" s="63">
        <f>J313+F314-G314-I314</f>
        <v>0</v>
      </c>
      <c r="K314" s="63">
        <f>J314-$J$313</f>
        <v>0</v>
      </c>
      <c r="L314" s="699"/>
    </row>
    <row r="315" spans="1:12" s="702" customFormat="1">
      <c r="A315" s="111">
        <f t="shared" ref="A315:A338" si="64">A314+1</f>
        <v>239</v>
      </c>
      <c r="B315" s="665" t="s">
        <v>182</v>
      </c>
      <c r="C315" s="663">
        <v>2017</v>
      </c>
      <c r="D315" s="1136">
        <v>0</v>
      </c>
      <c r="E315" s="63">
        <f>D315*'16-PlantAdditions'!$E$103</f>
        <v>0</v>
      </c>
      <c r="F315" s="63">
        <f t="shared" ref="F315:F334" si="65">E315+D315</f>
        <v>0</v>
      </c>
      <c r="G315" s="1136"/>
      <c r="H315" s="1136"/>
      <c r="I315" s="63">
        <f>(G315-H315)*'16-PlantAdditions'!$E$103</f>
        <v>0</v>
      </c>
      <c r="J315" s="63">
        <f t="shared" ref="J315:J334" si="66">J314+F315-G315-I315</f>
        <v>0</v>
      </c>
      <c r="K315" s="63">
        <f t="shared" ref="K315:K337" si="67">J315-$J$313</f>
        <v>0</v>
      </c>
      <c r="L315" s="699"/>
    </row>
    <row r="316" spans="1:12" s="702" customFormat="1">
      <c r="A316" s="111">
        <f t="shared" si="64"/>
        <v>240</v>
      </c>
      <c r="B316" s="665" t="s">
        <v>195</v>
      </c>
      <c r="C316" s="663">
        <v>2017</v>
      </c>
      <c r="D316" s="1136">
        <v>0</v>
      </c>
      <c r="E316" s="63">
        <f>D316*'16-PlantAdditions'!$E$103</f>
        <v>0</v>
      </c>
      <c r="F316" s="63">
        <f t="shared" si="65"/>
        <v>0</v>
      </c>
      <c r="G316" s="1136"/>
      <c r="H316" s="1136"/>
      <c r="I316" s="63">
        <f>(G316-H316)*'16-PlantAdditions'!$E$103</f>
        <v>0</v>
      </c>
      <c r="J316" s="63">
        <f t="shared" si="66"/>
        <v>0</v>
      </c>
      <c r="K316" s="63">
        <f t="shared" si="67"/>
        <v>0</v>
      </c>
      <c r="L316" s="699"/>
    </row>
    <row r="317" spans="1:12" s="702" customFormat="1">
      <c r="A317" s="111">
        <f t="shared" si="64"/>
        <v>241</v>
      </c>
      <c r="B317" s="662" t="s">
        <v>183</v>
      </c>
      <c r="C317" s="663">
        <v>2017</v>
      </c>
      <c r="D317" s="1136"/>
      <c r="E317" s="63">
        <f>D317*'16-PlantAdditions'!$E$103</f>
        <v>0</v>
      </c>
      <c r="F317" s="63">
        <f t="shared" si="65"/>
        <v>0</v>
      </c>
      <c r="G317" s="1136"/>
      <c r="H317" s="1136"/>
      <c r="I317" s="63">
        <f>(G317-H317)*'16-PlantAdditions'!$E$103</f>
        <v>0</v>
      </c>
      <c r="J317" s="63">
        <f t="shared" si="66"/>
        <v>0</v>
      </c>
      <c r="K317" s="63">
        <f t="shared" si="67"/>
        <v>0</v>
      </c>
      <c r="L317" s="697"/>
    </row>
    <row r="318" spans="1:12" s="702" customFormat="1">
      <c r="A318" s="111">
        <f t="shared" si="64"/>
        <v>242</v>
      </c>
      <c r="B318" s="665" t="s">
        <v>184</v>
      </c>
      <c r="C318" s="663">
        <v>2017</v>
      </c>
      <c r="D318" s="1136"/>
      <c r="E318" s="63">
        <f>D318*'16-PlantAdditions'!$E$103</f>
        <v>0</v>
      </c>
      <c r="F318" s="63">
        <f t="shared" si="65"/>
        <v>0</v>
      </c>
      <c r="G318" s="1136"/>
      <c r="H318" s="1136"/>
      <c r="I318" s="63">
        <f>(G318-H318)*'16-PlantAdditions'!$E$103</f>
        <v>0</v>
      </c>
      <c r="J318" s="63">
        <f t="shared" si="66"/>
        <v>0</v>
      </c>
      <c r="K318" s="63">
        <f t="shared" si="67"/>
        <v>0</v>
      </c>
    </row>
    <row r="319" spans="1:12" s="702" customFormat="1">
      <c r="A319" s="111">
        <f t="shared" si="64"/>
        <v>243</v>
      </c>
      <c r="B319" s="665" t="s">
        <v>1483</v>
      </c>
      <c r="C319" s="663">
        <v>2017</v>
      </c>
      <c r="D319" s="1136"/>
      <c r="E319" s="63">
        <f>D319*'16-PlantAdditions'!$E$103</f>
        <v>0</v>
      </c>
      <c r="F319" s="63">
        <f t="shared" si="65"/>
        <v>0</v>
      </c>
      <c r="G319" s="1136"/>
      <c r="H319" s="1136"/>
      <c r="I319" s="63">
        <f>(G319-H319)*'16-PlantAdditions'!$E$103</f>
        <v>0</v>
      </c>
      <c r="J319" s="63">
        <f t="shared" si="66"/>
        <v>0</v>
      </c>
      <c r="K319" s="63">
        <f t="shared" si="67"/>
        <v>0</v>
      </c>
    </row>
    <row r="320" spans="1:12" s="702" customFormat="1">
      <c r="A320" s="111">
        <f t="shared" si="64"/>
        <v>244</v>
      </c>
      <c r="B320" s="662" t="s">
        <v>186</v>
      </c>
      <c r="C320" s="663">
        <v>2017</v>
      </c>
      <c r="D320" s="1136"/>
      <c r="E320" s="63">
        <f>D320*'16-PlantAdditions'!$E$103</f>
        <v>0</v>
      </c>
      <c r="F320" s="63">
        <f t="shared" si="65"/>
        <v>0</v>
      </c>
      <c r="G320" s="1136"/>
      <c r="H320" s="1136"/>
      <c r="I320" s="63">
        <f>(G320-H320)*'16-PlantAdditions'!$E$103</f>
        <v>0</v>
      </c>
      <c r="J320" s="63">
        <f t="shared" si="66"/>
        <v>0</v>
      </c>
      <c r="K320" s="63">
        <f t="shared" si="67"/>
        <v>0</v>
      </c>
    </row>
    <row r="321" spans="1:11" s="702" customFormat="1">
      <c r="A321" s="111">
        <f t="shared" si="64"/>
        <v>245</v>
      </c>
      <c r="B321" s="665" t="s">
        <v>187</v>
      </c>
      <c r="C321" s="663">
        <v>2017</v>
      </c>
      <c r="D321" s="1136"/>
      <c r="E321" s="63">
        <f>D321*'16-PlantAdditions'!$E$103</f>
        <v>0</v>
      </c>
      <c r="F321" s="63">
        <f t="shared" si="65"/>
        <v>0</v>
      </c>
      <c r="G321" s="1136"/>
      <c r="H321" s="1136"/>
      <c r="I321" s="63">
        <f>(G321-H321)*'16-PlantAdditions'!$E$103</f>
        <v>0</v>
      </c>
      <c r="J321" s="63">
        <f t="shared" si="66"/>
        <v>0</v>
      </c>
      <c r="K321" s="63">
        <f t="shared" si="67"/>
        <v>0</v>
      </c>
    </row>
    <row r="322" spans="1:11" s="702" customFormat="1">
      <c r="A322" s="111">
        <f t="shared" si="64"/>
        <v>246</v>
      </c>
      <c r="B322" s="665" t="s">
        <v>188</v>
      </c>
      <c r="C322" s="663">
        <v>2017</v>
      </c>
      <c r="D322" s="1136"/>
      <c r="E322" s="63">
        <f>D322*'16-PlantAdditions'!$E$103</f>
        <v>0</v>
      </c>
      <c r="F322" s="63">
        <f t="shared" si="65"/>
        <v>0</v>
      </c>
      <c r="G322" s="1136"/>
      <c r="H322" s="1136"/>
      <c r="I322" s="63">
        <f>(G322-H322)*'16-PlantAdditions'!$E$103</f>
        <v>0</v>
      </c>
      <c r="J322" s="63">
        <f t="shared" si="66"/>
        <v>0</v>
      </c>
      <c r="K322" s="63">
        <f t="shared" si="67"/>
        <v>0</v>
      </c>
    </row>
    <row r="323" spans="1:11" s="702" customFormat="1">
      <c r="A323" s="111">
        <f t="shared" si="64"/>
        <v>247</v>
      </c>
      <c r="B323" s="662" t="s">
        <v>191</v>
      </c>
      <c r="C323" s="663">
        <v>2017</v>
      </c>
      <c r="D323" s="1136"/>
      <c r="E323" s="63">
        <f>D323*'16-PlantAdditions'!$E$103</f>
        <v>0</v>
      </c>
      <c r="F323" s="63">
        <f t="shared" si="65"/>
        <v>0</v>
      </c>
      <c r="G323" s="1136"/>
      <c r="H323" s="1136"/>
      <c r="I323" s="63">
        <f>(G323-H323)*'16-PlantAdditions'!$E$103</f>
        <v>0</v>
      </c>
      <c r="J323" s="63">
        <f t="shared" si="66"/>
        <v>0</v>
      </c>
      <c r="K323" s="63">
        <f t="shared" si="67"/>
        <v>0</v>
      </c>
    </row>
    <row r="324" spans="1:11" s="702" customFormat="1">
      <c r="A324" s="111">
        <f t="shared" si="64"/>
        <v>248</v>
      </c>
      <c r="B324" s="662" t="s">
        <v>190</v>
      </c>
      <c r="C324" s="663">
        <v>2017</v>
      </c>
      <c r="D324" s="1136"/>
      <c r="E324" s="63">
        <f>D324*'16-PlantAdditions'!$E$103</f>
        <v>0</v>
      </c>
      <c r="F324" s="63">
        <f t="shared" si="65"/>
        <v>0</v>
      </c>
      <c r="G324" s="1136"/>
      <c r="H324" s="1136"/>
      <c r="I324" s="63">
        <f>(G324-H324)*'16-PlantAdditions'!$E$103</f>
        <v>0</v>
      </c>
      <c r="J324" s="63">
        <f t="shared" si="66"/>
        <v>0</v>
      </c>
      <c r="K324" s="63">
        <f t="shared" si="67"/>
        <v>0</v>
      </c>
    </row>
    <row r="325" spans="1:11" s="702" customFormat="1">
      <c r="A325" s="111">
        <f t="shared" si="64"/>
        <v>249</v>
      </c>
      <c r="B325" s="662" t="s">
        <v>180</v>
      </c>
      <c r="C325" s="663">
        <v>2017</v>
      </c>
      <c r="D325" s="1136"/>
      <c r="E325" s="63">
        <f>D325*'16-PlantAdditions'!$E$103</f>
        <v>0</v>
      </c>
      <c r="F325" s="63">
        <f t="shared" si="65"/>
        <v>0</v>
      </c>
      <c r="G325" s="1136"/>
      <c r="H325" s="1136"/>
      <c r="I325" s="63">
        <f>(G325-H325)*'16-PlantAdditions'!$E$103</f>
        <v>0</v>
      </c>
      <c r="J325" s="63">
        <f t="shared" si="66"/>
        <v>0</v>
      </c>
      <c r="K325" s="63">
        <f t="shared" si="67"/>
        <v>0</v>
      </c>
    </row>
    <row r="326" spans="1:11" s="702" customFormat="1">
      <c r="A326" s="111">
        <f t="shared" si="64"/>
        <v>250</v>
      </c>
      <c r="B326" s="662" t="s">
        <v>181</v>
      </c>
      <c r="C326" s="663">
        <v>2018</v>
      </c>
      <c r="D326" s="1136"/>
      <c r="E326" s="63">
        <f>D326*'16-PlantAdditions'!$E$103</f>
        <v>0</v>
      </c>
      <c r="F326" s="63">
        <f t="shared" si="65"/>
        <v>0</v>
      </c>
      <c r="G326" s="1136"/>
      <c r="H326" s="1136"/>
      <c r="I326" s="63">
        <f>(G326-H326)*'16-PlantAdditions'!$E$103</f>
        <v>0</v>
      </c>
      <c r="J326" s="63">
        <f t="shared" si="66"/>
        <v>0</v>
      </c>
      <c r="K326" s="63">
        <f t="shared" si="67"/>
        <v>0</v>
      </c>
    </row>
    <row r="327" spans="1:11" s="702" customFormat="1">
      <c r="A327" s="111">
        <f t="shared" si="64"/>
        <v>251</v>
      </c>
      <c r="B327" s="665" t="s">
        <v>182</v>
      </c>
      <c r="C327" s="663">
        <v>2018</v>
      </c>
      <c r="D327" s="1136"/>
      <c r="E327" s="63">
        <f>D327*'16-PlantAdditions'!$E$103</f>
        <v>0</v>
      </c>
      <c r="F327" s="63">
        <f t="shared" si="65"/>
        <v>0</v>
      </c>
      <c r="G327" s="1136"/>
      <c r="H327" s="1136"/>
      <c r="I327" s="63">
        <f>(G327-H327)*'16-PlantAdditions'!$E$103</f>
        <v>0</v>
      </c>
      <c r="J327" s="63">
        <f t="shared" si="66"/>
        <v>0</v>
      </c>
      <c r="K327" s="63">
        <f t="shared" si="67"/>
        <v>0</v>
      </c>
    </row>
    <row r="328" spans="1:11" s="702" customFormat="1">
      <c r="A328" s="111">
        <f t="shared" si="64"/>
        <v>252</v>
      </c>
      <c r="B328" s="665" t="s">
        <v>195</v>
      </c>
      <c r="C328" s="663">
        <v>2018</v>
      </c>
      <c r="D328" s="1136"/>
      <c r="E328" s="63">
        <f>D328*'16-PlantAdditions'!$E$103</f>
        <v>0</v>
      </c>
      <c r="F328" s="63">
        <f t="shared" si="65"/>
        <v>0</v>
      </c>
      <c r="G328" s="1136"/>
      <c r="H328" s="1136"/>
      <c r="I328" s="63">
        <f>(G328-H328)*'16-PlantAdditions'!$E$103</f>
        <v>0</v>
      </c>
      <c r="J328" s="63">
        <f t="shared" si="66"/>
        <v>0</v>
      </c>
      <c r="K328" s="63">
        <f t="shared" si="67"/>
        <v>0</v>
      </c>
    </row>
    <row r="329" spans="1:11" s="702" customFormat="1">
      <c r="A329" s="111">
        <f t="shared" si="64"/>
        <v>253</v>
      </c>
      <c r="B329" s="662" t="s">
        <v>183</v>
      </c>
      <c r="C329" s="663">
        <v>2018</v>
      </c>
      <c r="D329" s="1136"/>
      <c r="E329" s="63">
        <f>D329*'16-PlantAdditions'!$E$103</f>
        <v>0</v>
      </c>
      <c r="F329" s="63">
        <f t="shared" si="65"/>
        <v>0</v>
      </c>
      <c r="G329" s="1136"/>
      <c r="H329" s="1136"/>
      <c r="I329" s="63">
        <f>(G329-H329)*'16-PlantAdditions'!$E$103</f>
        <v>0</v>
      </c>
      <c r="J329" s="63">
        <f t="shared" si="66"/>
        <v>0</v>
      </c>
      <c r="K329" s="63">
        <f t="shared" si="67"/>
        <v>0</v>
      </c>
    </row>
    <row r="330" spans="1:11" s="702" customFormat="1">
      <c r="A330" s="111">
        <f t="shared" si="64"/>
        <v>254</v>
      </c>
      <c r="B330" s="665" t="s">
        <v>184</v>
      </c>
      <c r="C330" s="663">
        <v>2018</v>
      </c>
      <c r="D330" s="1136"/>
      <c r="E330" s="63">
        <f>D330*'16-PlantAdditions'!$E$103</f>
        <v>0</v>
      </c>
      <c r="F330" s="63">
        <f t="shared" si="65"/>
        <v>0</v>
      </c>
      <c r="G330" s="1136"/>
      <c r="H330" s="1136"/>
      <c r="I330" s="63">
        <f>(G330-H330)*'16-PlantAdditions'!$E$103</f>
        <v>0</v>
      </c>
      <c r="J330" s="63">
        <f t="shared" si="66"/>
        <v>0</v>
      </c>
      <c r="K330" s="63">
        <f t="shared" si="67"/>
        <v>0</v>
      </c>
    </row>
    <row r="331" spans="1:11" s="702" customFormat="1">
      <c r="A331" s="111">
        <f t="shared" si="64"/>
        <v>255</v>
      </c>
      <c r="B331" s="665" t="s">
        <v>1483</v>
      </c>
      <c r="C331" s="663">
        <v>2018</v>
      </c>
      <c r="D331" s="1136"/>
      <c r="E331" s="63">
        <f>D331*'16-PlantAdditions'!$E$103</f>
        <v>0</v>
      </c>
      <c r="F331" s="63">
        <f t="shared" si="65"/>
        <v>0</v>
      </c>
      <c r="G331" s="1136"/>
      <c r="H331" s="1136"/>
      <c r="I331" s="63">
        <f>(G331-H331)*'16-PlantAdditions'!$E$103</f>
        <v>0</v>
      </c>
      <c r="J331" s="63">
        <f t="shared" si="66"/>
        <v>0</v>
      </c>
      <c r="K331" s="63">
        <f t="shared" si="67"/>
        <v>0</v>
      </c>
    </row>
    <row r="332" spans="1:11" s="702" customFormat="1">
      <c r="A332" s="111">
        <f t="shared" si="64"/>
        <v>256</v>
      </c>
      <c r="B332" s="662" t="s">
        <v>186</v>
      </c>
      <c r="C332" s="663">
        <v>2018</v>
      </c>
      <c r="D332" s="1136"/>
      <c r="E332" s="63">
        <f>D332*'16-PlantAdditions'!$E$103</f>
        <v>0</v>
      </c>
      <c r="F332" s="63">
        <f t="shared" si="65"/>
        <v>0</v>
      </c>
      <c r="G332" s="1136"/>
      <c r="H332" s="1136"/>
      <c r="I332" s="63">
        <f>(G332-H332)*'16-PlantAdditions'!$E$103</f>
        <v>0</v>
      </c>
      <c r="J332" s="63">
        <f t="shared" si="66"/>
        <v>0</v>
      </c>
      <c r="K332" s="63">
        <f t="shared" si="67"/>
        <v>0</v>
      </c>
    </row>
    <row r="333" spans="1:11" s="702" customFormat="1">
      <c r="A333" s="111">
        <f t="shared" si="64"/>
        <v>257</v>
      </c>
      <c r="B333" s="665" t="s">
        <v>187</v>
      </c>
      <c r="C333" s="663">
        <v>2018</v>
      </c>
      <c r="D333" s="1136"/>
      <c r="E333" s="63">
        <f>D333*'16-PlantAdditions'!$E$103</f>
        <v>0</v>
      </c>
      <c r="F333" s="63">
        <f t="shared" si="65"/>
        <v>0</v>
      </c>
      <c r="G333" s="1136"/>
      <c r="H333" s="1136"/>
      <c r="I333" s="63">
        <f>(G333-H333)*'16-PlantAdditions'!$E$103</f>
        <v>0</v>
      </c>
      <c r="J333" s="63">
        <f t="shared" si="66"/>
        <v>0</v>
      </c>
      <c r="K333" s="63">
        <f t="shared" si="67"/>
        <v>0</v>
      </c>
    </row>
    <row r="334" spans="1:11" s="702" customFormat="1">
      <c r="A334" s="111">
        <f t="shared" si="64"/>
        <v>258</v>
      </c>
      <c r="B334" s="665" t="s">
        <v>188</v>
      </c>
      <c r="C334" s="663">
        <v>2018</v>
      </c>
      <c r="D334" s="1136"/>
      <c r="E334" s="63">
        <f>D334*'16-PlantAdditions'!$E$103</f>
        <v>0</v>
      </c>
      <c r="F334" s="63">
        <f t="shared" si="65"/>
        <v>0</v>
      </c>
      <c r="G334" s="1136"/>
      <c r="H334" s="1136"/>
      <c r="I334" s="63">
        <f>(G334-H334)*'16-PlantAdditions'!$E$103</f>
        <v>0</v>
      </c>
      <c r="J334" s="63">
        <f t="shared" si="66"/>
        <v>0</v>
      </c>
      <c r="K334" s="63">
        <f t="shared" si="67"/>
        <v>0</v>
      </c>
    </row>
    <row r="335" spans="1:11" s="702" customFormat="1">
      <c r="A335" s="111">
        <f t="shared" si="64"/>
        <v>259</v>
      </c>
      <c r="B335" s="665" t="s">
        <v>191</v>
      </c>
      <c r="C335" s="663">
        <v>2018</v>
      </c>
      <c r="D335" s="1136"/>
      <c r="E335" s="63">
        <f>D335*'16-PlantAdditions'!$E$103</f>
        <v>0</v>
      </c>
      <c r="F335" s="63">
        <f t="shared" ref="F335:F337" si="68">E335+D335</f>
        <v>0</v>
      </c>
      <c r="G335" s="1136"/>
      <c r="H335" s="1136"/>
      <c r="I335" s="63">
        <f>(G335-H335)*'16-PlantAdditions'!$E$103</f>
        <v>0</v>
      </c>
      <c r="J335" s="63">
        <f t="shared" ref="J335:J337" si="69">J334+F335-G335-I335</f>
        <v>0</v>
      </c>
      <c r="K335" s="63">
        <f t="shared" si="67"/>
        <v>0</v>
      </c>
    </row>
    <row r="336" spans="1:11" s="702" customFormat="1">
      <c r="A336" s="111">
        <f t="shared" si="64"/>
        <v>260</v>
      </c>
      <c r="B336" s="665" t="s">
        <v>190</v>
      </c>
      <c r="C336" s="663">
        <v>2018</v>
      </c>
      <c r="D336" s="1136"/>
      <c r="E336" s="63">
        <f>D336*'16-PlantAdditions'!$E$103</f>
        <v>0</v>
      </c>
      <c r="F336" s="63">
        <f t="shared" si="68"/>
        <v>0</v>
      </c>
      <c r="G336" s="1136"/>
      <c r="H336" s="1136"/>
      <c r="I336" s="63">
        <f>(G336-H336)*'16-PlantAdditions'!$E$103</f>
        <v>0</v>
      </c>
      <c r="J336" s="63">
        <f t="shared" si="69"/>
        <v>0</v>
      </c>
      <c r="K336" s="63">
        <f t="shared" si="67"/>
        <v>0</v>
      </c>
    </row>
    <row r="337" spans="1:11" s="702" customFormat="1">
      <c r="A337" s="111">
        <f t="shared" si="64"/>
        <v>261</v>
      </c>
      <c r="B337" s="665" t="s">
        <v>180</v>
      </c>
      <c r="C337" s="663">
        <v>2018</v>
      </c>
      <c r="D337" s="1136"/>
      <c r="E337" s="63">
        <f>D337*'16-PlantAdditions'!$E$103</f>
        <v>0</v>
      </c>
      <c r="F337" s="63">
        <f t="shared" si="68"/>
        <v>0</v>
      </c>
      <c r="G337" s="1136"/>
      <c r="H337" s="1136"/>
      <c r="I337" s="63">
        <f>(G337-H337)*'16-PlantAdditions'!$E$103</f>
        <v>0</v>
      </c>
      <c r="J337" s="63">
        <f t="shared" si="69"/>
        <v>0</v>
      </c>
      <c r="K337" s="112">
        <f t="shared" si="67"/>
        <v>0</v>
      </c>
    </row>
    <row r="338" spans="1:11" s="702" customFormat="1">
      <c r="A338" s="111">
        <f t="shared" si="64"/>
        <v>262</v>
      </c>
      <c r="B338"/>
      <c r="C338" s="701" t="s">
        <v>1635</v>
      </c>
      <c r="D338"/>
      <c r="E338"/>
      <c r="F338"/>
      <c r="G338"/>
      <c r="H338"/>
      <c r="I338"/>
      <c r="J338"/>
      <c r="K338" s="73">
        <f>AVERAGE(K325:K337)</f>
        <v>0</v>
      </c>
    </row>
    <row r="339" spans="1:11" s="702" customFormat="1">
      <c r="A339" s="111"/>
      <c r="B339"/>
      <c r="C339" s="701"/>
      <c r="D339"/>
      <c r="E339"/>
      <c r="F339"/>
      <c r="G339"/>
      <c r="H339"/>
      <c r="I339"/>
      <c r="J339"/>
      <c r="K339" s="73"/>
    </row>
    <row r="340" spans="1:11" s="702" customFormat="1">
      <c r="B340" s="703" t="s">
        <v>1979</v>
      </c>
      <c r="D340" s="1379"/>
      <c r="E340" s="1379"/>
    </row>
    <row r="341" spans="1:11" s="702" customFormat="1">
      <c r="D341" s="704"/>
      <c r="E341" s="704"/>
      <c r="F341" s="704"/>
      <c r="G341" s="600" t="str">
        <f>G51</f>
        <v>Unloaded</v>
      </c>
      <c r="H341" s="704"/>
      <c r="I341" s="704"/>
    </row>
    <row r="342" spans="1:11" s="702" customFormat="1">
      <c r="A342" s="699"/>
      <c r="B342" s="699"/>
      <c r="C342" s="699"/>
      <c r="D342" s="699" t="str">
        <f>D$52</f>
        <v>Forecast</v>
      </c>
      <c r="E342" s="699" t="str">
        <f t="shared" ref="E342:J342" si="70">E$52</f>
        <v>Corporate</v>
      </c>
      <c r="F342" s="699" t="str">
        <f t="shared" si="70"/>
        <v xml:space="preserve">Total </v>
      </c>
      <c r="G342" s="600" t="str">
        <f>G52</f>
        <v>Total</v>
      </c>
      <c r="H342" s="699" t="str">
        <f t="shared" si="70"/>
        <v>Prior Period</v>
      </c>
      <c r="I342" s="699" t="str">
        <f t="shared" si="70"/>
        <v>Over Heads</v>
      </c>
      <c r="J342" s="699" t="str">
        <f t="shared" si="70"/>
        <v>Forecast</v>
      </c>
      <c r="K342" s="600" t="str">
        <f>K$52</f>
        <v>Forecast Period</v>
      </c>
    </row>
    <row r="343" spans="1:11" s="702" customFormat="1">
      <c r="A343" s="960" t="s">
        <v>332</v>
      </c>
      <c r="B343" s="661" t="s">
        <v>192</v>
      </c>
      <c r="C343" s="661" t="s">
        <v>193</v>
      </c>
      <c r="D343" s="697" t="str">
        <f>D$53</f>
        <v>Expenditures</v>
      </c>
      <c r="E343" s="697" t="str">
        <f t="shared" ref="E343:J343" si="71">E$53</f>
        <v>Overheads</v>
      </c>
      <c r="F343" s="697" t="str">
        <f t="shared" si="71"/>
        <v>CWIP Exp</v>
      </c>
      <c r="G343" s="3" t="str">
        <f>G53</f>
        <v>Plant Adds</v>
      </c>
      <c r="H343" s="697" t="str">
        <f t="shared" si="71"/>
        <v>CWIP Closed</v>
      </c>
      <c r="I343" s="697" t="str">
        <f t="shared" si="71"/>
        <v>Closed to PIS</v>
      </c>
      <c r="J343" s="697" t="str">
        <f t="shared" si="71"/>
        <v>Period CWIP</v>
      </c>
      <c r="K343" s="697" t="str">
        <f>K$53</f>
        <v>Incremental CWIP</v>
      </c>
    </row>
    <row r="344" spans="1:11" s="702" customFormat="1">
      <c r="A344" s="111">
        <f>A338+1</f>
        <v>263</v>
      </c>
      <c r="B344" s="662" t="s">
        <v>180</v>
      </c>
      <c r="C344" s="663">
        <v>2016</v>
      </c>
      <c r="D344" s="706" t="s">
        <v>76</v>
      </c>
      <c r="E344" s="706" t="s">
        <v>76</v>
      </c>
      <c r="F344" s="706" t="s">
        <v>76</v>
      </c>
      <c r="G344" s="706" t="s">
        <v>76</v>
      </c>
      <c r="H344" s="706" t="s">
        <v>76</v>
      </c>
      <c r="I344" s="706" t="s">
        <v>76</v>
      </c>
      <c r="J344" s="63">
        <f>G45</f>
        <v>0</v>
      </c>
      <c r="K344" s="706" t="s">
        <v>76</v>
      </c>
    </row>
    <row r="345" spans="1:11" s="702" customFormat="1">
      <c r="A345" s="111">
        <f>A344+1</f>
        <v>264</v>
      </c>
      <c r="B345" s="662" t="s">
        <v>181</v>
      </c>
      <c r="C345" s="663">
        <v>2017</v>
      </c>
      <c r="D345" s="1136"/>
      <c r="E345" s="63">
        <f>D345*'16-PlantAdditions'!$E$103</f>
        <v>0</v>
      </c>
      <c r="F345" s="63">
        <f>E345+D345</f>
        <v>0</v>
      </c>
      <c r="G345" s="1136"/>
      <c r="H345" s="1136"/>
      <c r="I345" s="63">
        <f>(G345-H345)*'16-PlantAdditions'!$E$103</f>
        <v>0</v>
      </c>
      <c r="J345" s="63">
        <f>J344+F345-G345-I345</f>
        <v>0</v>
      </c>
      <c r="K345" s="63">
        <f>J345-$J$344</f>
        <v>0</v>
      </c>
    </row>
    <row r="346" spans="1:11" s="702" customFormat="1">
      <c r="A346" s="111">
        <f t="shared" ref="A346:A369" si="72">A345+1</f>
        <v>265</v>
      </c>
      <c r="B346" s="665" t="s">
        <v>182</v>
      </c>
      <c r="C346" s="663">
        <v>2017</v>
      </c>
      <c r="D346" s="1136"/>
      <c r="E346" s="63">
        <f>D346*'16-PlantAdditions'!$E$103</f>
        <v>0</v>
      </c>
      <c r="F346" s="63">
        <f t="shared" ref="F346:F365" si="73">E346+D346</f>
        <v>0</v>
      </c>
      <c r="G346" s="1136"/>
      <c r="H346" s="1136"/>
      <c r="I346" s="63">
        <f>(G346-H346)*'16-PlantAdditions'!$E$103</f>
        <v>0</v>
      </c>
      <c r="J346" s="63">
        <f t="shared" ref="J346:J365" si="74">J345+F346-G346-I346</f>
        <v>0</v>
      </c>
      <c r="K346" s="63">
        <f t="shared" ref="K346:K368" si="75">J346-$J$344</f>
        <v>0</v>
      </c>
    </row>
    <row r="347" spans="1:11" s="702" customFormat="1">
      <c r="A347" s="111">
        <f t="shared" si="72"/>
        <v>266</v>
      </c>
      <c r="B347" s="665" t="s">
        <v>195</v>
      </c>
      <c r="C347" s="663">
        <v>2017</v>
      </c>
      <c r="D347" s="1136"/>
      <c r="E347" s="63">
        <f>D347*'16-PlantAdditions'!$E$103</f>
        <v>0</v>
      </c>
      <c r="F347" s="63">
        <f t="shared" si="73"/>
        <v>0</v>
      </c>
      <c r="G347" s="1136"/>
      <c r="H347" s="1136"/>
      <c r="I347" s="63">
        <f>(G347-H347)*'16-PlantAdditions'!$E$103</f>
        <v>0</v>
      </c>
      <c r="J347" s="63">
        <f t="shared" si="74"/>
        <v>0</v>
      </c>
      <c r="K347" s="63">
        <f t="shared" si="75"/>
        <v>0</v>
      </c>
    </row>
    <row r="348" spans="1:11" s="702" customFormat="1">
      <c r="A348" s="111">
        <f t="shared" si="72"/>
        <v>267</v>
      </c>
      <c r="B348" s="662" t="s">
        <v>183</v>
      </c>
      <c r="C348" s="663">
        <v>2017</v>
      </c>
      <c r="D348" s="1136"/>
      <c r="E348" s="63">
        <f>D348*'16-PlantAdditions'!$E$103</f>
        <v>0</v>
      </c>
      <c r="F348" s="63">
        <f t="shared" si="73"/>
        <v>0</v>
      </c>
      <c r="G348" s="1136"/>
      <c r="H348" s="1136"/>
      <c r="I348" s="63">
        <f>(G348-H348)*'16-PlantAdditions'!$E$103</f>
        <v>0</v>
      </c>
      <c r="J348" s="63">
        <f t="shared" si="74"/>
        <v>0</v>
      </c>
      <c r="K348" s="63">
        <f t="shared" si="75"/>
        <v>0</v>
      </c>
    </row>
    <row r="349" spans="1:11" s="702" customFormat="1">
      <c r="A349" s="111">
        <f t="shared" si="72"/>
        <v>268</v>
      </c>
      <c r="B349" s="665" t="s">
        <v>184</v>
      </c>
      <c r="C349" s="663">
        <v>2017</v>
      </c>
      <c r="D349" s="1136"/>
      <c r="E349" s="63">
        <f>D349*'16-PlantAdditions'!$E$103</f>
        <v>0</v>
      </c>
      <c r="F349" s="63">
        <f t="shared" si="73"/>
        <v>0</v>
      </c>
      <c r="G349" s="1136"/>
      <c r="H349" s="1136"/>
      <c r="I349" s="63">
        <f>(G349-H349)*'16-PlantAdditions'!$E$103</f>
        <v>0</v>
      </c>
      <c r="J349" s="63">
        <f t="shared" si="74"/>
        <v>0</v>
      </c>
      <c r="K349" s="63">
        <f t="shared" si="75"/>
        <v>0</v>
      </c>
    </row>
    <row r="350" spans="1:11" s="702" customFormat="1">
      <c r="A350" s="111">
        <f t="shared" si="72"/>
        <v>269</v>
      </c>
      <c r="B350" s="665" t="s">
        <v>1483</v>
      </c>
      <c r="C350" s="663">
        <v>2017</v>
      </c>
      <c r="D350" s="1136"/>
      <c r="E350" s="63">
        <f>D350*'16-PlantAdditions'!$E$103</f>
        <v>0</v>
      </c>
      <c r="F350" s="63">
        <f t="shared" si="73"/>
        <v>0</v>
      </c>
      <c r="G350" s="1136"/>
      <c r="H350" s="1136"/>
      <c r="I350" s="63">
        <f>(G350-H350)*'16-PlantAdditions'!$E$103</f>
        <v>0</v>
      </c>
      <c r="J350" s="63">
        <f t="shared" si="74"/>
        <v>0</v>
      </c>
      <c r="K350" s="63">
        <f t="shared" si="75"/>
        <v>0</v>
      </c>
    </row>
    <row r="351" spans="1:11" s="702" customFormat="1">
      <c r="A351" s="111">
        <f t="shared" si="72"/>
        <v>270</v>
      </c>
      <c r="B351" s="662" t="s">
        <v>186</v>
      </c>
      <c r="C351" s="663">
        <v>2017</v>
      </c>
      <c r="D351" s="1136"/>
      <c r="E351" s="63">
        <f>D351*'16-PlantAdditions'!$E$103</f>
        <v>0</v>
      </c>
      <c r="F351" s="63">
        <f t="shared" si="73"/>
        <v>0</v>
      </c>
      <c r="G351" s="1136"/>
      <c r="H351" s="1136"/>
      <c r="I351" s="63">
        <f>(G351-H351)*'16-PlantAdditions'!$E$103</f>
        <v>0</v>
      </c>
      <c r="J351" s="63">
        <f t="shared" si="74"/>
        <v>0</v>
      </c>
      <c r="K351" s="63">
        <f t="shared" si="75"/>
        <v>0</v>
      </c>
    </row>
    <row r="352" spans="1:11" s="702" customFormat="1">
      <c r="A352" s="111">
        <f t="shared" si="72"/>
        <v>271</v>
      </c>
      <c r="B352" s="665" t="s">
        <v>187</v>
      </c>
      <c r="C352" s="663">
        <v>2017</v>
      </c>
      <c r="D352" s="1136"/>
      <c r="E352" s="63">
        <f>D352*'16-PlantAdditions'!$E$103</f>
        <v>0</v>
      </c>
      <c r="F352" s="63">
        <f t="shared" si="73"/>
        <v>0</v>
      </c>
      <c r="G352" s="1136"/>
      <c r="H352" s="1136"/>
      <c r="I352" s="63">
        <f>(G352-H352)*'16-PlantAdditions'!$E$103</f>
        <v>0</v>
      </c>
      <c r="J352" s="63">
        <f t="shared" si="74"/>
        <v>0</v>
      </c>
      <c r="K352" s="63">
        <f t="shared" si="75"/>
        <v>0</v>
      </c>
    </row>
    <row r="353" spans="1:11" s="702" customFormat="1">
      <c r="A353" s="111">
        <f t="shared" si="72"/>
        <v>272</v>
      </c>
      <c r="B353" s="665" t="s">
        <v>188</v>
      </c>
      <c r="C353" s="663">
        <v>2017</v>
      </c>
      <c r="D353" s="1136"/>
      <c r="E353" s="63">
        <f>D353*'16-PlantAdditions'!$E$103</f>
        <v>0</v>
      </c>
      <c r="F353" s="63">
        <f t="shared" si="73"/>
        <v>0</v>
      </c>
      <c r="G353" s="1136"/>
      <c r="H353" s="1136"/>
      <c r="I353" s="63">
        <f>(G353-H353)*'16-PlantAdditions'!$E$103</f>
        <v>0</v>
      </c>
      <c r="J353" s="63">
        <f t="shared" si="74"/>
        <v>0</v>
      </c>
      <c r="K353" s="63">
        <f t="shared" si="75"/>
        <v>0</v>
      </c>
    </row>
    <row r="354" spans="1:11" s="702" customFormat="1">
      <c r="A354" s="111">
        <f t="shared" si="72"/>
        <v>273</v>
      </c>
      <c r="B354" s="662" t="s">
        <v>191</v>
      </c>
      <c r="C354" s="663">
        <v>2017</v>
      </c>
      <c r="D354" s="1136"/>
      <c r="E354" s="63">
        <f>D354*'16-PlantAdditions'!$E$103</f>
        <v>0</v>
      </c>
      <c r="F354" s="63">
        <f t="shared" si="73"/>
        <v>0</v>
      </c>
      <c r="G354" s="1136"/>
      <c r="H354" s="1136"/>
      <c r="I354" s="63">
        <f>(G354-H354)*'16-PlantAdditions'!$E$103</f>
        <v>0</v>
      </c>
      <c r="J354" s="63">
        <f t="shared" si="74"/>
        <v>0</v>
      </c>
      <c r="K354" s="63">
        <f t="shared" si="75"/>
        <v>0</v>
      </c>
    </row>
    <row r="355" spans="1:11" s="702" customFormat="1">
      <c r="A355" s="111">
        <f t="shared" si="72"/>
        <v>274</v>
      </c>
      <c r="B355" s="662" t="s">
        <v>190</v>
      </c>
      <c r="C355" s="663">
        <v>2017</v>
      </c>
      <c r="D355" s="1136"/>
      <c r="E355" s="63">
        <f>D355*'16-PlantAdditions'!$E$103</f>
        <v>0</v>
      </c>
      <c r="F355" s="63">
        <f t="shared" si="73"/>
        <v>0</v>
      </c>
      <c r="G355" s="1136"/>
      <c r="H355" s="1136"/>
      <c r="I355" s="63">
        <f>(G355-H355)*'16-PlantAdditions'!$E$103</f>
        <v>0</v>
      </c>
      <c r="J355" s="63">
        <f t="shared" si="74"/>
        <v>0</v>
      </c>
      <c r="K355" s="63">
        <f t="shared" si="75"/>
        <v>0</v>
      </c>
    </row>
    <row r="356" spans="1:11" s="702" customFormat="1">
      <c r="A356" s="111">
        <f t="shared" si="72"/>
        <v>275</v>
      </c>
      <c r="B356" s="662" t="s">
        <v>180</v>
      </c>
      <c r="C356" s="663">
        <v>2017</v>
      </c>
      <c r="D356" s="1136"/>
      <c r="E356" s="63">
        <f>D356*'16-PlantAdditions'!$E$103</f>
        <v>0</v>
      </c>
      <c r="F356" s="63">
        <f t="shared" si="73"/>
        <v>0</v>
      </c>
      <c r="G356" s="1136"/>
      <c r="H356" s="1136"/>
      <c r="I356" s="63">
        <f>(G356-H356)*'16-PlantAdditions'!$E$103</f>
        <v>0</v>
      </c>
      <c r="J356" s="63">
        <f t="shared" si="74"/>
        <v>0</v>
      </c>
      <c r="K356" s="63">
        <f t="shared" si="75"/>
        <v>0</v>
      </c>
    </row>
    <row r="357" spans="1:11" s="702" customFormat="1">
      <c r="A357" s="111">
        <f t="shared" si="72"/>
        <v>276</v>
      </c>
      <c r="B357" s="662" t="s">
        <v>181</v>
      </c>
      <c r="C357" s="663">
        <v>2018</v>
      </c>
      <c r="D357" s="1136"/>
      <c r="E357" s="63">
        <f>D357*'16-PlantAdditions'!$E$103</f>
        <v>0</v>
      </c>
      <c r="F357" s="63">
        <f t="shared" si="73"/>
        <v>0</v>
      </c>
      <c r="G357" s="1136"/>
      <c r="H357" s="1136"/>
      <c r="I357" s="63">
        <f>(G357-H357)*'16-PlantAdditions'!$E$103</f>
        <v>0</v>
      </c>
      <c r="J357" s="63">
        <f t="shared" si="74"/>
        <v>0</v>
      </c>
      <c r="K357" s="63">
        <f t="shared" si="75"/>
        <v>0</v>
      </c>
    </row>
    <row r="358" spans="1:11" s="702" customFormat="1">
      <c r="A358" s="111">
        <f t="shared" si="72"/>
        <v>277</v>
      </c>
      <c r="B358" s="665" t="s">
        <v>182</v>
      </c>
      <c r="C358" s="663">
        <v>2018</v>
      </c>
      <c r="D358" s="1136"/>
      <c r="E358" s="63">
        <f>D358*'16-PlantAdditions'!$E$103</f>
        <v>0</v>
      </c>
      <c r="F358" s="63">
        <f t="shared" si="73"/>
        <v>0</v>
      </c>
      <c r="G358" s="1136"/>
      <c r="H358" s="1136"/>
      <c r="I358" s="63">
        <f>(G358-H358)*'16-PlantAdditions'!$E$103</f>
        <v>0</v>
      </c>
      <c r="J358" s="63">
        <f t="shared" si="74"/>
        <v>0</v>
      </c>
      <c r="K358" s="63">
        <f t="shared" si="75"/>
        <v>0</v>
      </c>
    </row>
    <row r="359" spans="1:11" s="702" customFormat="1">
      <c r="A359" s="111">
        <f t="shared" si="72"/>
        <v>278</v>
      </c>
      <c r="B359" s="665" t="s">
        <v>195</v>
      </c>
      <c r="C359" s="663">
        <v>2018</v>
      </c>
      <c r="D359" s="1136"/>
      <c r="E359" s="63">
        <f>D359*'16-PlantAdditions'!$E$103</f>
        <v>0</v>
      </c>
      <c r="F359" s="63">
        <f t="shared" si="73"/>
        <v>0</v>
      </c>
      <c r="G359" s="1136"/>
      <c r="H359" s="1136"/>
      <c r="I359" s="63">
        <f>(G359-H359)*'16-PlantAdditions'!$E$103</f>
        <v>0</v>
      </c>
      <c r="J359" s="63">
        <f t="shared" si="74"/>
        <v>0</v>
      </c>
      <c r="K359" s="63">
        <f t="shared" si="75"/>
        <v>0</v>
      </c>
    </row>
    <row r="360" spans="1:11" s="702" customFormat="1">
      <c r="A360" s="111">
        <f t="shared" si="72"/>
        <v>279</v>
      </c>
      <c r="B360" s="662" t="s">
        <v>183</v>
      </c>
      <c r="C360" s="663">
        <v>2018</v>
      </c>
      <c r="D360" s="1136"/>
      <c r="E360" s="63">
        <f>D360*'16-PlantAdditions'!$E$103</f>
        <v>0</v>
      </c>
      <c r="F360" s="63">
        <f t="shared" si="73"/>
        <v>0</v>
      </c>
      <c r="G360" s="1136"/>
      <c r="H360" s="1136"/>
      <c r="I360" s="63">
        <f>(G360-H360)*'16-PlantAdditions'!$E$103</f>
        <v>0</v>
      </c>
      <c r="J360" s="63">
        <f t="shared" si="74"/>
        <v>0</v>
      </c>
      <c r="K360" s="63">
        <f t="shared" si="75"/>
        <v>0</v>
      </c>
    </row>
    <row r="361" spans="1:11" s="702" customFormat="1">
      <c r="A361" s="111">
        <f t="shared" si="72"/>
        <v>280</v>
      </c>
      <c r="B361" s="665" t="s">
        <v>184</v>
      </c>
      <c r="C361" s="663">
        <v>2018</v>
      </c>
      <c r="D361" s="1136"/>
      <c r="E361" s="63">
        <f>D361*'16-PlantAdditions'!$E$103</f>
        <v>0</v>
      </c>
      <c r="F361" s="63">
        <f t="shared" si="73"/>
        <v>0</v>
      </c>
      <c r="G361" s="1136"/>
      <c r="H361" s="1136"/>
      <c r="I361" s="63">
        <f>(G361-H361)*'16-PlantAdditions'!$E$103</f>
        <v>0</v>
      </c>
      <c r="J361" s="63">
        <f t="shared" si="74"/>
        <v>0</v>
      </c>
      <c r="K361" s="63">
        <f t="shared" si="75"/>
        <v>0</v>
      </c>
    </row>
    <row r="362" spans="1:11" s="702" customFormat="1">
      <c r="A362" s="111">
        <f t="shared" si="72"/>
        <v>281</v>
      </c>
      <c r="B362" s="665" t="s">
        <v>1483</v>
      </c>
      <c r="C362" s="663">
        <v>2018</v>
      </c>
      <c r="D362" s="1136"/>
      <c r="E362" s="63">
        <f>D362*'16-PlantAdditions'!$E$103</f>
        <v>0</v>
      </c>
      <c r="F362" s="63">
        <f t="shared" si="73"/>
        <v>0</v>
      </c>
      <c r="G362" s="1136"/>
      <c r="H362" s="1136"/>
      <c r="I362" s="63">
        <f>(G362-H362)*'16-PlantAdditions'!$E$103</f>
        <v>0</v>
      </c>
      <c r="J362" s="63">
        <f t="shared" si="74"/>
        <v>0</v>
      </c>
      <c r="K362" s="63">
        <f t="shared" si="75"/>
        <v>0</v>
      </c>
    </row>
    <row r="363" spans="1:11" s="702" customFormat="1">
      <c r="A363" s="111">
        <f t="shared" si="72"/>
        <v>282</v>
      </c>
      <c r="B363" s="662" t="s">
        <v>186</v>
      </c>
      <c r="C363" s="663">
        <v>2018</v>
      </c>
      <c r="D363" s="1136"/>
      <c r="E363" s="63">
        <f>D363*'16-PlantAdditions'!$E$103</f>
        <v>0</v>
      </c>
      <c r="F363" s="63">
        <f t="shared" si="73"/>
        <v>0</v>
      </c>
      <c r="G363" s="1136"/>
      <c r="H363" s="1136"/>
      <c r="I363" s="63">
        <f>(G363-H363)*'16-PlantAdditions'!$E$103</f>
        <v>0</v>
      </c>
      <c r="J363" s="63">
        <f t="shared" si="74"/>
        <v>0</v>
      </c>
      <c r="K363" s="63">
        <f t="shared" si="75"/>
        <v>0</v>
      </c>
    </row>
    <row r="364" spans="1:11" s="702" customFormat="1">
      <c r="A364" s="111">
        <f t="shared" si="72"/>
        <v>283</v>
      </c>
      <c r="B364" s="665" t="s">
        <v>187</v>
      </c>
      <c r="C364" s="663">
        <v>2018</v>
      </c>
      <c r="D364" s="1136"/>
      <c r="E364" s="63">
        <f>D364*'16-PlantAdditions'!$E$103</f>
        <v>0</v>
      </c>
      <c r="F364" s="63">
        <f t="shared" si="73"/>
        <v>0</v>
      </c>
      <c r="G364" s="1136"/>
      <c r="H364" s="1136"/>
      <c r="I364" s="63">
        <f>(G364-H364)*'16-PlantAdditions'!$E$103</f>
        <v>0</v>
      </c>
      <c r="J364" s="63">
        <f t="shared" si="74"/>
        <v>0</v>
      </c>
      <c r="K364" s="63">
        <f t="shared" si="75"/>
        <v>0</v>
      </c>
    </row>
    <row r="365" spans="1:11" s="702" customFormat="1">
      <c r="A365" s="111">
        <f t="shared" si="72"/>
        <v>284</v>
      </c>
      <c r="B365" s="665" t="s">
        <v>188</v>
      </c>
      <c r="C365" s="663">
        <v>2018</v>
      </c>
      <c r="D365" s="1136"/>
      <c r="E365" s="63">
        <f>D365*'16-PlantAdditions'!$E$103</f>
        <v>0</v>
      </c>
      <c r="F365" s="63">
        <f t="shared" si="73"/>
        <v>0</v>
      </c>
      <c r="G365" s="1136"/>
      <c r="H365" s="1136"/>
      <c r="I365" s="63">
        <f>(G365-H365)*'16-PlantAdditions'!$E$103</f>
        <v>0</v>
      </c>
      <c r="J365" s="63">
        <f t="shared" si="74"/>
        <v>0</v>
      </c>
      <c r="K365" s="63">
        <f t="shared" si="75"/>
        <v>0</v>
      </c>
    </row>
    <row r="366" spans="1:11" s="702" customFormat="1">
      <c r="A366" s="111">
        <f t="shared" si="72"/>
        <v>285</v>
      </c>
      <c r="B366" s="665" t="s">
        <v>191</v>
      </c>
      <c r="C366" s="663">
        <v>2018</v>
      </c>
      <c r="D366" s="1136"/>
      <c r="E366" s="63">
        <f>D366*'16-PlantAdditions'!$E$103</f>
        <v>0</v>
      </c>
      <c r="F366" s="63">
        <f t="shared" ref="F366:F368" si="76">E366+D366</f>
        <v>0</v>
      </c>
      <c r="G366" s="1136"/>
      <c r="H366" s="1136"/>
      <c r="I366" s="63">
        <f>(G366-H366)*'16-PlantAdditions'!$E$103</f>
        <v>0</v>
      </c>
      <c r="J366" s="63">
        <f t="shared" ref="J366:J368" si="77">J365+F366-G366-I366</f>
        <v>0</v>
      </c>
      <c r="K366" s="63">
        <f t="shared" si="75"/>
        <v>0</v>
      </c>
    </row>
    <row r="367" spans="1:11" s="702" customFormat="1">
      <c r="A367" s="111">
        <f t="shared" si="72"/>
        <v>286</v>
      </c>
      <c r="B367" s="665" t="s">
        <v>190</v>
      </c>
      <c r="C367" s="663">
        <v>2018</v>
      </c>
      <c r="D367" s="1136"/>
      <c r="E367" s="63">
        <f>D367*'16-PlantAdditions'!$E$103</f>
        <v>0</v>
      </c>
      <c r="F367" s="63">
        <f t="shared" si="76"/>
        <v>0</v>
      </c>
      <c r="G367" s="1136"/>
      <c r="H367" s="1136"/>
      <c r="I367" s="63">
        <f>(G367-H367)*'16-PlantAdditions'!$E$103</f>
        <v>0</v>
      </c>
      <c r="J367" s="63">
        <f t="shared" si="77"/>
        <v>0</v>
      </c>
      <c r="K367" s="63">
        <f t="shared" si="75"/>
        <v>0</v>
      </c>
    </row>
    <row r="368" spans="1:11" s="702" customFormat="1">
      <c r="A368" s="111">
        <f t="shared" si="72"/>
        <v>287</v>
      </c>
      <c r="B368" s="665" t="s">
        <v>180</v>
      </c>
      <c r="C368" s="663">
        <v>2018</v>
      </c>
      <c r="D368" s="1136"/>
      <c r="E368" s="63">
        <f>D368*'16-PlantAdditions'!$E$103</f>
        <v>0</v>
      </c>
      <c r="F368" s="63">
        <f t="shared" si="76"/>
        <v>0</v>
      </c>
      <c r="G368" s="1136"/>
      <c r="H368" s="1136"/>
      <c r="I368" s="63">
        <f>(G368-H368)*'16-PlantAdditions'!$E$103</f>
        <v>0</v>
      </c>
      <c r="J368" s="63">
        <f t="shared" si="77"/>
        <v>0</v>
      </c>
      <c r="K368" s="899">
        <f t="shared" si="75"/>
        <v>0</v>
      </c>
    </row>
    <row r="369" spans="1:11" s="702" customFormat="1">
      <c r="A369" s="111">
        <f t="shared" si="72"/>
        <v>288</v>
      </c>
      <c r="B369"/>
      <c r="C369" s="701" t="s">
        <v>1635</v>
      </c>
      <c r="D369"/>
      <c r="E369"/>
      <c r="F369"/>
      <c r="G369"/>
      <c r="H369"/>
      <c r="I369"/>
      <c r="J369"/>
      <c r="K369" s="73">
        <f>AVERAGE(K356:K368)</f>
        <v>0</v>
      </c>
    </row>
    <row r="370" spans="1:11" s="702" customFormat="1">
      <c r="A370" s="111"/>
      <c r="B370"/>
      <c r="C370" s="701"/>
      <c r="D370"/>
      <c r="E370"/>
      <c r="F370"/>
      <c r="G370"/>
      <c r="H370"/>
      <c r="I370"/>
      <c r="J370"/>
      <c r="K370" s="73"/>
    </row>
    <row r="371" spans="1:11" s="702" customFormat="1">
      <c r="B371" s="703" t="s">
        <v>1981</v>
      </c>
      <c r="D371" s="1230" t="s">
        <v>1982</v>
      </c>
      <c r="E371" s="1230"/>
      <c r="F371" s="1231"/>
    </row>
    <row r="372" spans="1:11" s="702" customFormat="1">
      <c r="A372" s="697"/>
      <c r="B372" s="697"/>
      <c r="C372" s="697"/>
      <c r="D372" s="697" t="s">
        <v>363</v>
      </c>
      <c r="E372" s="697" t="s">
        <v>347</v>
      </c>
      <c r="F372" s="697" t="s">
        <v>348</v>
      </c>
      <c r="G372" s="697" t="s">
        <v>349</v>
      </c>
      <c r="H372" s="697" t="s">
        <v>350</v>
      </c>
      <c r="I372" s="697" t="s">
        <v>351</v>
      </c>
      <c r="J372" s="697" t="s">
        <v>352</v>
      </c>
      <c r="K372" s="697" t="s">
        <v>544</v>
      </c>
    </row>
    <row r="373" spans="1:11" s="702" customFormat="1" ht="38.25">
      <c r="D373" s="704"/>
      <c r="E373" s="705" t="s">
        <v>2108</v>
      </c>
      <c r="F373" s="706" t="s">
        <v>1964</v>
      </c>
      <c r="G373" s="512"/>
      <c r="H373" s="704"/>
      <c r="I373" s="705" t="s">
        <v>2109</v>
      </c>
      <c r="J373" s="705" t="s">
        <v>1965</v>
      </c>
      <c r="K373" s="705" t="s">
        <v>1966</v>
      </c>
    </row>
    <row r="374" spans="1:11" s="702" customFormat="1">
      <c r="D374" s="704"/>
      <c r="E374" s="705"/>
      <c r="F374" s="706"/>
      <c r="G374" s="4" t="str">
        <f>G51</f>
        <v>Unloaded</v>
      </c>
      <c r="H374" s="704"/>
      <c r="I374" s="705"/>
      <c r="J374" s="705"/>
      <c r="K374" s="705"/>
    </row>
    <row r="375" spans="1:11" s="702" customFormat="1">
      <c r="A375" s="699"/>
      <c r="B375" s="699"/>
      <c r="C375" s="699"/>
      <c r="D375" s="699" t="str">
        <f>D$52</f>
        <v>Forecast</v>
      </c>
      <c r="E375" s="699" t="str">
        <f t="shared" ref="E375:J375" si="78">E$52</f>
        <v>Corporate</v>
      </c>
      <c r="F375" s="699" t="str">
        <f t="shared" si="78"/>
        <v xml:space="preserve">Total </v>
      </c>
      <c r="G375" s="4" t="str">
        <f>G52</f>
        <v>Total</v>
      </c>
      <c r="H375" s="699" t="str">
        <f t="shared" si="78"/>
        <v>Prior Period</v>
      </c>
      <c r="I375" s="699" t="str">
        <f t="shared" si="78"/>
        <v>Over Heads</v>
      </c>
      <c r="J375" s="699" t="str">
        <f t="shared" si="78"/>
        <v>Forecast</v>
      </c>
      <c r="K375" s="699" t="str">
        <f>K$52</f>
        <v>Forecast Period</v>
      </c>
    </row>
    <row r="376" spans="1:11" s="702" customFormat="1">
      <c r="A376" s="960" t="s">
        <v>332</v>
      </c>
      <c r="B376" s="661" t="s">
        <v>192</v>
      </c>
      <c r="C376" s="661" t="s">
        <v>193</v>
      </c>
      <c r="D376" s="697" t="str">
        <f>D$53</f>
        <v>Expenditures</v>
      </c>
      <c r="E376" s="697" t="str">
        <f t="shared" ref="E376:J376" si="79">E$53</f>
        <v>Overheads</v>
      </c>
      <c r="F376" s="697" t="str">
        <f t="shared" si="79"/>
        <v>CWIP Exp</v>
      </c>
      <c r="G376" s="84" t="str">
        <f>G53</f>
        <v>Plant Adds</v>
      </c>
      <c r="H376" s="697" t="str">
        <f t="shared" si="79"/>
        <v>CWIP Closed</v>
      </c>
      <c r="I376" s="697" t="str">
        <f t="shared" si="79"/>
        <v>Closed to PIS</v>
      </c>
      <c r="J376" s="697" t="str">
        <f t="shared" si="79"/>
        <v>Period CWIP</v>
      </c>
      <c r="K376" s="697" t="str">
        <f>K$53</f>
        <v>Incremental CWIP</v>
      </c>
    </row>
    <row r="377" spans="1:11" s="702" customFormat="1">
      <c r="A377" s="111">
        <f>A369+1</f>
        <v>289</v>
      </c>
      <c r="B377" s="662" t="s">
        <v>180</v>
      </c>
      <c r="C377" s="663">
        <v>2016</v>
      </c>
      <c r="D377" s="706" t="s">
        <v>76</v>
      </c>
      <c r="E377" s="706" t="s">
        <v>76</v>
      </c>
      <c r="F377" s="706" t="s">
        <v>76</v>
      </c>
      <c r="G377" s="706" t="s">
        <v>76</v>
      </c>
      <c r="H377" s="706" t="s">
        <v>76</v>
      </c>
      <c r="I377" s="706" t="s">
        <v>76</v>
      </c>
      <c r="J377" s="63">
        <v>0</v>
      </c>
      <c r="K377" s="706" t="s">
        <v>76</v>
      </c>
    </row>
    <row r="378" spans="1:11" s="702" customFormat="1">
      <c r="A378" s="111">
        <f>A377+1</f>
        <v>290</v>
      </c>
      <c r="B378" s="662" t="s">
        <v>181</v>
      </c>
      <c r="C378" s="663">
        <v>2017</v>
      </c>
      <c r="D378" s="107"/>
      <c r="E378" s="63">
        <f>D378*'16-PlantAdditions'!$E$103</f>
        <v>0</v>
      </c>
      <c r="F378" s="63">
        <f>E378+D378</f>
        <v>0</v>
      </c>
      <c r="G378" s="107"/>
      <c r="H378" s="107"/>
      <c r="I378" s="63">
        <f>(G378-H378)*'16-PlantAdditions'!$E$103</f>
        <v>0</v>
      </c>
      <c r="J378" s="63">
        <f>J377+F378-G378-I378</f>
        <v>0</v>
      </c>
      <c r="K378" s="63">
        <f>J378-$J$377</f>
        <v>0</v>
      </c>
    </row>
    <row r="379" spans="1:11" s="702" customFormat="1">
      <c r="A379" s="111">
        <f t="shared" ref="A379:A402" si="80">A378+1</f>
        <v>291</v>
      </c>
      <c r="B379" s="665" t="s">
        <v>182</v>
      </c>
      <c r="C379" s="663">
        <v>2017</v>
      </c>
      <c r="D379" s="107"/>
      <c r="E379" s="63">
        <f>D379*'16-PlantAdditions'!$E$103</f>
        <v>0</v>
      </c>
      <c r="F379" s="63">
        <f t="shared" ref="F379:F398" si="81">E379+D379</f>
        <v>0</v>
      </c>
      <c r="G379" s="107"/>
      <c r="H379" s="107"/>
      <c r="I379" s="63">
        <f>(G379-H379)*'16-PlantAdditions'!$E$103</f>
        <v>0</v>
      </c>
      <c r="J379" s="63">
        <f t="shared" ref="J379:J398" si="82">J378+F379-G379-I379</f>
        <v>0</v>
      </c>
      <c r="K379" s="63">
        <f t="shared" ref="K379:K401" si="83">J379-$J$377</f>
        <v>0</v>
      </c>
    </row>
    <row r="380" spans="1:11" s="702" customFormat="1">
      <c r="A380" s="111">
        <f t="shared" si="80"/>
        <v>292</v>
      </c>
      <c r="B380" s="665" t="s">
        <v>195</v>
      </c>
      <c r="C380" s="663">
        <v>2017</v>
      </c>
      <c r="D380" s="107"/>
      <c r="E380" s="63">
        <f>D380*'16-PlantAdditions'!$E$103</f>
        <v>0</v>
      </c>
      <c r="F380" s="63">
        <f t="shared" si="81"/>
        <v>0</v>
      </c>
      <c r="G380" s="107"/>
      <c r="H380" s="107"/>
      <c r="I380" s="63">
        <f>(G380-H380)*'16-PlantAdditions'!$E$103</f>
        <v>0</v>
      </c>
      <c r="J380" s="63">
        <f t="shared" si="82"/>
        <v>0</v>
      </c>
      <c r="K380" s="63">
        <f t="shared" si="83"/>
        <v>0</v>
      </c>
    </row>
    <row r="381" spans="1:11" s="702" customFormat="1">
      <c r="A381" s="111">
        <f t="shared" si="80"/>
        <v>293</v>
      </c>
      <c r="B381" s="662" t="s">
        <v>183</v>
      </c>
      <c r="C381" s="663">
        <v>2017</v>
      </c>
      <c r="D381" s="107"/>
      <c r="E381" s="63">
        <f>D381*'16-PlantAdditions'!$E$103</f>
        <v>0</v>
      </c>
      <c r="F381" s="63">
        <f t="shared" si="81"/>
        <v>0</v>
      </c>
      <c r="G381" s="107"/>
      <c r="H381" s="107"/>
      <c r="I381" s="63">
        <f>(G381-H381)*'16-PlantAdditions'!$E$103</f>
        <v>0</v>
      </c>
      <c r="J381" s="63">
        <f t="shared" si="82"/>
        <v>0</v>
      </c>
      <c r="K381" s="63">
        <f t="shared" si="83"/>
        <v>0</v>
      </c>
    </row>
    <row r="382" spans="1:11" s="702" customFormat="1">
      <c r="A382" s="111">
        <f t="shared" si="80"/>
        <v>294</v>
      </c>
      <c r="B382" s="665" t="s">
        <v>184</v>
      </c>
      <c r="C382" s="663">
        <v>2017</v>
      </c>
      <c r="D382" s="107"/>
      <c r="E382" s="63">
        <f>D382*'16-PlantAdditions'!$E$103</f>
        <v>0</v>
      </c>
      <c r="F382" s="63">
        <f t="shared" si="81"/>
        <v>0</v>
      </c>
      <c r="G382" s="107"/>
      <c r="H382" s="107"/>
      <c r="I382" s="63">
        <f>(G382-H382)*'16-PlantAdditions'!$E$103</f>
        <v>0</v>
      </c>
      <c r="J382" s="63">
        <f t="shared" si="82"/>
        <v>0</v>
      </c>
      <c r="K382" s="63">
        <f t="shared" si="83"/>
        <v>0</v>
      </c>
    </row>
    <row r="383" spans="1:11" s="702" customFormat="1">
      <c r="A383" s="111">
        <f t="shared" si="80"/>
        <v>295</v>
      </c>
      <c r="B383" s="665" t="s">
        <v>1483</v>
      </c>
      <c r="C383" s="663">
        <v>2017</v>
      </c>
      <c r="D383" s="107"/>
      <c r="E383" s="63">
        <f>D383*'16-PlantAdditions'!$E$103</f>
        <v>0</v>
      </c>
      <c r="F383" s="63">
        <f t="shared" si="81"/>
        <v>0</v>
      </c>
      <c r="G383" s="107"/>
      <c r="H383" s="107"/>
      <c r="I383" s="63">
        <f>(G383-H383)*'16-PlantAdditions'!$E$103</f>
        <v>0</v>
      </c>
      <c r="J383" s="63">
        <f t="shared" si="82"/>
        <v>0</v>
      </c>
      <c r="K383" s="63">
        <f t="shared" si="83"/>
        <v>0</v>
      </c>
    </row>
    <row r="384" spans="1:11" s="702" customFormat="1">
      <c r="A384" s="111">
        <f t="shared" si="80"/>
        <v>296</v>
      </c>
      <c r="B384" s="662" t="s">
        <v>186</v>
      </c>
      <c r="C384" s="663">
        <v>2017</v>
      </c>
      <c r="D384" s="107"/>
      <c r="E384" s="63">
        <f>D384*'16-PlantAdditions'!$E$103</f>
        <v>0</v>
      </c>
      <c r="F384" s="63">
        <f t="shared" si="81"/>
        <v>0</v>
      </c>
      <c r="G384" s="107"/>
      <c r="H384" s="107"/>
      <c r="I384" s="63">
        <f>(G384-H384)*'16-PlantAdditions'!$E$103</f>
        <v>0</v>
      </c>
      <c r="J384" s="63">
        <f t="shared" si="82"/>
        <v>0</v>
      </c>
      <c r="K384" s="63">
        <f t="shared" si="83"/>
        <v>0</v>
      </c>
    </row>
    <row r="385" spans="1:11" s="702" customFormat="1">
      <c r="A385" s="111">
        <f t="shared" si="80"/>
        <v>297</v>
      </c>
      <c r="B385" s="665" t="s">
        <v>187</v>
      </c>
      <c r="C385" s="663">
        <v>2017</v>
      </c>
      <c r="D385" s="107"/>
      <c r="E385" s="63">
        <f>D385*'16-PlantAdditions'!$E$103</f>
        <v>0</v>
      </c>
      <c r="F385" s="63">
        <f t="shared" si="81"/>
        <v>0</v>
      </c>
      <c r="G385" s="107"/>
      <c r="H385" s="107"/>
      <c r="I385" s="63">
        <f>(G385-H385)*'16-PlantAdditions'!$E$103</f>
        <v>0</v>
      </c>
      <c r="J385" s="63">
        <f t="shared" si="82"/>
        <v>0</v>
      </c>
      <c r="K385" s="63">
        <f t="shared" si="83"/>
        <v>0</v>
      </c>
    </row>
    <row r="386" spans="1:11" s="702" customFormat="1">
      <c r="A386" s="111">
        <f t="shared" si="80"/>
        <v>298</v>
      </c>
      <c r="B386" s="665" t="s">
        <v>188</v>
      </c>
      <c r="C386" s="663">
        <v>2017</v>
      </c>
      <c r="D386" s="107"/>
      <c r="E386" s="63">
        <f>D386*'16-PlantAdditions'!$E$103</f>
        <v>0</v>
      </c>
      <c r="F386" s="63">
        <f t="shared" si="81"/>
        <v>0</v>
      </c>
      <c r="G386" s="107"/>
      <c r="H386" s="107"/>
      <c r="I386" s="63">
        <f>(G386-H386)*'16-PlantAdditions'!$E$103</f>
        <v>0</v>
      </c>
      <c r="J386" s="63">
        <f t="shared" si="82"/>
        <v>0</v>
      </c>
      <c r="K386" s="63">
        <f t="shared" si="83"/>
        <v>0</v>
      </c>
    </row>
    <row r="387" spans="1:11" s="702" customFormat="1">
      <c r="A387" s="111">
        <f t="shared" si="80"/>
        <v>299</v>
      </c>
      <c r="B387" s="662" t="s">
        <v>191</v>
      </c>
      <c r="C387" s="663">
        <v>2017</v>
      </c>
      <c r="D387" s="107"/>
      <c r="E387" s="63">
        <f>D387*'16-PlantAdditions'!$E$103</f>
        <v>0</v>
      </c>
      <c r="F387" s="63">
        <f t="shared" si="81"/>
        <v>0</v>
      </c>
      <c r="G387" s="107"/>
      <c r="H387" s="107"/>
      <c r="I387" s="63">
        <f>(G387-H387)*'16-PlantAdditions'!$E$103</f>
        <v>0</v>
      </c>
      <c r="J387" s="63">
        <f t="shared" si="82"/>
        <v>0</v>
      </c>
      <c r="K387" s="63">
        <f t="shared" si="83"/>
        <v>0</v>
      </c>
    </row>
    <row r="388" spans="1:11" s="702" customFormat="1">
      <c r="A388" s="111">
        <f t="shared" si="80"/>
        <v>300</v>
      </c>
      <c r="B388" s="662" t="s">
        <v>190</v>
      </c>
      <c r="C388" s="663">
        <v>2017</v>
      </c>
      <c r="D388" s="107"/>
      <c r="E388" s="63">
        <f>D388*'16-PlantAdditions'!$E$103</f>
        <v>0</v>
      </c>
      <c r="F388" s="63">
        <f t="shared" si="81"/>
        <v>0</v>
      </c>
      <c r="G388" s="107"/>
      <c r="H388" s="107"/>
      <c r="I388" s="63">
        <f>(G388-H388)*'16-PlantAdditions'!$E$103</f>
        <v>0</v>
      </c>
      <c r="J388" s="63">
        <f t="shared" si="82"/>
        <v>0</v>
      </c>
      <c r="K388" s="63">
        <f t="shared" si="83"/>
        <v>0</v>
      </c>
    </row>
    <row r="389" spans="1:11" s="702" customFormat="1">
      <c r="A389" s="111">
        <f t="shared" si="80"/>
        <v>301</v>
      </c>
      <c r="B389" s="662" t="s">
        <v>180</v>
      </c>
      <c r="C389" s="663">
        <v>2017</v>
      </c>
      <c r="D389" s="107"/>
      <c r="E389" s="63">
        <f>D389*'16-PlantAdditions'!$E$103</f>
        <v>0</v>
      </c>
      <c r="F389" s="63">
        <f t="shared" si="81"/>
        <v>0</v>
      </c>
      <c r="G389" s="107"/>
      <c r="H389" s="107"/>
      <c r="I389" s="63">
        <f>(G389-H389)*'16-PlantAdditions'!$E$103</f>
        <v>0</v>
      </c>
      <c r="J389" s="63">
        <f t="shared" si="82"/>
        <v>0</v>
      </c>
      <c r="K389" s="63">
        <f t="shared" si="83"/>
        <v>0</v>
      </c>
    </row>
    <row r="390" spans="1:11" s="702" customFormat="1">
      <c r="A390" s="111">
        <f t="shared" si="80"/>
        <v>302</v>
      </c>
      <c r="B390" s="662" t="s">
        <v>181</v>
      </c>
      <c r="C390" s="663">
        <v>2018</v>
      </c>
      <c r="D390" s="107"/>
      <c r="E390" s="63">
        <f>D390*'16-PlantAdditions'!$E$103</f>
        <v>0</v>
      </c>
      <c r="F390" s="63">
        <f t="shared" si="81"/>
        <v>0</v>
      </c>
      <c r="G390" s="107"/>
      <c r="H390" s="107"/>
      <c r="I390" s="63">
        <f>(G390-H390)*'16-PlantAdditions'!$E$103</f>
        <v>0</v>
      </c>
      <c r="J390" s="63">
        <f t="shared" si="82"/>
        <v>0</v>
      </c>
      <c r="K390" s="63">
        <f t="shared" si="83"/>
        <v>0</v>
      </c>
    </row>
    <row r="391" spans="1:11" s="702" customFormat="1">
      <c r="A391" s="111">
        <f t="shared" si="80"/>
        <v>303</v>
      </c>
      <c r="B391" s="665" t="s">
        <v>182</v>
      </c>
      <c r="C391" s="663">
        <v>2018</v>
      </c>
      <c r="D391" s="107"/>
      <c r="E391" s="63">
        <f>D391*'16-PlantAdditions'!$E$103</f>
        <v>0</v>
      </c>
      <c r="F391" s="63">
        <f t="shared" si="81"/>
        <v>0</v>
      </c>
      <c r="G391" s="107"/>
      <c r="H391" s="107"/>
      <c r="I391" s="63">
        <f>(G391-H391)*'16-PlantAdditions'!$E$103</f>
        <v>0</v>
      </c>
      <c r="J391" s="63">
        <f t="shared" si="82"/>
        <v>0</v>
      </c>
      <c r="K391" s="63">
        <f t="shared" si="83"/>
        <v>0</v>
      </c>
    </row>
    <row r="392" spans="1:11" s="702" customFormat="1">
      <c r="A392" s="111">
        <f t="shared" si="80"/>
        <v>304</v>
      </c>
      <c r="B392" s="665" t="s">
        <v>195</v>
      </c>
      <c r="C392" s="663">
        <v>2018</v>
      </c>
      <c r="D392" s="107"/>
      <c r="E392" s="63">
        <f>D392*'16-PlantAdditions'!$E$103</f>
        <v>0</v>
      </c>
      <c r="F392" s="63">
        <f t="shared" si="81"/>
        <v>0</v>
      </c>
      <c r="G392" s="107"/>
      <c r="H392" s="107"/>
      <c r="I392" s="63">
        <f>(G392-H392)*'16-PlantAdditions'!$E$103</f>
        <v>0</v>
      </c>
      <c r="J392" s="63">
        <f t="shared" si="82"/>
        <v>0</v>
      </c>
      <c r="K392" s="63">
        <f t="shared" si="83"/>
        <v>0</v>
      </c>
    </row>
    <row r="393" spans="1:11" s="702" customFormat="1">
      <c r="A393" s="111">
        <f t="shared" si="80"/>
        <v>305</v>
      </c>
      <c r="B393" s="662" t="s">
        <v>183</v>
      </c>
      <c r="C393" s="663">
        <v>2018</v>
      </c>
      <c r="D393" s="107"/>
      <c r="E393" s="63">
        <f>D393*'16-PlantAdditions'!$E$103</f>
        <v>0</v>
      </c>
      <c r="F393" s="63">
        <f t="shared" si="81"/>
        <v>0</v>
      </c>
      <c r="G393" s="107"/>
      <c r="H393" s="107"/>
      <c r="I393" s="63">
        <f>(G393-H393)*'16-PlantAdditions'!$E$103</f>
        <v>0</v>
      </c>
      <c r="J393" s="63">
        <f t="shared" si="82"/>
        <v>0</v>
      </c>
      <c r="K393" s="63">
        <f t="shared" si="83"/>
        <v>0</v>
      </c>
    </row>
    <row r="394" spans="1:11" s="702" customFormat="1">
      <c r="A394" s="111">
        <f t="shared" si="80"/>
        <v>306</v>
      </c>
      <c r="B394" s="665" t="s">
        <v>184</v>
      </c>
      <c r="C394" s="663">
        <v>2018</v>
      </c>
      <c r="D394" s="107"/>
      <c r="E394" s="63">
        <f>D394*'16-PlantAdditions'!$E$103</f>
        <v>0</v>
      </c>
      <c r="F394" s="63">
        <f t="shared" si="81"/>
        <v>0</v>
      </c>
      <c r="G394" s="107"/>
      <c r="H394" s="107"/>
      <c r="I394" s="63">
        <f>(G394-H394)*'16-PlantAdditions'!$E$103</f>
        <v>0</v>
      </c>
      <c r="J394" s="63">
        <f t="shared" si="82"/>
        <v>0</v>
      </c>
      <c r="K394" s="63">
        <f t="shared" si="83"/>
        <v>0</v>
      </c>
    </row>
    <row r="395" spans="1:11" s="702" customFormat="1">
      <c r="A395" s="111">
        <f t="shared" si="80"/>
        <v>307</v>
      </c>
      <c r="B395" s="665" t="s">
        <v>1483</v>
      </c>
      <c r="C395" s="663">
        <v>2018</v>
      </c>
      <c r="D395" s="107"/>
      <c r="E395" s="63">
        <f>D395*'16-PlantAdditions'!$E$103</f>
        <v>0</v>
      </c>
      <c r="F395" s="63">
        <f t="shared" si="81"/>
        <v>0</v>
      </c>
      <c r="G395" s="107"/>
      <c r="H395" s="107"/>
      <c r="I395" s="63">
        <f>(G395-H395)*'16-PlantAdditions'!$E$103</f>
        <v>0</v>
      </c>
      <c r="J395" s="63">
        <f t="shared" si="82"/>
        <v>0</v>
      </c>
      <c r="K395" s="63">
        <f t="shared" si="83"/>
        <v>0</v>
      </c>
    </row>
    <row r="396" spans="1:11" s="702" customFormat="1">
      <c r="A396" s="111">
        <f t="shared" si="80"/>
        <v>308</v>
      </c>
      <c r="B396" s="662" t="s">
        <v>186</v>
      </c>
      <c r="C396" s="663">
        <v>2018</v>
      </c>
      <c r="D396" s="107"/>
      <c r="E396" s="63">
        <f>D396*'16-PlantAdditions'!$E$103</f>
        <v>0</v>
      </c>
      <c r="F396" s="63">
        <f t="shared" si="81"/>
        <v>0</v>
      </c>
      <c r="G396" s="107"/>
      <c r="H396" s="107"/>
      <c r="I396" s="63">
        <f>(G396-H396)*'16-PlantAdditions'!$E$103</f>
        <v>0</v>
      </c>
      <c r="J396" s="63">
        <f t="shared" si="82"/>
        <v>0</v>
      </c>
      <c r="K396" s="63">
        <f t="shared" si="83"/>
        <v>0</v>
      </c>
    </row>
    <row r="397" spans="1:11" s="702" customFormat="1">
      <c r="A397" s="111">
        <f t="shared" si="80"/>
        <v>309</v>
      </c>
      <c r="B397" s="665" t="s">
        <v>187</v>
      </c>
      <c r="C397" s="663">
        <v>2018</v>
      </c>
      <c r="D397" s="107"/>
      <c r="E397" s="63">
        <f>D397*'16-PlantAdditions'!$E$103</f>
        <v>0</v>
      </c>
      <c r="F397" s="63">
        <f t="shared" si="81"/>
        <v>0</v>
      </c>
      <c r="G397" s="107"/>
      <c r="H397" s="107"/>
      <c r="I397" s="63">
        <f>(G397-H397)*'16-PlantAdditions'!$E$103</f>
        <v>0</v>
      </c>
      <c r="J397" s="63">
        <f t="shared" si="82"/>
        <v>0</v>
      </c>
      <c r="K397" s="63">
        <f t="shared" si="83"/>
        <v>0</v>
      </c>
    </row>
    <row r="398" spans="1:11" s="702" customFormat="1">
      <c r="A398" s="111">
        <f t="shared" si="80"/>
        <v>310</v>
      </c>
      <c r="B398" s="665" t="s">
        <v>188</v>
      </c>
      <c r="C398" s="663">
        <v>2018</v>
      </c>
      <c r="D398" s="107"/>
      <c r="E398" s="63">
        <f>D398*'16-PlantAdditions'!$E$103</f>
        <v>0</v>
      </c>
      <c r="F398" s="63">
        <f t="shared" si="81"/>
        <v>0</v>
      </c>
      <c r="G398" s="107"/>
      <c r="H398" s="107"/>
      <c r="I398" s="63">
        <f>(G398-H398)*'16-PlantAdditions'!$E$103</f>
        <v>0</v>
      </c>
      <c r="J398" s="63">
        <f t="shared" si="82"/>
        <v>0</v>
      </c>
      <c r="K398" s="63">
        <f t="shared" si="83"/>
        <v>0</v>
      </c>
    </row>
    <row r="399" spans="1:11" s="702" customFormat="1">
      <c r="A399" s="111">
        <f t="shared" si="80"/>
        <v>311</v>
      </c>
      <c r="B399" s="665" t="s">
        <v>191</v>
      </c>
      <c r="C399" s="663">
        <v>2018</v>
      </c>
      <c r="D399" s="107"/>
      <c r="E399" s="63">
        <f>D399*'16-PlantAdditions'!$E$103</f>
        <v>0</v>
      </c>
      <c r="F399" s="63">
        <f t="shared" ref="F399:F401" si="84">E399+D399</f>
        <v>0</v>
      </c>
      <c r="G399" s="107"/>
      <c r="H399" s="107"/>
      <c r="I399" s="63">
        <f>(G399-H399)*'16-PlantAdditions'!$E$103</f>
        <v>0</v>
      </c>
      <c r="J399" s="63">
        <f t="shared" ref="J399:J401" si="85">J398+F399-G399-I399</f>
        <v>0</v>
      </c>
      <c r="K399" s="63">
        <f t="shared" si="83"/>
        <v>0</v>
      </c>
    </row>
    <row r="400" spans="1:11" s="702" customFormat="1">
      <c r="A400" s="111">
        <f t="shared" si="80"/>
        <v>312</v>
      </c>
      <c r="B400" s="665" t="s">
        <v>190</v>
      </c>
      <c r="C400" s="663">
        <v>2018</v>
      </c>
      <c r="D400" s="107"/>
      <c r="E400" s="63">
        <f>D400*'16-PlantAdditions'!$E$103</f>
        <v>0</v>
      </c>
      <c r="F400" s="63">
        <f t="shared" si="84"/>
        <v>0</v>
      </c>
      <c r="G400" s="107"/>
      <c r="H400" s="107"/>
      <c r="I400" s="63">
        <f>(G400-H400)*'16-PlantAdditions'!$E$103</f>
        <v>0</v>
      </c>
      <c r="J400" s="63">
        <f t="shared" si="85"/>
        <v>0</v>
      </c>
      <c r="K400" s="63">
        <f t="shared" si="83"/>
        <v>0</v>
      </c>
    </row>
    <row r="401" spans="1:11" s="702" customFormat="1">
      <c r="A401" s="111">
        <f t="shared" si="80"/>
        <v>313</v>
      </c>
      <c r="B401" s="665" t="s">
        <v>180</v>
      </c>
      <c r="C401" s="663">
        <v>2018</v>
      </c>
      <c r="D401" s="107"/>
      <c r="E401" s="63">
        <f>D401*'16-PlantAdditions'!$E$103</f>
        <v>0</v>
      </c>
      <c r="F401" s="63">
        <f t="shared" si="84"/>
        <v>0</v>
      </c>
      <c r="G401" s="107"/>
      <c r="H401" s="107"/>
      <c r="I401" s="63">
        <f>(G401-H401)*'16-PlantAdditions'!$E$103</f>
        <v>0</v>
      </c>
      <c r="J401" s="63">
        <f t="shared" si="85"/>
        <v>0</v>
      </c>
      <c r="K401" s="112">
        <f t="shared" si="83"/>
        <v>0</v>
      </c>
    </row>
    <row r="402" spans="1:11" s="702" customFormat="1">
      <c r="A402" s="111">
        <f t="shared" si="80"/>
        <v>314</v>
      </c>
      <c r="B402"/>
      <c r="C402" s="701" t="s">
        <v>1635</v>
      </c>
      <c r="H402" s="706"/>
      <c r="I402" s="706"/>
      <c r="K402" s="73">
        <f>AVERAGE(K389:K401)</f>
        <v>0</v>
      </c>
    </row>
    <row r="403" spans="1:11" s="702" customFormat="1">
      <c r="A403" s="111"/>
      <c r="B403"/>
      <c r="C403" s="701"/>
      <c r="H403" s="706"/>
      <c r="I403" s="706"/>
      <c r="K403" s="73"/>
    </row>
    <row r="404" spans="1:11" s="702" customFormat="1">
      <c r="A404" s="111"/>
      <c r="B404"/>
      <c r="C404" s="701"/>
      <c r="H404" s="706"/>
      <c r="I404" s="706"/>
      <c r="K404" s="73"/>
    </row>
    <row r="405" spans="1:11" s="702" customFormat="1">
      <c r="A405" s="699"/>
      <c r="B405" s="670" t="s">
        <v>232</v>
      </c>
      <c r="C405"/>
      <c r="D405"/>
      <c r="E405"/>
      <c r="F405"/>
      <c r="G405"/>
      <c r="H405"/>
      <c r="I405"/>
    </row>
    <row r="406" spans="1:11" s="702" customFormat="1">
      <c r="A406" s="699"/>
      <c r="B406" s="665" t="s">
        <v>2105</v>
      </c>
    </row>
    <row r="407" spans="1:11" s="702" customFormat="1">
      <c r="A407" s="699"/>
      <c r="B407" s="665" t="s">
        <v>2106</v>
      </c>
      <c r="C407"/>
      <c r="D407"/>
      <c r="E407"/>
      <c r="F407"/>
      <c r="G407"/>
      <c r="H407"/>
      <c r="I407"/>
    </row>
    <row r="408" spans="1:11" s="702" customFormat="1">
      <c r="A408" s="699"/>
      <c r="C408"/>
      <c r="D408"/>
      <c r="E408"/>
      <c r="F408"/>
      <c r="G408"/>
      <c r="H408"/>
      <c r="I408"/>
    </row>
    <row r="409" spans="1:11" s="702" customFormat="1">
      <c r="A409" s="699"/>
      <c r="B409" s="1" t="s">
        <v>382</v>
      </c>
      <c r="C409"/>
      <c r="D409"/>
      <c r="E409"/>
      <c r="F409"/>
      <c r="G409"/>
      <c r="H409"/>
      <c r="I409"/>
    </row>
    <row r="410" spans="1:11" s="702" customFormat="1">
      <c r="A410" s="699"/>
      <c r="B410" s="503" t="s">
        <v>1002</v>
      </c>
      <c r="C410"/>
      <c r="D410"/>
      <c r="E410"/>
      <c r="F410"/>
      <c r="G410"/>
      <c r="H410"/>
      <c r="I410"/>
    </row>
    <row r="411" spans="1:11" s="702" customFormat="1">
      <c r="A411" s="699"/>
      <c r="B411" s="503" t="s">
        <v>2107</v>
      </c>
      <c r="C411"/>
      <c r="D411"/>
      <c r="E411"/>
      <c r="F411"/>
      <c r="G411"/>
      <c r="H411"/>
      <c r="I411"/>
    </row>
    <row r="412" spans="1:11" s="702" customFormat="1">
      <c r="A412" s="699"/>
      <c r="B412" s="505" t="s">
        <v>1983</v>
      </c>
      <c r="C412" s="14"/>
      <c r="D412" s="14"/>
      <c r="E412" s="14"/>
      <c r="F412" s="14"/>
      <c r="G412" s="14"/>
      <c r="H412" s="14"/>
      <c r="I412" s="14"/>
    </row>
    <row r="413" spans="1:11" s="702" customFormat="1">
      <c r="A413" s="699"/>
      <c r="B413" s="502"/>
      <c r="C413" s="14"/>
      <c r="D413" s="14"/>
      <c r="E413" s="14"/>
      <c r="F413" s="14"/>
      <c r="G413" s="14"/>
      <c r="H413" s="14"/>
      <c r="I413" s="14"/>
    </row>
    <row r="414" spans="1:11" s="702" customFormat="1">
      <c r="A414" s="699"/>
      <c r="B414" s="665"/>
      <c r="C414" s="708"/>
      <c r="H414" s="706"/>
      <c r="I414" s="706"/>
    </row>
    <row r="415" spans="1:11" s="702" customFormat="1">
      <c r="A415" s="699"/>
      <c r="B415" s="665"/>
      <c r="C415" s="708"/>
      <c r="H415" s="706"/>
      <c r="I415" s="706"/>
    </row>
    <row r="416" spans="1:11" s="702" customFormat="1">
      <c r="A416" s="699"/>
      <c r="B416" s="665"/>
      <c r="C416" s="708"/>
      <c r="H416" s="706"/>
      <c r="I416" s="706"/>
    </row>
    <row r="417" spans="1:11" s="702" customFormat="1">
      <c r="A417" s="699"/>
      <c r="B417" s="665"/>
      <c r="C417" s="708"/>
      <c r="H417" s="706"/>
      <c r="I417" s="706"/>
    </row>
    <row r="418" spans="1:11" s="702" customFormat="1">
      <c r="A418" s="699"/>
      <c r="B418" s="665"/>
      <c r="C418" s="708"/>
      <c r="D418" s="709"/>
      <c r="E418" s="709"/>
      <c r="F418" s="709"/>
      <c r="G418" s="709"/>
      <c r="H418" s="706"/>
      <c r="I418" s="706"/>
    </row>
    <row r="419" spans="1:11" s="702" customFormat="1">
      <c r="A419" s="699"/>
      <c r="C419" s="710"/>
      <c r="D419" s="711"/>
      <c r="E419" s="711"/>
      <c r="F419" s="711"/>
      <c r="G419" s="711"/>
      <c r="H419" s="706"/>
      <c r="I419" s="706"/>
    </row>
    <row r="420" spans="1:11" s="702" customFormat="1"/>
    <row r="421" spans="1:11" s="702" customFormat="1">
      <c r="B421" s="670"/>
    </row>
    <row r="422" spans="1:11" s="702" customFormat="1">
      <c r="B422" s="665"/>
    </row>
    <row r="423" spans="1:11">
      <c r="A423" s="702"/>
      <c r="B423" s="702"/>
      <c r="C423" s="702"/>
      <c r="D423" s="702"/>
      <c r="E423" s="702"/>
      <c r="F423" s="702"/>
      <c r="G423" s="702"/>
      <c r="H423" s="702"/>
      <c r="I423" s="702"/>
      <c r="J423" s="702"/>
      <c r="K423" s="702"/>
    </row>
    <row r="424" spans="1:11">
      <c r="A424" s="702"/>
      <c r="B424" s="712"/>
      <c r="C424" s="702"/>
      <c r="D424" s="702"/>
      <c r="E424" s="702"/>
      <c r="F424" s="702"/>
      <c r="G424" s="702"/>
      <c r="H424" s="702"/>
      <c r="I424" s="702"/>
      <c r="J424" s="702"/>
      <c r="K424" s="702"/>
    </row>
    <row r="425" spans="1:11">
      <c r="A425" s="702"/>
      <c r="B425" s="713"/>
      <c r="C425" s="702"/>
      <c r="D425" s="702"/>
      <c r="E425" s="702"/>
      <c r="F425" s="702"/>
      <c r="G425" s="702"/>
      <c r="H425" s="702"/>
      <c r="I425" s="702"/>
      <c r="J425" s="702"/>
      <c r="K425" s="702"/>
    </row>
    <row r="426" spans="1:11">
      <c r="A426" s="702"/>
      <c r="B426" s="713"/>
      <c r="C426" s="702"/>
      <c r="D426" s="702"/>
      <c r="E426" s="702"/>
      <c r="F426" s="702"/>
      <c r="G426" s="702"/>
      <c r="H426" s="702"/>
      <c r="I426" s="702"/>
      <c r="J426" s="702"/>
      <c r="K426" s="702"/>
    </row>
    <row r="427" spans="1:11">
      <c r="A427" s="702"/>
      <c r="B427" s="713"/>
      <c r="C427" s="702"/>
      <c r="D427" s="702"/>
      <c r="E427" s="702"/>
      <c r="F427" s="702"/>
      <c r="G427" s="702"/>
      <c r="H427" s="702"/>
      <c r="I427" s="702"/>
      <c r="J427" s="702"/>
      <c r="K427" s="702"/>
    </row>
    <row r="428" spans="1:11">
      <c r="A428" s="702"/>
      <c r="B428" s="714"/>
      <c r="C428" s="702"/>
      <c r="D428" s="702"/>
      <c r="E428" s="702"/>
      <c r="F428" s="702"/>
      <c r="G428" s="702"/>
      <c r="H428" s="702"/>
      <c r="I428" s="702"/>
      <c r="J428" s="702"/>
      <c r="K428" s="702"/>
    </row>
  </sheetData>
  <mergeCells count="9">
    <mergeCell ref="D276:E276"/>
    <mergeCell ref="D307:E307"/>
    <mergeCell ref="D340:E340"/>
    <mergeCell ref="D82:E82"/>
    <mergeCell ref="D115:E115"/>
    <mergeCell ref="D148:E148"/>
    <mergeCell ref="D179:E179"/>
    <mergeCell ref="D212:E212"/>
    <mergeCell ref="D243:E243"/>
  </mergeCells>
  <pageMargins left="0.7" right="0.7" top="0.75" bottom="0.75" header="0.3" footer="0.3"/>
  <pageSetup scale="55" orientation="landscape" cellComments="asDisplayed" r:id="rId1"/>
  <headerFooter>
    <oddHeader>&amp;CSchedule 10
CWIP
&amp;RExhibit SCE-4
TO2018 Formula Rate Spreadsheet</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1216</v>
      </c>
      <c r="B1" s="121"/>
      <c r="C1" s="39"/>
      <c r="D1" s="39"/>
      <c r="E1" s="39"/>
      <c r="F1" s="39"/>
    </row>
    <row r="2" spans="1:6">
      <c r="A2" s="123"/>
      <c r="B2" s="14"/>
      <c r="C2" s="124"/>
      <c r="D2" s="124"/>
      <c r="F2" s="43" t="s">
        <v>17</v>
      </c>
    </row>
    <row r="3" spans="1:6">
      <c r="A3" s="123"/>
      <c r="B3" s="15" t="s">
        <v>502</v>
      </c>
      <c r="C3" s="124"/>
      <c r="D3" s="124"/>
      <c r="E3" s="124"/>
    </row>
    <row r="4" spans="1:6">
      <c r="A4" s="123"/>
      <c r="B4" s="15" t="s">
        <v>391</v>
      </c>
      <c r="C4" s="124"/>
      <c r="D4" s="124"/>
      <c r="E4" s="124"/>
    </row>
    <row r="5" spans="1:6">
      <c r="A5" s="123"/>
      <c r="B5" s="15" t="s">
        <v>396</v>
      </c>
      <c r="C5" s="124"/>
      <c r="D5" s="124"/>
      <c r="E5" s="124"/>
    </row>
    <row r="6" spans="1:6">
      <c r="A6" s="123"/>
    </row>
    <row r="7" spans="1:6">
      <c r="A7" s="51" t="s">
        <v>332</v>
      </c>
      <c r="B7" s="14"/>
      <c r="C7" s="124"/>
      <c r="D7" s="3" t="s">
        <v>394</v>
      </c>
      <c r="E7" s="122" t="s">
        <v>393</v>
      </c>
      <c r="F7" s="125" t="s">
        <v>179</v>
      </c>
    </row>
    <row r="8" spans="1:6">
      <c r="A8" s="2">
        <v>1</v>
      </c>
      <c r="B8" s="15" t="s">
        <v>405</v>
      </c>
      <c r="D8" s="6">
        <v>16261747</v>
      </c>
      <c r="E8" s="6">
        <v>16261841</v>
      </c>
      <c r="F8" s="13" t="s">
        <v>1229</v>
      </c>
    </row>
    <row r="9" spans="1:6">
      <c r="A9" s="2"/>
      <c r="B9" s="15"/>
      <c r="D9" s="14"/>
      <c r="E9" s="12"/>
    </row>
    <row r="10" spans="1:6">
      <c r="A10" s="2"/>
      <c r="B10" s="15" t="s">
        <v>399</v>
      </c>
      <c r="D10" s="14"/>
      <c r="E10" s="12"/>
    </row>
    <row r="11" spans="1:6">
      <c r="A11" s="2"/>
      <c r="B11" s="15"/>
      <c r="D11" s="14"/>
      <c r="E11" s="12"/>
    </row>
    <row r="12" spans="1:6">
      <c r="A12" s="2"/>
      <c r="B12" s="84" t="s">
        <v>363</v>
      </c>
      <c r="C12" s="84" t="s">
        <v>347</v>
      </c>
      <c r="D12" s="84" t="s">
        <v>348</v>
      </c>
      <c r="E12" s="84" t="s">
        <v>349</v>
      </c>
      <c r="F12" s="84" t="s">
        <v>350</v>
      </c>
    </row>
    <row r="13" spans="1:6">
      <c r="A13" s="2"/>
      <c r="B13" s="15"/>
      <c r="C13" s="2" t="s">
        <v>402</v>
      </c>
      <c r="D13" s="14"/>
      <c r="E13" s="12"/>
    </row>
    <row r="14" spans="1:6">
      <c r="A14" s="2"/>
      <c r="B14" s="51" t="s">
        <v>100</v>
      </c>
      <c r="C14" s="3" t="s">
        <v>401</v>
      </c>
      <c r="D14" s="3" t="s">
        <v>394</v>
      </c>
      <c r="E14" s="122" t="s">
        <v>393</v>
      </c>
      <c r="F14" s="122" t="s">
        <v>179</v>
      </c>
    </row>
    <row r="15" spans="1:6">
      <c r="A15" s="2" t="s">
        <v>516</v>
      </c>
      <c r="B15" s="1118" t="s">
        <v>2524</v>
      </c>
      <c r="C15" s="97" t="s">
        <v>2525</v>
      </c>
      <c r="D15" s="6">
        <v>9942155</v>
      </c>
      <c r="E15" s="6">
        <v>9942155</v>
      </c>
      <c r="F15" s="97" t="s">
        <v>2526</v>
      </c>
    </row>
    <row r="16" spans="1:6">
      <c r="A16" s="2" t="s">
        <v>517</v>
      </c>
      <c r="B16" s="116"/>
      <c r="C16" s="97"/>
      <c r="D16" s="6"/>
      <c r="E16" s="6"/>
      <c r="F16" s="97"/>
    </row>
    <row r="17" spans="1:6">
      <c r="A17" s="2" t="s">
        <v>518</v>
      </c>
      <c r="B17" s="116"/>
      <c r="C17" s="97"/>
      <c r="D17" s="6"/>
      <c r="E17" s="6"/>
      <c r="F17" s="97"/>
    </row>
    <row r="18" spans="1:6">
      <c r="A18" s="2" t="s">
        <v>519</v>
      </c>
      <c r="B18" s="116"/>
      <c r="C18" s="97"/>
      <c r="D18" s="6"/>
      <c r="E18" s="6"/>
      <c r="F18" s="97"/>
    </row>
    <row r="19" spans="1:6">
      <c r="A19" s="2" t="s">
        <v>520</v>
      </c>
      <c r="B19" s="116"/>
      <c r="C19" s="97"/>
      <c r="D19" s="6"/>
      <c r="E19" s="6"/>
      <c r="F19" s="97"/>
    </row>
    <row r="20" spans="1:6">
      <c r="A20" s="2" t="s">
        <v>521</v>
      </c>
      <c r="B20" s="116"/>
      <c r="C20" s="97"/>
      <c r="D20" s="6"/>
      <c r="E20" s="6"/>
      <c r="F20" s="97"/>
    </row>
    <row r="21" spans="1:6">
      <c r="A21" s="2" t="s">
        <v>522</v>
      </c>
      <c r="B21" s="116"/>
      <c r="C21" s="97"/>
      <c r="D21" s="6"/>
      <c r="E21" s="6"/>
      <c r="F21" s="97"/>
    </row>
    <row r="22" spans="1:6">
      <c r="A22" s="2" t="s">
        <v>523</v>
      </c>
      <c r="B22" s="116"/>
      <c r="C22" s="97"/>
      <c r="D22" s="6"/>
      <c r="E22" s="6"/>
      <c r="F22" s="97"/>
    </row>
    <row r="23" spans="1:6">
      <c r="A23" s="190"/>
      <c r="B23" s="420" t="s">
        <v>513</v>
      </c>
      <c r="C23" s="97"/>
      <c r="D23" s="421"/>
      <c r="E23" s="421"/>
      <c r="F23" s="97"/>
    </row>
    <row r="24" spans="1:6">
      <c r="A24" s="2">
        <v>3</v>
      </c>
      <c r="C24" s="12" t="s">
        <v>4</v>
      </c>
      <c r="D24" s="7">
        <f>SUM(D15:D22)</f>
        <v>9942155</v>
      </c>
      <c r="E24" s="7">
        <f>SUM(E15:E22)</f>
        <v>9942155</v>
      </c>
      <c r="F24" s="13" t="s">
        <v>525</v>
      </c>
    </row>
    <row r="25" spans="1:6">
      <c r="C25" s="12"/>
    </row>
    <row r="26" spans="1:6">
      <c r="C26" s="12"/>
      <c r="D26" s="3" t="s">
        <v>394</v>
      </c>
      <c r="E26" s="122" t="s">
        <v>393</v>
      </c>
      <c r="F26" s="125" t="s">
        <v>179</v>
      </c>
    </row>
    <row r="27" spans="1:6">
      <c r="A27" s="2">
        <v>4</v>
      </c>
      <c r="B27" s="12" t="s">
        <v>395</v>
      </c>
      <c r="C27" s="12"/>
      <c r="D27" s="6">
        <v>0</v>
      </c>
      <c r="E27" s="6">
        <v>0</v>
      </c>
      <c r="F27" s="46" t="s">
        <v>392</v>
      </c>
    </row>
    <row r="28" spans="1:6">
      <c r="A28" s="2">
        <v>5</v>
      </c>
      <c r="B28" s="12" t="s">
        <v>305</v>
      </c>
      <c r="D28" s="126">
        <f>'27-Allocators'!G14</f>
        <v>6.1650013139118928E-2</v>
      </c>
      <c r="E28" s="126">
        <f>'27-Allocators'!G14</f>
        <v>6.1650013139118928E-2</v>
      </c>
      <c r="F28" s="46" t="str">
        <f>"27-Allocators, L "&amp;'27-Allocators'!A14&amp;""</f>
        <v>27-Allocators, L 9</v>
      </c>
    </row>
    <row r="29" spans="1:6">
      <c r="A29" s="2">
        <v>6</v>
      </c>
      <c r="B29" s="12" t="s">
        <v>403</v>
      </c>
      <c r="C29" s="12"/>
      <c r="D29" s="63">
        <f>D27*D28</f>
        <v>0</v>
      </c>
      <c r="E29" s="63">
        <f>E27*E28</f>
        <v>0</v>
      </c>
      <c r="F29" s="13" t="str">
        <f>"L "&amp;A27&amp;" * L "&amp;A28&amp;""</f>
        <v>L 4 * L 5</v>
      </c>
    </row>
    <row r="30" spans="1:6">
      <c r="C30" s="12"/>
    </row>
    <row r="31" spans="1:6">
      <c r="B31" s="12" t="s">
        <v>400</v>
      </c>
    </row>
    <row r="32" spans="1:6">
      <c r="C32" s="32"/>
      <c r="D32" s="33"/>
      <c r="E32" s="35"/>
    </row>
    <row r="33" spans="1:6">
      <c r="D33" s="3" t="s">
        <v>394</v>
      </c>
      <c r="E33" s="122" t="s">
        <v>393</v>
      </c>
      <c r="F33" s="125" t="s">
        <v>179</v>
      </c>
    </row>
    <row r="34" spans="1:6">
      <c r="A34" s="2">
        <v>7</v>
      </c>
      <c r="C34" s="12"/>
      <c r="D34" s="6">
        <v>6319593</v>
      </c>
      <c r="E34" s="6">
        <v>6319686</v>
      </c>
      <c r="F34" s="13" t="s">
        <v>364</v>
      </c>
    </row>
    <row r="37" spans="1:6">
      <c r="B37" s="12" t="s">
        <v>404</v>
      </c>
      <c r="D37" s="3" t="s">
        <v>394</v>
      </c>
      <c r="E37" s="122" t="s">
        <v>393</v>
      </c>
      <c r="F37" s="125" t="s">
        <v>179</v>
      </c>
    </row>
    <row r="38" spans="1:6">
      <c r="A38" s="2">
        <v>8</v>
      </c>
      <c r="D38" s="101">
        <f>D24+D29</f>
        <v>9942155</v>
      </c>
      <c r="E38" s="101">
        <f>E24+E29</f>
        <v>9942155</v>
      </c>
      <c r="F38" s="13" t="str">
        <f>"L "&amp;A24&amp;" + L "&amp;A29&amp;""</f>
        <v>L 3 + L 6</v>
      </c>
    </row>
    <row r="39" spans="1:6">
      <c r="A39" s="2"/>
      <c r="D39" s="101"/>
      <c r="E39" s="101"/>
      <c r="F39" s="13"/>
    </row>
    <row r="40" spans="1:6">
      <c r="B40" t="s">
        <v>406</v>
      </c>
    </row>
    <row r="41" spans="1:6">
      <c r="A41" s="2">
        <v>9</v>
      </c>
      <c r="B41" s="12" t="s">
        <v>404</v>
      </c>
      <c r="D41" s="47">
        <f>(D38+E38)/2</f>
        <v>9942155</v>
      </c>
      <c r="E41" s="101"/>
      <c r="F41" s="13" t="str">
        <f>"Sum of Line "&amp;A38&amp;" / 2"</f>
        <v>Sum of Line 8 / 2</v>
      </c>
    </row>
    <row r="42" spans="1:6">
      <c r="B42" s="12"/>
    </row>
    <row r="43" spans="1:6">
      <c r="B43" s="1" t="s">
        <v>504</v>
      </c>
      <c r="C43" s="12"/>
    </row>
    <row r="44" spans="1:6">
      <c r="C44" s="12"/>
    </row>
    <row r="45" spans="1:6">
      <c r="A45" s="2"/>
      <c r="F45" s="125" t="s">
        <v>179</v>
      </c>
    </row>
    <row r="46" spans="1:6">
      <c r="A46" s="2">
        <v>10</v>
      </c>
      <c r="B46" s="12" t="s">
        <v>503</v>
      </c>
      <c r="E46" s="1129">
        <v>0</v>
      </c>
      <c r="F46" s="13" t="s">
        <v>33</v>
      </c>
    </row>
    <row r="49" spans="2:2">
      <c r="B49" s="1" t="s">
        <v>382</v>
      </c>
    </row>
    <row r="50" spans="2:2">
      <c r="B50" s="12" t="s">
        <v>397</v>
      </c>
    </row>
    <row r="51" spans="2:2">
      <c r="B51" s="12" t="s">
        <v>1220</v>
      </c>
    </row>
    <row r="52" spans="2:2">
      <c r="B52" s="12" t="s">
        <v>1221</v>
      </c>
    </row>
    <row r="53" spans="2:2">
      <c r="B53" s="12" t="s">
        <v>524</v>
      </c>
    </row>
    <row r="54" spans="2:2">
      <c r="B54" s="12" t="str">
        <f>"2) For any Electric Plant Held for Future Use classified as General note amount on Line "&amp;A27&amp;"."</f>
        <v>2) For any Electric Plant Held for Future Use classified as General note amount on Line 4.</v>
      </c>
    </row>
    <row r="55" spans="2:2">
      <c r="B55" s="12" t="s">
        <v>1222</v>
      </c>
    </row>
    <row r="56" spans="2:2">
      <c r="B56" s="12" t="s">
        <v>398</v>
      </c>
    </row>
    <row r="57" spans="2:2">
      <c r="B57" s="503" t="s">
        <v>1674</v>
      </c>
    </row>
    <row r="58" spans="2:2">
      <c r="B58" s="12" t="s">
        <v>1219</v>
      </c>
    </row>
    <row r="59" spans="2:2">
      <c r="B59" s="12"/>
    </row>
    <row r="60" spans="2:2">
      <c r="B60" s="1" t="s">
        <v>232</v>
      </c>
    </row>
    <row r="61" spans="2:2">
      <c r="B61" s="12" t="s">
        <v>1230</v>
      </c>
    </row>
  </sheetData>
  <pageMargins left="0.7" right="0.7" top="0.75" bottom="0.75" header="0.3" footer="0.3"/>
  <pageSetup scale="80" orientation="portrait" cellComments="asDisplayed" r:id="rId1"/>
  <headerFooter>
    <oddHeader>&amp;CSchedule 11
Plant Held for Future Use
&amp;RExhibit SCE-4
TO2018 Formula Rate Spreadsheet</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293</v>
      </c>
    </row>
    <row r="2" spans="1:10">
      <c r="I2" s="555" t="s">
        <v>248</v>
      </c>
      <c r="J2" s="555"/>
    </row>
    <row r="3" spans="1:10">
      <c r="B3" t="s">
        <v>318</v>
      </c>
    </row>
    <row r="5" spans="1:10">
      <c r="B5" t="s">
        <v>313</v>
      </c>
    </row>
    <row r="6" spans="1:10">
      <c r="B6" t="s">
        <v>319</v>
      </c>
    </row>
    <row r="7" spans="1:10">
      <c r="F7" s="75" t="s">
        <v>226</v>
      </c>
      <c r="H7" s="75" t="s">
        <v>1838</v>
      </c>
    </row>
    <row r="8" spans="1:10">
      <c r="B8" s="14" t="s">
        <v>1837</v>
      </c>
      <c r="C8" s="14"/>
      <c r="D8" s="14"/>
      <c r="E8" s="14"/>
      <c r="F8" s="1118" t="s">
        <v>2527</v>
      </c>
      <c r="G8" s="97"/>
      <c r="H8" s="1118" t="s">
        <v>2528</v>
      </c>
      <c r="I8" s="97"/>
      <c r="J8" s="97"/>
    </row>
    <row r="9" spans="1:10">
      <c r="B9" s="14"/>
      <c r="C9" s="14"/>
      <c r="D9" s="14"/>
      <c r="E9" s="14"/>
      <c r="F9" s="1118" t="s">
        <v>2529</v>
      </c>
      <c r="G9" s="97"/>
      <c r="H9" s="97"/>
      <c r="I9" s="97"/>
      <c r="J9" s="97"/>
    </row>
    <row r="10" spans="1:10">
      <c r="B10" s="14"/>
      <c r="C10" s="14"/>
      <c r="D10" s="14"/>
      <c r="E10" s="14"/>
      <c r="F10" s="999" t="s">
        <v>513</v>
      </c>
      <c r="G10" s="14"/>
      <c r="H10" s="999" t="s">
        <v>513</v>
      </c>
      <c r="I10" s="14"/>
    </row>
    <row r="12" spans="1:10">
      <c r="B12" s="503" t="s">
        <v>380</v>
      </c>
    </row>
    <row r="13" spans="1:10">
      <c r="B13" s="503"/>
    </row>
    <row r="14" spans="1:10">
      <c r="B14" s="503" t="s">
        <v>378</v>
      </c>
    </row>
    <row r="15" spans="1:10">
      <c r="B15" s="503" t="s">
        <v>379</v>
      </c>
    </row>
    <row r="16" spans="1:10">
      <c r="B16" s="503"/>
      <c r="G16" s="600" t="s">
        <v>381</v>
      </c>
    </row>
    <row r="17" spans="1:12">
      <c r="A17" s="51" t="s">
        <v>332</v>
      </c>
      <c r="G17" s="3" t="s">
        <v>63</v>
      </c>
      <c r="I17" s="51" t="s">
        <v>238</v>
      </c>
    </row>
    <row r="18" spans="1:12">
      <c r="A18" s="600">
        <v>1</v>
      </c>
      <c r="F18" s="37" t="s">
        <v>314</v>
      </c>
      <c r="G18" s="63">
        <f>SUM(IF(B31='1-BaseTRR'!$K$4,E31+I31,0),IF(B32='1-BaseTRR'!$K$4,E32+I32,0),IF(B33='1-BaseTRR'!$K$4,E33+I33,0),IF(B34='1-BaseTRR'!$K$4,E34+I34,0),IF(B35='1-BaseTRR'!$K$4,E35+I35,0),IF(B36='1-BaseTRR'!$K$4,E36+I36,0),IF(B37='1-BaseTRR'!$K$4,E37+I37,0),IF(B38='1-BaseTRR'!$K$4,E38+I38,0),IF(B39='1-BaseTRR'!$K$4,E39+I39,0),IF(B40='1-BaseTRR'!$K$4,E40+I40,0),IF(B41='1-BaseTRR'!$K$4,E41+I41,0))</f>
        <v>37069049</v>
      </c>
      <c r="I18" s="503" t="s">
        <v>390</v>
      </c>
    </row>
    <row r="19" spans="1:12">
      <c r="A19" s="600">
        <v>2</v>
      </c>
      <c r="F19" s="501" t="s">
        <v>384</v>
      </c>
      <c r="G19" s="63">
        <f>SUM(IF(B31='1-BaseTRR'!$K$4-1,C31+G31,0),IF(B32='1-BaseTRR'!$K$4-1,C32+G32,0),IF(B33='1-BaseTRR'!$K$4-1,C33+G33,0),IF(B34='1-BaseTRR'!$K$4-1,C34+G34,0),IF(B35='1-BaseTRR'!$K$4-1,C35+G35,0),IF(B36='1-BaseTRR'!$K$4-1,C36+G36,0),IF(B37='1-BaseTRR'!$K$4-1,C37+G37,0),IF(B38='1-BaseTRR'!$K$4-1,C38+G38,0),IF(B39='1-BaseTRR'!$K$4-1,C39+G39,0),IF(B40='1-BaseTRR'!$K$4-1,C40+G40,0),IF(B41='1-BaseTRR'!$K$4-1,C41+G41,0))</f>
        <v>37069049</v>
      </c>
      <c r="I19" s="503" t="s">
        <v>390</v>
      </c>
    </row>
    <row r="20" spans="1:12">
      <c r="A20" s="600">
        <v>3</v>
      </c>
      <c r="F20" s="37" t="s">
        <v>316</v>
      </c>
      <c r="G20" s="63">
        <f>SUM(IF(B31='1-BaseTRR'!$K$4,C31+G31,0),IF(B32='1-BaseTRR'!$K$4,C32+G32,0),IF(B33='1-BaseTRR'!$K$4,C33+G33,0),IF(B34='1-BaseTRR'!$K$4,C34+G34,0),IF(B35='1-BaseTRR'!$K$4,C35+G35,0),IF(B36='1-BaseTRR'!$K$4,C36+G36,0),IF(B37='1-BaseTRR'!$K$4,C37+G37,0),IF(B38='1-BaseTRR'!$K$4,C38+G38,0),IF(B39='1-BaseTRR'!$K$4,C39+G39,0),IF(B40='1-BaseTRR'!$K$4,C40+G40,0),IF(B41='1-BaseTRR'!$K$4,C41+G41,0))</f>
        <v>0</v>
      </c>
      <c r="I20" s="503" t="s">
        <v>390</v>
      </c>
    </row>
    <row r="21" spans="1:12">
      <c r="A21" s="600">
        <v>4</v>
      </c>
      <c r="F21" s="37" t="s">
        <v>317</v>
      </c>
      <c r="G21" s="63">
        <f>(G19+G20)/2</f>
        <v>18534524.5</v>
      </c>
      <c r="I21" s="503" t="str">
        <f>"Average of Lines "&amp;A19&amp;" and "&amp;A20&amp;"."</f>
        <v>Average of Lines 2 and 3.</v>
      </c>
    </row>
    <row r="22" spans="1:12" s="1112" customFormat="1">
      <c r="A22" s="600">
        <v>5</v>
      </c>
      <c r="E22" s="505"/>
      <c r="F22" s="969" t="s">
        <v>2384</v>
      </c>
      <c r="G22" s="63">
        <f>SUM(IF(B31='1-BaseTRR'!$K$4-1,D31+H31,0),IF(B32='1-BaseTRR'!$K$4-1,D32+H32,0),IF(B33='1-BaseTRR'!$K$4-1,D33+H33,0),IF(B34='1-BaseTRR'!$K$4-1,D34+H34,0),IF(B35='1-BaseTRR'!$K$4-1,D35+H35,0),IF(B36='1-BaseTRR'!$K$4-1,D36+H36,0),IF(B37='1-BaseTRR'!$K$4-1,D37+H37,0),IF(B38='1-BaseTRR'!$K$4-1,D38+H38,0),IF(B39='1-BaseTRR'!$K$4-1,D39+H39,0),IF(B40='1-BaseTRR'!$K$4-1,D40+H40,0),IF(B41='1-BaseTRR'!$K$4-1,D41+H41,0))</f>
        <v>37069049</v>
      </c>
      <c r="H22" s="505"/>
      <c r="I22" s="505" t="s">
        <v>390</v>
      </c>
      <c r="J22" s="505"/>
      <c r="L22" s="14"/>
    </row>
    <row r="23" spans="1:12">
      <c r="I23" s="503"/>
    </row>
    <row r="25" spans="1:12">
      <c r="A25" s="600">
        <v>6</v>
      </c>
      <c r="C25" s="1" t="s">
        <v>511</v>
      </c>
      <c r="D25" s="1118" t="s">
        <v>2527</v>
      </c>
      <c r="G25" s="152" t="s">
        <v>514</v>
      </c>
      <c r="H25" s="513" t="s">
        <v>512</v>
      </c>
      <c r="I25" s="602"/>
      <c r="J25" s="505"/>
    </row>
    <row r="26" spans="1:12">
      <c r="A26" s="600"/>
      <c r="C26" s="1"/>
      <c r="D26" s="505"/>
      <c r="E26" s="14"/>
      <c r="G26" s="602"/>
      <c r="H26" s="505"/>
      <c r="I26" s="602"/>
      <c r="J26" s="505"/>
    </row>
    <row r="27" spans="1:12">
      <c r="D27" s="111" t="s">
        <v>1709</v>
      </c>
      <c r="E27" s="111" t="s">
        <v>375</v>
      </c>
      <c r="F27" s="14"/>
      <c r="G27" s="14"/>
      <c r="H27" s="111" t="s">
        <v>1709</v>
      </c>
      <c r="I27" s="600" t="s">
        <v>375</v>
      </c>
      <c r="J27" s="111"/>
    </row>
    <row r="28" spans="1:12">
      <c r="C28" s="600" t="s">
        <v>302</v>
      </c>
      <c r="D28" s="111" t="s">
        <v>375</v>
      </c>
      <c r="E28" s="111" t="s">
        <v>376</v>
      </c>
      <c r="F28" s="14"/>
      <c r="G28" s="111" t="s">
        <v>302</v>
      </c>
      <c r="H28" s="111" t="s">
        <v>375</v>
      </c>
      <c r="I28" s="600" t="s">
        <v>376</v>
      </c>
      <c r="J28" s="111"/>
    </row>
    <row r="29" spans="1:12">
      <c r="C29" s="600" t="s">
        <v>375</v>
      </c>
      <c r="D29" s="111" t="s">
        <v>376</v>
      </c>
      <c r="E29" s="111" t="s">
        <v>377</v>
      </c>
      <c r="F29" s="14"/>
      <c r="G29" s="111" t="s">
        <v>375</v>
      </c>
      <c r="H29" s="111" t="s">
        <v>376</v>
      </c>
      <c r="I29" s="600" t="s">
        <v>377</v>
      </c>
      <c r="J29" s="111"/>
    </row>
    <row r="30" spans="1:12">
      <c r="A30" s="600"/>
      <c r="B30" s="3" t="s">
        <v>193</v>
      </c>
      <c r="C30" s="3" t="s">
        <v>376</v>
      </c>
      <c r="D30" s="125" t="s">
        <v>1710</v>
      </c>
      <c r="E30" s="125" t="s">
        <v>326</v>
      </c>
      <c r="F30" s="14"/>
      <c r="G30" s="125" t="s">
        <v>376</v>
      </c>
      <c r="H30" s="125" t="s">
        <v>1710</v>
      </c>
      <c r="I30" s="3" t="s">
        <v>326</v>
      </c>
      <c r="J30" s="125"/>
    </row>
    <row r="31" spans="1:12">
      <c r="A31" s="600">
        <v>7</v>
      </c>
      <c r="B31">
        <v>2015</v>
      </c>
      <c r="C31" s="1222">
        <v>37069049</v>
      </c>
      <c r="D31" s="1222">
        <v>37069049</v>
      </c>
      <c r="E31" s="1222">
        <v>0</v>
      </c>
      <c r="G31" s="97"/>
      <c r="H31" s="97"/>
      <c r="I31" s="97"/>
      <c r="J31" s="14"/>
    </row>
    <row r="32" spans="1:12">
      <c r="A32" s="600">
        <v>8</v>
      </c>
      <c r="B32">
        <v>2016</v>
      </c>
      <c r="C32" s="1222">
        <v>0</v>
      </c>
      <c r="D32" s="1222">
        <v>0</v>
      </c>
      <c r="E32" s="1222">
        <v>37069049</v>
      </c>
      <c r="G32" s="97"/>
      <c r="H32" s="97"/>
      <c r="I32" s="97"/>
      <c r="J32" s="14"/>
    </row>
    <row r="33" spans="1:10">
      <c r="A33" s="600">
        <v>9</v>
      </c>
      <c r="B33">
        <v>2017</v>
      </c>
      <c r="C33" s="97"/>
      <c r="D33" s="97"/>
      <c r="E33" s="97"/>
      <c r="G33" s="97"/>
      <c r="H33" s="97"/>
      <c r="I33" s="97"/>
      <c r="J33" s="14"/>
    </row>
    <row r="34" spans="1:10">
      <c r="A34" s="600">
        <v>10</v>
      </c>
      <c r="B34">
        <v>2018</v>
      </c>
      <c r="C34" s="97"/>
      <c r="D34" s="97"/>
      <c r="E34" s="97"/>
      <c r="G34" s="97"/>
      <c r="H34" s="97"/>
      <c r="I34" s="97"/>
      <c r="J34" s="14"/>
    </row>
    <row r="35" spans="1:10">
      <c r="A35" s="600">
        <v>11</v>
      </c>
      <c r="B35">
        <v>2019</v>
      </c>
      <c r="C35" s="97"/>
      <c r="D35" s="97"/>
      <c r="E35" s="97"/>
      <c r="G35" s="97"/>
      <c r="H35" s="97"/>
      <c r="I35" s="97"/>
      <c r="J35" s="14"/>
    </row>
    <row r="36" spans="1:10">
      <c r="A36" s="600">
        <v>12</v>
      </c>
      <c r="B36">
        <v>2020</v>
      </c>
      <c r="C36" s="97"/>
      <c r="D36" s="97"/>
      <c r="E36" s="97"/>
      <c r="G36" s="97"/>
      <c r="H36" s="97"/>
      <c r="I36" s="97"/>
      <c r="J36" s="14"/>
    </row>
    <row r="37" spans="1:10">
      <c r="A37" s="600">
        <v>13</v>
      </c>
      <c r="B37">
        <v>2021</v>
      </c>
      <c r="C37" s="97"/>
      <c r="D37" s="97"/>
      <c r="E37" s="97"/>
      <c r="G37" s="97"/>
      <c r="H37" s="97"/>
      <c r="I37" s="97"/>
      <c r="J37" s="14"/>
    </row>
    <row r="38" spans="1:10">
      <c r="A38" s="600">
        <v>14</v>
      </c>
      <c r="B38">
        <v>2022</v>
      </c>
      <c r="C38" s="97"/>
      <c r="D38" s="97"/>
      <c r="E38" s="97"/>
      <c r="G38" s="97"/>
      <c r="H38" s="97"/>
      <c r="I38" s="97"/>
      <c r="J38" s="14"/>
    </row>
    <row r="39" spans="1:10">
      <c r="A39" s="600">
        <v>15</v>
      </c>
      <c r="B39">
        <v>2023</v>
      </c>
      <c r="C39" s="97"/>
      <c r="D39" s="97"/>
      <c r="E39" s="97"/>
      <c r="G39" s="97"/>
      <c r="H39" s="97"/>
      <c r="I39" s="97"/>
      <c r="J39" s="14"/>
    </row>
    <row r="40" spans="1:10">
      <c r="A40" s="600">
        <v>16</v>
      </c>
      <c r="B40">
        <v>2024</v>
      </c>
      <c r="C40" s="97"/>
      <c r="D40" s="97"/>
      <c r="E40" s="97"/>
      <c r="G40" s="97"/>
      <c r="H40" s="97"/>
      <c r="I40" s="97"/>
      <c r="J40" s="14"/>
    </row>
    <row r="41" spans="1:10">
      <c r="A41" s="600">
        <v>17</v>
      </c>
      <c r="B41">
        <v>2025</v>
      </c>
      <c r="C41" s="97"/>
      <c r="D41" s="97"/>
      <c r="E41" s="97"/>
      <c r="G41" s="97"/>
      <c r="H41" s="97"/>
      <c r="I41" s="97"/>
      <c r="J41" s="14"/>
    </row>
    <row r="42" spans="1:10">
      <c r="A42" s="600">
        <v>18</v>
      </c>
      <c r="B42" s="603" t="s">
        <v>513</v>
      </c>
    </row>
    <row r="43" spans="1:10">
      <c r="A43" s="600"/>
      <c r="B43" s="603"/>
    </row>
    <row r="44" spans="1:10">
      <c r="A44" s="600"/>
      <c r="B44" s="44" t="s">
        <v>232</v>
      </c>
      <c r="C44" s="14"/>
      <c r="D44" s="14"/>
      <c r="E44" s="14"/>
      <c r="F44" s="14"/>
      <c r="G44" s="14"/>
      <c r="H44" s="14"/>
      <c r="I44" s="14"/>
      <c r="J44" s="14"/>
    </row>
    <row r="45" spans="1:10">
      <c r="A45" s="600"/>
      <c r="B45" s="505" t="s">
        <v>1711</v>
      </c>
      <c r="C45" s="14"/>
      <c r="D45" s="14"/>
      <c r="E45" s="14"/>
      <c r="F45" s="14"/>
      <c r="G45" s="14"/>
      <c r="H45" s="14"/>
      <c r="I45" s="14"/>
      <c r="J45" s="14"/>
    </row>
    <row r="46" spans="1:10">
      <c r="A46" s="600"/>
      <c r="B46" s="14"/>
      <c r="C46" s="14"/>
      <c r="D46" s="14"/>
      <c r="E46" s="14"/>
      <c r="F46" s="14"/>
      <c r="G46" s="14"/>
      <c r="H46" s="14"/>
      <c r="I46" s="14"/>
      <c r="J46" s="14"/>
    </row>
    <row r="47" spans="1:10">
      <c r="A47" s="600"/>
      <c r="B47" s="44" t="s">
        <v>382</v>
      </c>
      <c r="C47" s="14"/>
      <c r="D47" s="14"/>
      <c r="E47" s="14"/>
      <c r="F47" s="14"/>
      <c r="G47" s="14"/>
      <c r="H47" s="14"/>
      <c r="I47" s="14"/>
      <c r="J47" s="14"/>
    </row>
    <row r="48" spans="1:10">
      <c r="A48" s="600"/>
      <c r="B48" s="505" t="s">
        <v>383</v>
      </c>
      <c r="C48" s="14"/>
      <c r="D48" s="14"/>
      <c r="E48" s="14"/>
      <c r="F48" s="14"/>
      <c r="G48" s="14"/>
      <c r="H48" s="14"/>
      <c r="I48" s="14"/>
      <c r="J48" s="14"/>
    </row>
    <row r="49" spans="1:10">
      <c r="A49" s="600"/>
      <c r="B49" s="502" t="s">
        <v>1712</v>
      </c>
      <c r="C49" s="14"/>
      <c r="D49" s="14"/>
      <c r="E49" s="14"/>
      <c r="F49" s="14"/>
      <c r="G49" s="14"/>
      <c r="H49" s="14"/>
      <c r="I49" s="14"/>
      <c r="J49" s="14"/>
    </row>
    <row r="50" spans="1:10">
      <c r="A50" s="600"/>
      <c r="B50" s="502" t="s">
        <v>1713</v>
      </c>
      <c r="C50" s="14"/>
      <c r="D50" s="14"/>
      <c r="E50" s="14"/>
      <c r="F50" s="14"/>
      <c r="G50" s="14"/>
      <c r="H50" s="14"/>
      <c r="I50" s="14"/>
      <c r="J50" s="14"/>
    </row>
    <row r="51" spans="1:10">
      <c r="A51" s="600"/>
      <c r="B51" s="502" t="s">
        <v>388</v>
      </c>
      <c r="C51" s="14"/>
      <c r="D51" s="14"/>
      <c r="E51" s="14"/>
      <c r="F51" s="14"/>
      <c r="G51" s="14"/>
      <c r="H51" s="14"/>
      <c r="I51" s="14"/>
      <c r="J51" s="14"/>
    </row>
    <row r="52" spans="1:10">
      <c r="A52" s="600"/>
      <c r="B52" s="502" t="s">
        <v>389</v>
      </c>
      <c r="C52" s="14"/>
      <c r="D52" s="14"/>
      <c r="E52" s="14"/>
      <c r="F52" s="14"/>
      <c r="G52" s="14"/>
      <c r="H52" s="14"/>
      <c r="I52" s="14"/>
      <c r="J52" s="14"/>
    </row>
    <row r="53" spans="1:10">
      <c r="B53" s="502" t="s">
        <v>386</v>
      </c>
      <c r="C53" s="14"/>
      <c r="D53" s="14"/>
      <c r="E53" s="14"/>
      <c r="F53" s="14"/>
      <c r="G53" s="14"/>
      <c r="H53" s="14"/>
      <c r="I53" s="14"/>
      <c r="J53" s="14"/>
    </row>
    <row r="54" spans="1:10">
      <c r="B54" s="976" t="s">
        <v>515</v>
      </c>
      <c r="C54" s="14"/>
      <c r="D54" s="14"/>
      <c r="E54" s="14"/>
      <c r="F54" s="14"/>
      <c r="G54" s="14"/>
      <c r="H54" s="14"/>
      <c r="I54" s="14"/>
      <c r="J54" s="14"/>
    </row>
    <row r="55" spans="1:10">
      <c r="B55" s="505" t="s">
        <v>387</v>
      </c>
      <c r="C55" s="14"/>
      <c r="D55" s="14"/>
      <c r="E55" s="14"/>
      <c r="F55" s="14"/>
      <c r="G55" s="14"/>
      <c r="H55" s="14"/>
      <c r="I55" s="14"/>
      <c r="J55" s="14"/>
    </row>
    <row r="56" spans="1:10">
      <c r="B56" s="505" t="s">
        <v>2383</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&amp;RExhibit SCE-4
TO2018 Formula Rate Spreadsheet</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159</v>
      </c>
    </row>
    <row r="4" spans="1:7">
      <c r="C4" s="12" t="s">
        <v>559</v>
      </c>
      <c r="E4" s="18"/>
      <c r="F4" s="28"/>
      <c r="G4" s="27"/>
    </row>
    <row r="5" spans="1:7">
      <c r="C5" s="12" t="s">
        <v>560</v>
      </c>
      <c r="E5" s="18"/>
      <c r="F5" s="28"/>
      <c r="G5" s="27"/>
    </row>
    <row r="6" spans="1:7">
      <c r="E6" s="18"/>
      <c r="F6" s="74"/>
      <c r="G6" s="27"/>
    </row>
    <row r="7" spans="1:7">
      <c r="C7" s="21"/>
      <c r="D7" s="17"/>
      <c r="E7" s="26" t="s">
        <v>194</v>
      </c>
      <c r="F7" s="26" t="s">
        <v>1697</v>
      </c>
      <c r="G7" s="26"/>
    </row>
    <row r="8" spans="1:7">
      <c r="A8" s="53" t="s">
        <v>322</v>
      </c>
      <c r="C8" s="25" t="s">
        <v>192</v>
      </c>
      <c r="D8" s="25" t="s">
        <v>193</v>
      </c>
      <c r="E8" s="25" t="s">
        <v>179</v>
      </c>
      <c r="F8" s="31" t="s">
        <v>1696</v>
      </c>
      <c r="G8" s="29" t="s">
        <v>168</v>
      </c>
    </row>
    <row r="9" spans="1:7">
      <c r="A9" s="2">
        <v>1</v>
      </c>
      <c r="C9" s="19" t="s">
        <v>180</v>
      </c>
      <c r="D9" s="148">
        <v>2015</v>
      </c>
      <c r="E9" s="30" t="s">
        <v>558</v>
      </c>
      <c r="F9" s="1238">
        <v>251648702</v>
      </c>
      <c r="G9" s="30" t="s">
        <v>85</v>
      </c>
    </row>
    <row r="10" spans="1:7">
      <c r="A10" s="111">
        <f>A9+1</f>
        <v>2</v>
      </c>
      <c r="B10" s="14"/>
      <c r="C10" s="924" t="s">
        <v>181</v>
      </c>
      <c r="D10" s="148">
        <v>2016</v>
      </c>
      <c r="E10" s="541" t="s">
        <v>33</v>
      </c>
      <c r="F10" s="1136">
        <v>263918894.15000001</v>
      </c>
      <c r="G10" s="30"/>
    </row>
    <row r="11" spans="1:7">
      <c r="A11" s="111">
        <f t="shared" ref="A11:A21" si="0">A10+1</f>
        <v>3</v>
      </c>
      <c r="B11" s="14"/>
      <c r="C11" s="924" t="s">
        <v>182</v>
      </c>
      <c r="D11" s="148">
        <v>2016</v>
      </c>
      <c r="E11" s="541" t="s">
        <v>33</v>
      </c>
      <c r="F11" s="1136">
        <v>253005820.25999999</v>
      </c>
      <c r="G11" s="30"/>
    </row>
    <row r="12" spans="1:7">
      <c r="A12" s="111">
        <f t="shared" si="0"/>
        <v>4</v>
      </c>
      <c r="B12" s="14"/>
      <c r="C12" s="924" t="s">
        <v>195</v>
      </c>
      <c r="D12" s="148">
        <v>2016</v>
      </c>
      <c r="E12" s="541" t="s">
        <v>33</v>
      </c>
      <c r="F12" s="1136">
        <v>249977460.25999999</v>
      </c>
      <c r="G12" s="30"/>
    </row>
    <row r="13" spans="1:7">
      <c r="A13" s="111">
        <f t="shared" si="0"/>
        <v>5</v>
      </c>
      <c r="B13" s="14"/>
      <c r="C13" s="924" t="s">
        <v>183</v>
      </c>
      <c r="D13" s="148">
        <v>2016</v>
      </c>
      <c r="E13" s="541" t="s">
        <v>33</v>
      </c>
      <c r="F13" s="1136">
        <v>249664713.83000001</v>
      </c>
      <c r="G13" s="30"/>
    </row>
    <row r="14" spans="1:7">
      <c r="A14" s="111">
        <f t="shared" si="0"/>
        <v>6</v>
      </c>
      <c r="B14" s="14"/>
      <c r="C14" s="924" t="s">
        <v>184</v>
      </c>
      <c r="D14" s="148">
        <v>2016</v>
      </c>
      <c r="E14" s="541" t="s">
        <v>33</v>
      </c>
      <c r="F14" s="1136">
        <v>247107782.34</v>
      </c>
      <c r="G14" s="30"/>
    </row>
    <row r="15" spans="1:7">
      <c r="A15" s="111">
        <f t="shared" si="0"/>
        <v>7</v>
      </c>
      <c r="B15" s="14"/>
      <c r="C15" s="924" t="s">
        <v>1483</v>
      </c>
      <c r="D15" s="148">
        <v>2016</v>
      </c>
      <c r="E15" s="541" t="s">
        <v>33</v>
      </c>
      <c r="F15" s="1136">
        <v>248949526.22</v>
      </c>
      <c r="G15" s="30"/>
    </row>
    <row r="16" spans="1:7">
      <c r="A16" s="111">
        <f t="shared" si="0"/>
        <v>8</v>
      </c>
      <c r="B16" s="14"/>
      <c r="C16" s="924" t="s">
        <v>186</v>
      </c>
      <c r="D16" s="148">
        <v>2016</v>
      </c>
      <c r="E16" s="541" t="s">
        <v>33</v>
      </c>
      <c r="F16" s="1136">
        <v>248835535.40000001</v>
      </c>
      <c r="G16" s="30"/>
    </row>
    <row r="17" spans="1:7">
      <c r="A17" s="111">
        <f t="shared" si="0"/>
        <v>9</v>
      </c>
      <c r="B17" s="14"/>
      <c r="C17" s="924" t="s">
        <v>187</v>
      </c>
      <c r="D17" s="148">
        <v>2016</v>
      </c>
      <c r="E17" s="541" t="s">
        <v>33</v>
      </c>
      <c r="F17" s="1136">
        <v>250822798.33000001</v>
      </c>
      <c r="G17" s="30"/>
    </row>
    <row r="18" spans="1:7">
      <c r="A18" s="111">
        <f t="shared" si="0"/>
        <v>10</v>
      </c>
      <c r="B18" s="14"/>
      <c r="C18" s="924" t="s">
        <v>188</v>
      </c>
      <c r="D18" s="148">
        <v>2016</v>
      </c>
      <c r="E18" s="541" t="s">
        <v>33</v>
      </c>
      <c r="F18" s="1136">
        <v>252012869.58000001</v>
      </c>
      <c r="G18" s="30"/>
    </row>
    <row r="19" spans="1:7">
      <c r="A19" s="111">
        <f t="shared" si="0"/>
        <v>11</v>
      </c>
      <c r="B19" s="14"/>
      <c r="C19" s="924" t="s">
        <v>191</v>
      </c>
      <c r="D19" s="148">
        <v>2016</v>
      </c>
      <c r="E19" s="541" t="s">
        <v>33</v>
      </c>
      <c r="F19" s="1136">
        <v>251388826.44999999</v>
      </c>
      <c r="G19" s="30"/>
    </row>
    <row r="20" spans="1:7">
      <c r="A20" s="111">
        <f t="shared" si="0"/>
        <v>12</v>
      </c>
      <c r="B20" s="14"/>
      <c r="C20" s="924" t="s">
        <v>190</v>
      </c>
      <c r="D20" s="148">
        <v>2016</v>
      </c>
      <c r="E20" s="541" t="s">
        <v>33</v>
      </c>
      <c r="F20" s="537">
        <v>251492560.83000001</v>
      </c>
      <c r="G20" s="30"/>
    </row>
    <row r="21" spans="1:7">
      <c r="A21" s="111">
        <f t="shared" si="0"/>
        <v>13</v>
      </c>
      <c r="B21" s="14"/>
      <c r="C21" s="21" t="s">
        <v>180</v>
      </c>
      <c r="D21" s="148">
        <v>2016</v>
      </c>
      <c r="E21" s="30" t="s">
        <v>557</v>
      </c>
      <c r="F21" s="1238">
        <v>237798844</v>
      </c>
      <c r="G21" s="16" t="s">
        <v>89</v>
      </c>
    </row>
    <row r="22" spans="1:7">
      <c r="A22" s="14"/>
      <c r="B22" s="14"/>
      <c r="C22" s="22"/>
      <c r="D22" s="22"/>
      <c r="E22" s="18"/>
      <c r="G22" s="30"/>
    </row>
    <row r="23" spans="1:7">
      <c r="A23" s="111">
        <f>A21+1</f>
        <v>14</v>
      </c>
      <c r="B23" s="14"/>
      <c r="C23" s="22"/>
      <c r="D23" s="22"/>
      <c r="E23" s="539" t="s">
        <v>1849</v>
      </c>
      <c r="F23" s="33">
        <f>SUM(F9:F21)/13</f>
        <v>250509564.12692305</v>
      </c>
      <c r="G23" s="114" t="str">
        <f>"(Sum Line "&amp;A9&amp;" to Line "&amp;A21&amp;") / 13"</f>
        <v>(Sum Line 1 to Line 13) / 13</v>
      </c>
    </row>
    <row r="24" spans="1:7">
      <c r="A24" s="111">
        <f>A23+1</f>
        <v>15</v>
      </c>
      <c r="B24" s="14"/>
      <c r="C24" s="22"/>
      <c r="D24" s="22"/>
      <c r="E24" s="34" t="s">
        <v>312</v>
      </c>
      <c r="F24" s="109">
        <f>'27-Allocators'!G14</f>
        <v>6.1650013139118928E-2</v>
      </c>
      <c r="G24" s="114" t="str">
        <f>"27-Allocators, Line "&amp;'27-Allocators'!A14&amp;""</f>
        <v>27-Allocators, Line 9</v>
      </c>
    </row>
    <row r="25" spans="1:7">
      <c r="A25" s="14"/>
      <c r="B25" s="14"/>
      <c r="C25" s="14"/>
      <c r="D25" s="22"/>
      <c r="E25" s="34"/>
      <c r="F25" s="33"/>
      <c r="G25" s="16"/>
    </row>
    <row r="26" spans="1:7">
      <c r="A26" s="111">
        <f>A24+1</f>
        <v>16</v>
      </c>
      <c r="B26" s="14"/>
      <c r="C26" s="22" t="s">
        <v>91</v>
      </c>
      <c r="D26" s="22"/>
      <c r="E26" s="368" t="s">
        <v>156</v>
      </c>
      <c r="F26" s="33">
        <f>F21*F24</f>
        <v>14660301.857067293</v>
      </c>
      <c r="G26" s="13" t="str">
        <f>"Line "&amp;A21&amp;" * Line "&amp;A24&amp;""</f>
        <v>Line 13 * Line 15</v>
      </c>
    </row>
    <row r="27" spans="1:7">
      <c r="A27" s="111">
        <f>A26+1</f>
        <v>17</v>
      </c>
      <c r="B27" s="14"/>
      <c r="C27" s="22"/>
      <c r="D27" s="22"/>
      <c r="E27" s="539" t="s">
        <v>1850</v>
      </c>
      <c r="F27" s="33">
        <f>F23*F24</f>
        <v>15443917.919899762</v>
      </c>
      <c r="G27" s="13" t="str">
        <f>"Line "&amp;A23&amp;" * Line "&amp;A24&amp;""</f>
        <v>Line 14 * Line 15</v>
      </c>
    </row>
    <row r="28" spans="1:7">
      <c r="A28" s="14"/>
      <c r="B28" s="14"/>
      <c r="C28" s="14"/>
      <c r="D28" s="14"/>
      <c r="E28" s="14"/>
      <c r="F28" s="14"/>
    </row>
    <row r="29" spans="1:7">
      <c r="A29" s="14"/>
      <c r="B29" s="44" t="s">
        <v>158</v>
      </c>
      <c r="C29" s="14"/>
      <c r="D29" s="14"/>
      <c r="E29" s="14"/>
      <c r="F29" s="14"/>
    </row>
    <row r="30" spans="1:7">
      <c r="A30" s="14"/>
      <c r="B30" s="14"/>
      <c r="C30" s="14" t="s">
        <v>7</v>
      </c>
      <c r="D30" s="14"/>
      <c r="E30" s="548"/>
      <c r="F30" s="28"/>
      <c r="G30" s="27"/>
    </row>
    <row r="31" spans="1:7">
      <c r="A31" s="14"/>
      <c r="B31" s="14"/>
      <c r="C31" s="14" t="s">
        <v>1786</v>
      </c>
      <c r="D31" s="14"/>
      <c r="E31" s="548"/>
      <c r="F31" s="28"/>
      <c r="G31" s="27"/>
    </row>
    <row r="32" spans="1:7">
      <c r="C32" s="21"/>
      <c r="D32" s="17"/>
      <c r="E32" s="26" t="s">
        <v>194</v>
      </c>
      <c r="F32" s="74" t="s">
        <v>244</v>
      </c>
      <c r="G32" s="26"/>
    </row>
    <row r="33" spans="1:11">
      <c r="C33" s="25" t="s">
        <v>192</v>
      </c>
      <c r="D33" s="25" t="s">
        <v>193</v>
      </c>
      <c r="E33" s="25" t="s">
        <v>179</v>
      </c>
      <c r="F33" s="31" t="s">
        <v>2</v>
      </c>
      <c r="G33" s="29" t="s">
        <v>168</v>
      </c>
    </row>
    <row r="34" spans="1:11">
      <c r="A34" s="111">
        <f>A27+1</f>
        <v>18</v>
      </c>
      <c r="B34" s="14"/>
      <c r="C34" s="291" t="s">
        <v>180</v>
      </c>
      <c r="D34" s="148">
        <v>2015</v>
      </c>
      <c r="E34" s="1223" t="s">
        <v>2393</v>
      </c>
      <c r="F34" s="63">
        <f>F63</f>
        <v>91007488</v>
      </c>
      <c r="G34" s="1223" t="s">
        <v>2391</v>
      </c>
    </row>
    <row r="35" spans="1:11">
      <c r="A35" s="111">
        <f>A34+1</f>
        <v>19</v>
      </c>
      <c r="B35" s="14"/>
      <c r="C35" s="924" t="s">
        <v>181</v>
      </c>
      <c r="D35" s="148">
        <v>2016</v>
      </c>
      <c r="E35" s="541" t="s">
        <v>33</v>
      </c>
      <c r="F35" s="1136">
        <v>94125415.870000005</v>
      </c>
      <c r="G35" s="1223"/>
      <c r="J35" s="7"/>
      <c r="K35" s="7"/>
    </row>
    <row r="36" spans="1:11">
      <c r="A36" s="111">
        <f t="shared" ref="A36:A46" si="1">A35+1</f>
        <v>20</v>
      </c>
      <c r="B36" s="14"/>
      <c r="C36" s="924" t="s">
        <v>182</v>
      </c>
      <c r="D36" s="148">
        <v>2016</v>
      </c>
      <c r="E36" s="541" t="s">
        <v>33</v>
      </c>
      <c r="F36" s="1136">
        <v>82464132.340000004</v>
      </c>
      <c r="G36" s="1223"/>
      <c r="J36" s="7"/>
      <c r="K36" s="7"/>
    </row>
    <row r="37" spans="1:11">
      <c r="A37" s="111">
        <f t="shared" si="1"/>
        <v>21</v>
      </c>
      <c r="B37" s="14"/>
      <c r="C37" s="924" t="s">
        <v>195</v>
      </c>
      <c r="D37" s="148">
        <v>2016</v>
      </c>
      <c r="E37" s="541" t="s">
        <v>33</v>
      </c>
      <c r="F37" s="1136">
        <v>73891432.010000005</v>
      </c>
      <c r="G37" s="1223"/>
      <c r="J37" s="7"/>
      <c r="K37" s="7"/>
    </row>
    <row r="38" spans="1:11">
      <c r="A38" s="111">
        <f t="shared" si="1"/>
        <v>22</v>
      </c>
      <c r="B38" s="14"/>
      <c r="C38" s="924" t="s">
        <v>183</v>
      </c>
      <c r="D38" s="148">
        <v>2016</v>
      </c>
      <c r="E38" s="541" t="s">
        <v>33</v>
      </c>
      <c r="F38" s="1136">
        <v>109166805</v>
      </c>
      <c r="G38" s="1223"/>
      <c r="J38" s="7"/>
      <c r="K38" s="7"/>
    </row>
    <row r="39" spans="1:11">
      <c r="A39" s="111">
        <f t="shared" si="1"/>
        <v>23</v>
      </c>
      <c r="B39" s="14"/>
      <c r="C39" s="924" t="s">
        <v>184</v>
      </c>
      <c r="D39" s="148">
        <v>2016</v>
      </c>
      <c r="E39" s="541" t="s">
        <v>33</v>
      </c>
      <c r="F39" s="1136">
        <v>79044869.870000005</v>
      </c>
      <c r="G39" s="1223"/>
      <c r="J39" s="7"/>
      <c r="K39" s="7"/>
    </row>
    <row r="40" spans="1:11">
      <c r="A40" s="111">
        <f t="shared" si="1"/>
        <v>24</v>
      </c>
      <c r="B40" s="14"/>
      <c r="C40" s="924" t="s">
        <v>1483</v>
      </c>
      <c r="D40" s="148">
        <v>2016</v>
      </c>
      <c r="E40" s="541" t="s">
        <v>33</v>
      </c>
      <c r="F40" s="1136">
        <v>52816887.18</v>
      </c>
      <c r="G40" s="1223"/>
      <c r="J40" s="7"/>
      <c r="K40" s="7"/>
    </row>
    <row r="41" spans="1:11">
      <c r="A41" s="111">
        <f t="shared" si="1"/>
        <v>25</v>
      </c>
      <c r="B41" s="14"/>
      <c r="C41" s="924" t="s">
        <v>186</v>
      </c>
      <c r="D41" s="148">
        <v>2016</v>
      </c>
      <c r="E41" s="541" t="s">
        <v>33</v>
      </c>
      <c r="F41" s="1136">
        <v>92736372.700000003</v>
      </c>
      <c r="G41" s="1223"/>
      <c r="J41" s="7"/>
      <c r="K41" s="7"/>
    </row>
    <row r="42" spans="1:11">
      <c r="A42" s="111">
        <f t="shared" si="1"/>
        <v>26</v>
      </c>
      <c r="B42" s="14"/>
      <c r="C42" s="924" t="s">
        <v>187</v>
      </c>
      <c r="D42" s="148">
        <v>2016</v>
      </c>
      <c r="E42" s="541" t="s">
        <v>33</v>
      </c>
      <c r="F42" s="1136">
        <v>87831660.129999995</v>
      </c>
      <c r="G42" s="1223"/>
      <c r="J42" s="7"/>
      <c r="K42" s="7"/>
    </row>
    <row r="43" spans="1:11">
      <c r="A43" s="111">
        <f t="shared" si="1"/>
        <v>27</v>
      </c>
      <c r="B43" s="14"/>
      <c r="C43" s="924" t="s">
        <v>188</v>
      </c>
      <c r="D43" s="148">
        <v>2016</v>
      </c>
      <c r="E43" s="541" t="s">
        <v>33</v>
      </c>
      <c r="F43" s="1136">
        <v>68578067.25</v>
      </c>
      <c r="G43" s="1223"/>
      <c r="J43" s="7"/>
      <c r="K43" s="7"/>
    </row>
    <row r="44" spans="1:11">
      <c r="A44" s="111">
        <f t="shared" si="1"/>
        <v>28</v>
      </c>
      <c r="B44" s="14"/>
      <c r="C44" s="924" t="s">
        <v>191</v>
      </c>
      <c r="D44" s="148">
        <v>2016</v>
      </c>
      <c r="E44" s="541" t="s">
        <v>33</v>
      </c>
      <c r="F44" s="1136">
        <v>66851094.119999997</v>
      </c>
      <c r="G44" s="1223"/>
      <c r="J44" s="7"/>
      <c r="K44" s="7"/>
    </row>
    <row r="45" spans="1:11">
      <c r="A45" s="111">
        <f t="shared" si="1"/>
        <v>29</v>
      </c>
      <c r="B45" s="14"/>
      <c r="C45" s="924" t="s">
        <v>190</v>
      </c>
      <c r="D45" s="148">
        <v>2016</v>
      </c>
      <c r="E45" s="541" t="s">
        <v>33</v>
      </c>
      <c r="F45" s="117">
        <v>77479881.609999999</v>
      </c>
      <c r="G45" s="1223"/>
      <c r="J45" s="7"/>
      <c r="K45" s="7"/>
    </row>
    <row r="46" spans="1:11">
      <c r="A46" s="111">
        <f t="shared" si="1"/>
        <v>30</v>
      </c>
      <c r="B46" s="14"/>
      <c r="C46" s="21" t="s">
        <v>180</v>
      </c>
      <c r="D46" s="148">
        <v>2016</v>
      </c>
      <c r="E46" s="1223" t="s">
        <v>2394</v>
      </c>
      <c r="F46" s="63">
        <f>F69</f>
        <v>99369093</v>
      </c>
      <c r="G46" s="1223" t="s">
        <v>2392</v>
      </c>
    </row>
    <row r="47" spans="1:11">
      <c r="A47" s="14"/>
      <c r="B47" s="14"/>
      <c r="C47" s="21"/>
      <c r="D47" s="24"/>
      <c r="E47" s="23"/>
      <c r="F47" s="33"/>
      <c r="G47" s="16"/>
    </row>
    <row r="48" spans="1:11">
      <c r="A48" s="14"/>
      <c r="B48" s="14"/>
      <c r="C48" s="670" t="s">
        <v>1784</v>
      </c>
      <c r="D48" s="670"/>
      <c r="E48" s="1001"/>
      <c r="F48" s="14"/>
      <c r="G48" s="30"/>
    </row>
    <row r="49" spans="1:8">
      <c r="A49" s="111">
        <f>A46+1</f>
        <v>31</v>
      </c>
      <c r="B49" s="14"/>
      <c r="C49" s="22"/>
      <c r="D49" s="22"/>
      <c r="E49" s="710" t="s">
        <v>1785</v>
      </c>
      <c r="F49" s="1000">
        <f>SUM(F34:F46)/13</f>
        <v>82720246.083076924</v>
      </c>
      <c r="G49" s="114" t="str">
        <f>"(Sum Line "&amp;A34&amp;" to Line "&amp;A46&amp;") / 13"</f>
        <v>(Sum Line 18 to Line 30) / 13</v>
      </c>
    </row>
    <row r="50" spans="1:8">
      <c r="A50" s="111">
        <f>A49+1</f>
        <v>32</v>
      </c>
      <c r="B50" s="14"/>
      <c r="C50" s="22"/>
      <c r="D50" s="22"/>
      <c r="E50" s="34" t="s">
        <v>312</v>
      </c>
      <c r="F50" s="36">
        <f>'27-Allocators'!G14</f>
        <v>6.1650013139118928E-2</v>
      </c>
      <c r="G50" s="114" t="str">
        <f>"27-Allocators, Line "&amp;'27-Allocators'!A14&amp;""</f>
        <v>27-Allocators, Line 9</v>
      </c>
    </row>
    <row r="51" spans="1:8">
      <c r="A51" s="111">
        <f>A50+1</f>
        <v>33</v>
      </c>
      <c r="B51" s="14"/>
      <c r="C51" s="22"/>
      <c r="D51" s="22"/>
      <c r="E51" s="1002" t="s">
        <v>162</v>
      </c>
      <c r="F51" s="33">
        <f>F49*F50</f>
        <v>5099704.2578928433</v>
      </c>
      <c r="G51" s="46" t="str">
        <f>"Line "&amp;A49&amp;" * Line "&amp;A50&amp;""</f>
        <v>Line 31 * Line 32</v>
      </c>
    </row>
    <row r="52" spans="1:8">
      <c r="A52" s="14"/>
      <c r="B52" s="14"/>
      <c r="C52" s="22" t="s">
        <v>243</v>
      </c>
      <c r="D52" s="22"/>
      <c r="E52" s="548"/>
      <c r="F52" s="14"/>
      <c r="G52" s="35"/>
    </row>
    <row r="53" spans="1:8">
      <c r="A53" s="111">
        <f>A51+1</f>
        <v>34</v>
      </c>
      <c r="B53" s="14"/>
      <c r="C53" s="22"/>
      <c r="D53" s="22"/>
      <c r="E53" s="34" t="s">
        <v>156</v>
      </c>
      <c r="F53" s="33">
        <f>F46</f>
        <v>99369093</v>
      </c>
      <c r="G53" s="35" t="str">
        <f>"Line "&amp;A46&amp;""</f>
        <v>Line 30</v>
      </c>
    </row>
    <row r="54" spans="1:8">
      <c r="A54" s="111">
        <f>A53+1</f>
        <v>35</v>
      </c>
      <c r="B54" s="14"/>
      <c r="C54" s="22"/>
      <c r="D54" s="22"/>
      <c r="E54" s="34" t="s">
        <v>312</v>
      </c>
      <c r="F54" s="36">
        <f>'27-Allocators'!G14</f>
        <v>6.1650013139118928E-2</v>
      </c>
      <c r="G54" s="114" t="str">
        <f>"27-Allocators, Line "&amp;'27-Allocators'!A14&amp;""</f>
        <v>27-Allocators, Line 9</v>
      </c>
    </row>
    <row r="55" spans="1:8">
      <c r="A55" s="111">
        <f>A54+1</f>
        <v>36</v>
      </c>
      <c r="B55" s="14"/>
      <c r="C55" s="22"/>
      <c r="D55" s="22"/>
      <c r="E55" s="32" t="s">
        <v>162</v>
      </c>
      <c r="F55" s="33">
        <f>F53*F54</f>
        <v>6126105.8890723307</v>
      </c>
      <c r="G55" s="13" t="str">
        <f>"Line "&amp;A53&amp;" * Line "&amp;A54&amp;""</f>
        <v>Line 34 * Line 35</v>
      </c>
    </row>
    <row r="56" spans="1:8">
      <c r="B56" s="51" t="s">
        <v>232</v>
      </c>
      <c r="C56" s="505"/>
      <c r="D56" s="503"/>
      <c r="E56" s="505"/>
      <c r="F56" s="503"/>
      <c r="G56" s="503"/>
    </row>
    <row r="57" spans="1:8">
      <c r="B57" s="503" t="s">
        <v>2395</v>
      </c>
      <c r="C57" s="505" t="str">
        <f>"Remove any amounts related to years prior to 2012 on "&amp;B62&amp;" and "&amp;B68&amp;" below."</f>
        <v>Remove any amounts related to years prior to 2012 on b and e below.</v>
      </c>
      <c r="D57" s="503"/>
      <c r="E57" s="505"/>
      <c r="F57" s="503"/>
      <c r="G57" s="503"/>
    </row>
    <row r="58" spans="1:8">
      <c r="A58" s="2"/>
      <c r="B58" s="503"/>
      <c r="C58" s="505"/>
      <c r="D58" s="503"/>
      <c r="E58" s="969"/>
      <c r="F58" s="510"/>
      <c r="G58" s="507"/>
      <c r="H58" s="1"/>
    </row>
    <row r="59" spans="1:8">
      <c r="A59" s="2"/>
      <c r="B59" s="503"/>
      <c r="C59" s="505" t="s">
        <v>2396</v>
      </c>
      <c r="D59" s="503"/>
      <c r="E59" s="969"/>
      <c r="F59" s="1224" t="s">
        <v>92</v>
      </c>
      <c r="G59" s="502"/>
    </row>
    <row r="60" spans="1:8">
      <c r="A60" s="2"/>
      <c r="B60" s="503"/>
      <c r="C60" s="505"/>
      <c r="D60" s="503"/>
      <c r="E60" s="969"/>
      <c r="F60" s="674" t="s">
        <v>2</v>
      </c>
      <c r="G60" s="409" t="s">
        <v>179</v>
      </c>
    </row>
    <row r="61" spans="1:8">
      <c r="A61" s="598"/>
      <c r="B61" s="600" t="s">
        <v>1700</v>
      </c>
      <c r="C61" s="1225"/>
      <c r="D61" s="503"/>
      <c r="E61" s="969" t="s">
        <v>2397</v>
      </c>
      <c r="F61" s="1238">
        <v>91007488</v>
      </c>
      <c r="G61" s="1223" t="s">
        <v>160</v>
      </c>
    </row>
    <row r="62" spans="1:8">
      <c r="A62" s="598"/>
      <c r="B62" s="600" t="s">
        <v>1701</v>
      </c>
      <c r="C62" s="505"/>
      <c r="D62" s="503"/>
      <c r="E62" s="969" t="s">
        <v>2398</v>
      </c>
      <c r="F62" s="117">
        <v>0</v>
      </c>
      <c r="G62" s="507" t="s">
        <v>364</v>
      </c>
    </row>
    <row r="63" spans="1:8">
      <c r="A63" s="598"/>
      <c r="B63" s="600" t="s">
        <v>1702</v>
      </c>
      <c r="C63" s="505"/>
      <c r="D63" s="503"/>
      <c r="E63" s="969" t="s">
        <v>2399</v>
      </c>
      <c r="F63" s="1226">
        <f>F61-F62</f>
        <v>91007488</v>
      </c>
      <c r="G63" s="507" t="str">
        <f>""&amp;B61&amp;" - "&amp;B62&amp;""</f>
        <v>a - b</v>
      </c>
    </row>
    <row r="64" spans="1:8">
      <c r="A64" s="598"/>
      <c r="B64" s="503"/>
      <c r="C64" s="505"/>
      <c r="D64" s="503"/>
      <c r="E64" s="505"/>
      <c r="F64" s="503"/>
      <c r="G64" s="503"/>
    </row>
    <row r="65" spans="1:7">
      <c r="A65" s="598"/>
      <c r="B65" s="503"/>
      <c r="C65" s="505" t="s">
        <v>2400</v>
      </c>
      <c r="D65" s="503"/>
      <c r="E65" s="969"/>
      <c r="F65" s="1224" t="s">
        <v>92</v>
      </c>
      <c r="G65" s="502"/>
    </row>
    <row r="66" spans="1:7">
      <c r="A66" s="598"/>
      <c r="B66" s="503"/>
      <c r="C66" s="505"/>
      <c r="D66" s="503"/>
      <c r="E66" s="969"/>
      <c r="F66" s="674" t="s">
        <v>2</v>
      </c>
      <c r="G66" s="409" t="s">
        <v>179</v>
      </c>
    </row>
    <row r="67" spans="1:7">
      <c r="A67" s="598"/>
      <c r="B67" s="600" t="s">
        <v>1703</v>
      </c>
      <c r="C67" s="1225"/>
      <c r="D67" s="503"/>
      <c r="E67" s="969" t="s">
        <v>2397</v>
      </c>
      <c r="F67" s="1238">
        <v>114171737</v>
      </c>
      <c r="G67" s="1223" t="s">
        <v>161</v>
      </c>
    </row>
    <row r="68" spans="1:7">
      <c r="A68" s="598"/>
      <c r="B68" s="600" t="s">
        <v>1704</v>
      </c>
      <c r="C68" s="505"/>
      <c r="D68" s="503"/>
      <c r="E68" s="969" t="s">
        <v>2398</v>
      </c>
      <c r="F68" s="117">
        <v>14802644</v>
      </c>
      <c r="G68" s="507" t="s">
        <v>364</v>
      </c>
    </row>
    <row r="69" spans="1:7">
      <c r="A69" s="598"/>
      <c r="B69" s="600" t="s">
        <v>1705</v>
      </c>
      <c r="C69" s="505"/>
      <c r="D69" s="505"/>
      <c r="E69" s="969" t="s">
        <v>2401</v>
      </c>
      <c r="F69" s="1226">
        <f>F67-F68</f>
        <v>99369093</v>
      </c>
      <c r="G69" s="507" t="str">
        <f>""&amp;B67&amp;" - "&amp;B68&amp;""</f>
        <v>d - e</v>
      </c>
    </row>
    <row r="73" spans="1:7">
      <c r="F73" s="599"/>
    </row>
  </sheetData>
  <phoneticPr fontId="23" type="noConversion"/>
  <pageMargins left="0.75" right="0.75" top="1" bottom="1" header="0.5" footer="0.5"/>
  <pageSetup scale="73" orientation="portrait" cellComments="asDisplayed" r:id="rId1"/>
  <headerFooter alignWithMargins="0">
    <oddHeader>&amp;CSchedule 13
Working Capital
&amp;RExhibit SCE-4
TO2018 Formula Rate Spreadsheet</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1146</v>
      </c>
      <c r="C1" s="1"/>
    </row>
    <row r="3" spans="1:4">
      <c r="B3" s="3" t="s">
        <v>1147</v>
      </c>
      <c r="C3" s="3" t="s">
        <v>1215</v>
      </c>
      <c r="D3" s="409" t="s">
        <v>528</v>
      </c>
    </row>
    <row r="4" spans="1:4">
      <c r="B4" s="378" t="s">
        <v>1091</v>
      </c>
      <c r="C4" s="61"/>
      <c r="D4" s="12" t="s">
        <v>1149</v>
      </c>
    </row>
    <row r="5" spans="1:4">
      <c r="B5" s="619" t="s">
        <v>1148</v>
      </c>
      <c r="C5" s="61">
        <v>1</v>
      </c>
      <c r="D5" s="503" t="s">
        <v>2210</v>
      </c>
    </row>
    <row r="6" spans="1:4">
      <c r="B6" s="619" t="s">
        <v>1102</v>
      </c>
      <c r="C6" s="61">
        <v>2</v>
      </c>
      <c r="D6" s="12" t="s">
        <v>1156</v>
      </c>
    </row>
    <row r="7" spans="1:4">
      <c r="B7" s="619" t="s">
        <v>1103</v>
      </c>
      <c r="C7" s="61">
        <v>3</v>
      </c>
      <c r="D7" s="12" t="s">
        <v>1157</v>
      </c>
    </row>
    <row r="8" spans="1:4">
      <c r="B8" s="619" t="s">
        <v>1506</v>
      </c>
      <c r="C8" s="61">
        <v>4</v>
      </c>
      <c r="D8" s="503" t="s">
        <v>1507</v>
      </c>
    </row>
    <row r="9" spans="1:4">
      <c r="B9" s="619" t="s">
        <v>1092</v>
      </c>
      <c r="C9" s="61">
        <v>5</v>
      </c>
      <c r="D9" s="12" t="s">
        <v>1150</v>
      </c>
    </row>
    <row r="10" spans="1:4">
      <c r="B10" s="619" t="s">
        <v>1095</v>
      </c>
      <c r="C10" s="61">
        <v>6</v>
      </c>
      <c r="D10" s="12" t="s">
        <v>1153</v>
      </c>
    </row>
    <row r="11" spans="1:4">
      <c r="B11" s="619" t="s">
        <v>1096</v>
      </c>
      <c r="C11" s="61">
        <v>7</v>
      </c>
      <c r="D11" s="12" t="s">
        <v>1453</v>
      </c>
    </row>
    <row r="12" spans="1:4">
      <c r="B12" s="619" t="s">
        <v>1105</v>
      </c>
      <c r="C12" s="61">
        <v>8</v>
      </c>
      <c r="D12" s="12" t="s">
        <v>1158</v>
      </c>
    </row>
    <row r="13" spans="1:4">
      <c r="B13" s="619" t="s">
        <v>201</v>
      </c>
      <c r="C13" s="61">
        <v>9</v>
      </c>
      <c r="D13" s="12" t="s">
        <v>98</v>
      </c>
    </row>
    <row r="14" spans="1:4">
      <c r="B14" s="619" t="s">
        <v>1</v>
      </c>
      <c r="C14" s="61">
        <v>10</v>
      </c>
      <c r="D14" s="503" t="s">
        <v>2211</v>
      </c>
    </row>
    <row r="15" spans="1:4">
      <c r="B15" s="619" t="s">
        <v>1097</v>
      </c>
      <c r="C15" s="61">
        <v>11</v>
      </c>
      <c r="D15" s="12" t="s">
        <v>1201</v>
      </c>
    </row>
    <row r="16" spans="1:4">
      <c r="B16" s="619" t="s">
        <v>1098</v>
      </c>
      <c r="C16" s="61">
        <v>12</v>
      </c>
      <c r="D16" s="12" t="s">
        <v>1154</v>
      </c>
    </row>
    <row r="17" spans="2:4">
      <c r="B17" s="619" t="s">
        <v>1104</v>
      </c>
      <c r="C17" s="61">
        <v>13</v>
      </c>
      <c r="D17" s="12" t="s">
        <v>1168</v>
      </c>
    </row>
    <row r="18" spans="2:4">
      <c r="B18" s="619" t="s">
        <v>1099</v>
      </c>
      <c r="C18" s="61">
        <v>14</v>
      </c>
      <c r="D18" s="12" t="s">
        <v>1155</v>
      </c>
    </row>
    <row r="19" spans="2:4">
      <c r="B19" s="619" t="s">
        <v>1100</v>
      </c>
      <c r="C19" s="61">
        <v>15</v>
      </c>
      <c r="D19" s="503" t="s">
        <v>1708</v>
      </c>
    </row>
    <row r="20" spans="2:4">
      <c r="B20" s="619" t="s">
        <v>1101</v>
      </c>
      <c r="C20" s="61">
        <v>16</v>
      </c>
      <c r="D20" s="12" t="s">
        <v>1208</v>
      </c>
    </row>
    <row r="21" spans="2:4">
      <c r="B21" s="619" t="s">
        <v>1093</v>
      </c>
      <c r="C21" s="61">
        <v>17</v>
      </c>
      <c r="D21" s="12" t="s">
        <v>1151</v>
      </c>
    </row>
    <row r="22" spans="2:4">
      <c r="B22" s="619" t="s">
        <v>1094</v>
      </c>
      <c r="C22" s="61">
        <v>18</v>
      </c>
      <c r="D22" s="12" t="s">
        <v>1152</v>
      </c>
    </row>
    <row r="23" spans="2:4">
      <c r="B23" s="619" t="s">
        <v>1106</v>
      </c>
      <c r="C23" s="61">
        <v>19</v>
      </c>
      <c r="D23" s="12" t="s">
        <v>1159</v>
      </c>
    </row>
    <row r="24" spans="2:4">
      <c r="B24" s="619" t="s">
        <v>1107</v>
      </c>
      <c r="C24" s="61">
        <v>20</v>
      </c>
      <c r="D24" s="503" t="s">
        <v>282</v>
      </c>
    </row>
    <row r="25" spans="2:4">
      <c r="B25" s="619" t="s">
        <v>1125</v>
      </c>
      <c r="C25" s="61">
        <v>21</v>
      </c>
      <c r="D25" s="12" t="s">
        <v>1160</v>
      </c>
    </row>
    <row r="26" spans="2:4">
      <c r="B26" s="619" t="s">
        <v>1126</v>
      </c>
      <c r="C26" s="61">
        <v>22</v>
      </c>
      <c r="D26" s="12" t="s">
        <v>1207</v>
      </c>
    </row>
    <row r="27" spans="2:4">
      <c r="B27" s="619" t="s">
        <v>1127</v>
      </c>
      <c r="C27" s="61">
        <v>23</v>
      </c>
      <c r="D27" s="12" t="s">
        <v>1161</v>
      </c>
    </row>
    <row r="28" spans="2:4" ht="12.75" customHeight="1">
      <c r="B28" s="619" t="s">
        <v>1440</v>
      </c>
      <c r="C28" s="61">
        <v>24</v>
      </c>
      <c r="D28" s="12" t="s">
        <v>1441</v>
      </c>
    </row>
    <row r="29" spans="2:4">
      <c r="B29" s="619" t="s">
        <v>1381</v>
      </c>
      <c r="C29" s="61">
        <v>25</v>
      </c>
      <c r="D29" s="12" t="s">
        <v>1382</v>
      </c>
    </row>
    <row r="30" spans="2:4">
      <c r="B30" s="619" t="s">
        <v>1130</v>
      </c>
      <c r="C30" s="61">
        <v>26</v>
      </c>
      <c r="D30" s="12" t="s">
        <v>1162</v>
      </c>
    </row>
    <row r="31" spans="2:4">
      <c r="B31" s="619" t="s">
        <v>1129</v>
      </c>
      <c r="C31" s="61">
        <v>27</v>
      </c>
      <c r="D31" s="12" t="s">
        <v>202</v>
      </c>
    </row>
    <row r="32" spans="2:4">
      <c r="B32" s="619" t="s">
        <v>1128</v>
      </c>
      <c r="C32" s="61">
        <v>28</v>
      </c>
      <c r="D32" s="12" t="s">
        <v>1163</v>
      </c>
    </row>
    <row r="33" spans="2:4">
      <c r="B33" s="619" t="s">
        <v>1131</v>
      </c>
      <c r="C33" s="61">
        <v>29</v>
      </c>
      <c r="D33" s="12" t="s">
        <v>1164</v>
      </c>
    </row>
    <row r="34" spans="2:4">
      <c r="B34" s="619" t="s">
        <v>1132</v>
      </c>
      <c r="C34" s="61">
        <v>30</v>
      </c>
      <c r="D34" s="12" t="s">
        <v>1209</v>
      </c>
    </row>
    <row r="35" spans="2:4">
      <c r="B35" s="619" t="s">
        <v>1133</v>
      </c>
      <c r="C35" s="61">
        <v>31</v>
      </c>
      <c r="D35" s="12" t="s">
        <v>1165</v>
      </c>
    </row>
    <row r="36" spans="2:4">
      <c r="B36" s="619" t="s">
        <v>1134</v>
      </c>
      <c r="C36" s="61">
        <v>32</v>
      </c>
      <c r="D36" s="12" t="s">
        <v>1166</v>
      </c>
    </row>
    <row r="37" spans="2:4">
      <c r="B37" s="619" t="s">
        <v>1135</v>
      </c>
      <c r="C37" s="494">
        <v>33</v>
      </c>
      <c r="D37" s="12" t="s">
        <v>1167</v>
      </c>
    </row>
    <row r="38" spans="2:4">
      <c r="B38" s="619" t="s">
        <v>1996</v>
      </c>
      <c r="C38" s="965">
        <v>34</v>
      </c>
      <c r="D38" s="505" t="s">
        <v>2020</v>
      </c>
    </row>
    <row r="39" spans="2:4">
      <c r="B39" s="12"/>
    </row>
    <row r="40" spans="2:4">
      <c r="B40" s="12"/>
    </row>
    <row r="41" spans="2:4">
      <c r="B41" s="12"/>
    </row>
    <row r="42" spans="2:4">
      <c r="B42"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8" location="'34-UnfundedReserves'!Print_Area" display="Unfunded Reserves"/>
  </hyperlinks>
  <pageMargins left="0.7" right="0.7" top="0.75" bottom="0.75" header="0.3" footer="0.3"/>
  <pageSetup scale="90" orientation="portrait" cellComments="asDisplayed" r:id="rId1"/>
  <headerFooter>
    <oddHeader>&amp;RExhibit SCE-4
TO2018 Formula Rate Spreadsheet</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2"/>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246</v>
      </c>
    </row>
    <row r="2" spans="1:10">
      <c r="A2" s="1" t="s">
        <v>247</v>
      </c>
    </row>
    <row r="3" spans="1:10">
      <c r="B3" s="1"/>
      <c r="H3" s="188" t="s">
        <v>248</v>
      </c>
      <c r="I3" s="97"/>
      <c r="J3" s="56"/>
    </row>
    <row r="4" spans="1:10">
      <c r="B4" s="1" t="s">
        <v>249</v>
      </c>
    </row>
    <row r="5" spans="1:10">
      <c r="B5" s="55" t="s">
        <v>250</v>
      </c>
    </row>
    <row r="6" spans="1:10">
      <c r="B6" s="55" t="s">
        <v>300</v>
      </c>
    </row>
    <row r="7" spans="1:10">
      <c r="B7" s="103" t="s">
        <v>1004</v>
      </c>
    </row>
    <row r="8" spans="1:10">
      <c r="B8" s="103" t="s">
        <v>1508</v>
      </c>
    </row>
    <row r="9" spans="1:10">
      <c r="B9" s="103" t="s">
        <v>1509</v>
      </c>
      <c r="D9" s="1"/>
      <c r="E9" s="1"/>
    </row>
    <row r="10" spans="1:10">
      <c r="B10" s="55"/>
    </row>
    <row r="11" spans="1:10">
      <c r="B11" s="55"/>
      <c r="C11" s="12" t="s">
        <v>360</v>
      </c>
    </row>
    <row r="12" spans="1:10">
      <c r="B12" s="55"/>
      <c r="C12" s="507" t="s">
        <v>1511</v>
      </c>
    </row>
    <row r="13" spans="1:10">
      <c r="B13" s="55"/>
      <c r="C13" s="502" t="s">
        <v>1799</v>
      </c>
      <c r="D13" s="14"/>
      <c r="E13" s="14"/>
      <c r="F13" s="14"/>
      <c r="G13" s="14"/>
      <c r="H13" s="14"/>
      <c r="I13" s="14"/>
    </row>
    <row r="14" spans="1:10">
      <c r="B14" s="55"/>
      <c r="C14" s="502" t="s">
        <v>1512</v>
      </c>
      <c r="D14" s="14"/>
      <c r="E14" s="14"/>
      <c r="F14" s="14"/>
      <c r="G14" s="14"/>
      <c r="H14" s="14"/>
      <c r="I14" s="14"/>
    </row>
    <row r="15" spans="1:10">
      <c r="B15" s="55"/>
      <c r="C15" s="972" t="s">
        <v>1513</v>
      </c>
      <c r="D15" s="14"/>
      <c r="E15" s="14"/>
      <c r="F15" s="14"/>
      <c r="G15" s="14"/>
      <c r="H15" s="14"/>
      <c r="I15" s="14"/>
    </row>
    <row r="16" spans="1:10">
      <c r="B16" s="55"/>
      <c r="C16" s="502" t="s">
        <v>1515</v>
      </c>
      <c r="D16" s="14"/>
      <c r="E16" s="14"/>
      <c r="F16" s="14"/>
      <c r="G16" s="14"/>
      <c r="H16" s="14"/>
      <c r="I16" s="14"/>
    </row>
    <row r="17" spans="1:10">
      <c r="B17" s="55"/>
      <c r="C17" s="502" t="s">
        <v>1514</v>
      </c>
      <c r="D17" s="14"/>
      <c r="E17" s="14"/>
      <c r="F17" s="14"/>
      <c r="G17" s="14"/>
      <c r="H17" s="14"/>
      <c r="I17" s="14"/>
    </row>
    <row r="18" spans="1:10">
      <c r="B18" s="55"/>
      <c r="C18" s="46"/>
      <c r="D18" s="14"/>
      <c r="E18" s="14"/>
      <c r="F18" s="14"/>
      <c r="G18" s="14"/>
      <c r="H18" s="14"/>
      <c r="I18" s="14"/>
    </row>
    <row r="19" spans="1:10">
      <c r="C19" s="44" t="s">
        <v>1003</v>
      </c>
      <c r="D19" s="14"/>
      <c r="E19" s="14"/>
      <c r="F19" s="14"/>
      <c r="G19" s="14"/>
      <c r="H19" s="14"/>
      <c r="I19" s="14"/>
    </row>
    <row r="20" spans="1:10">
      <c r="C20" s="44"/>
      <c r="D20" s="14"/>
      <c r="E20" s="125" t="s">
        <v>363</v>
      </c>
      <c r="F20" s="125" t="s">
        <v>347</v>
      </c>
      <c r="G20" s="125" t="s">
        <v>348</v>
      </c>
      <c r="H20" s="14"/>
      <c r="I20" s="14"/>
    </row>
    <row r="21" spans="1:10">
      <c r="B21" s="1"/>
      <c r="C21" s="14"/>
      <c r="D21" s="14"/>
      <c r="E21" s="14"/>
      <c r="F21" s="111" t="s">
        <v>63</v>
      </c>
      <c r="G21" s="111" t="s">
        <v>18</v>
      </c>
      <c r="H21" s="14"/>
      <c r="I21" s="14"/>
    </row>
    <row r="22" spans="1:10">
      <c r="B22" s="1"/>
      <c r="C22" s="14"/>
      <c r="D22" s="14"/>
      <c r="E22" s="111" t="s">
        <v>63</v>
      </c>
      <c r="F22" s="981" t="s">
        <v>230</v>
      </c>
      <c r="G22" s="111" t="s">
        <v>299</v>
      </c>
      <c r="H22" s="14"/>
      <c r="I22" s="14"/>
    </row>
    <row r="23" spans="1:10">
      <c r="B23" s="1"/>
      <c r="C23" s="15"/>
      <c r="D23" s="14"/>
      <c r="E23" s="111" t="s">
        <v>229</v>
      </c>
      <c r="F23" s="111" t="s">
        <v>231</v>
      </c>
      <c r="G23" s="111" t="s">
        <v>1</v>
      </c>
      <c r="H23" s="14"/>
      <c r="I23" s="14"/>
    </row>
    <row r="24" spans="1:10">
      <c r="B24" s="1"/>
      <c r="C24" s="111" t="s">
        <v>8</v>
      </c>
      <c r="D24" s="14"/>
      <c r="E24" s="111" t="s">
        <v>242</v>
      </c>
      <c r="F24" s="111" t="s">
        <v>242</v>
      </c>
      <c r="G24" s="981" t="s">
        <v>10</v>
      </c>
      <c r="H24" s="14"/>
      <c r="I24" s="14"/>
    </row>
    <row r="25" spans="1:10">
      <c r="A25" s="51" t="s">
        <v>332</v>
      </c>
      <c r="B25" s="1"/>
      <c r="C25" s="125" t="s">
        <v>226</v>
      </c>
      <c r="D25" s="14"/>
      <c r="E25" s="125" t="s">
        <v>175</v>
      </c>
      <c r="F25" s="125" t="s">
        <v>175</v>
      </c>
      <c r="G25" s="125" t="s">
        <v>175</v>
      </c>
      <c r="H25" s="125" t="s">
        <v>232</v>
      </c>
      <c r="I25" s="110"/>
      <c r="J25" s="50"/>
    </row>
    <row r="26" spans="1:10">
      <c r="A26" s="2">
        <v>1</v>
      </c>
      <c r="B26" s="1"/>
      <c r="C26" s="15" t="s">
        <v>341</v>
      </c>
      <c r="D26" s="14"/>
      <c r="E26" s="63">
        <f>'10-CWIP'!E25</f>
        <v>14915547.51</v>
      </c>
      <c r="F26" s="63">
        <f>'10-CWIP'!E26</f>
        <v>194883792.39230773</v>
      </c>
      <c r="G26" s="63">
        <f>'10-CWIP'!K113</f>
        <v>-14915547.51</v>
      </c>
      <c r="H26" s="46" t="str">
        <f>"10-CWIP Lines "&amp;'10-CWIP'!A25&amp;", "&amp;'10-CWIP'!A26&amp;", and "&amp;'10-CWIP'!A113&amp;""</f>
        <v>10-CWIP Lines 13, 14, and 80</v>
      </c>
      <c r="I26" s="14"/>
    </row>
    <row r="27" spans="1:10">
      <c r="A27" s="2">
        <f t="shared" ref="A27:A37" si="0">A26+1</f>
        <v>2</v>
      </c>
      <c r="B27" s="1"/>
      <c r="C27" s="15" t="s">
        <v>342</v>
      </c>
      <c r="D27" s="14"/>
      <c r="E27" s="63">
        <f>'10-CWIP'!F25</f>
        <v>0</v>
      </c>
      <c r="F27" s="63">
        <f>'10-CWIP'!F26</f>
        <v>0</v>
      </c>
      <c r="G27" s="63">
        <f>'10-CWIP'!K146</f>
        <v>0</v>
      </c>
      <c r="H27" s="46" t="str">
        <f>"10-CWIP Lines "&amp;'10-CWIP'!A25&amp;", "&amp;'10-CWIP'!A26&amp;", and "&amp;'10-CWIP'!A146&amp;""</f>
        <v>10-CWIP Lines 13, 14, and 106</v>
      </c>
      <c r="I27" s="14"/>
    </row>
    <row r="28" spans="1:10">
      <c r="A28" s="2">
        <f t="shared" si="0"/>
        <v>3</v>
      </c>
      <c r="B28" s="1"/>
      <c r="C28" s="505" t="s">
        <v>2426</v>
      </c>
      <c r="D28" s="14"/>
      <c r="E28" s="63">
        <f>'10-CWIP'!G25</f>
        <v>4204927.07</v>
      </c>
      <c r="F28" s="63">
        <f>'10-CWIP'!G26</f>
        <v>3394860.4015384614</v>
      </c>
      <c r="G28" s="63">
        <f>'10-CWIP'!K177</f>
        <v>1836037.099269232</v>
      </c>
      <c r="H28" s="46" t="str">
        <f>"10-CWIP Lines "&amp;'10-CWIP'!A25&amp;", "&amp;'10-CWIP'!A26&amp;", and "&amp;'10-CWIP'!A177&amp;""</f>
        <v>10-CWIP Lines 13, 14, and 132</v>
      </c>
      <c r="I28" s="14"/>
    </row>
    <row r="29" spans="1:10">
      <c r="A29" s="2">
        <f t="shared" si="0"/>
        <v>4</v>
      </c>
      <c r="B29" s="1"/>
      <c r="C29" s="505" t="s">
        <v>2427</v>
      </c>
      <c r="D29" s="14"/>
      <c r="E29" s="63">
        <f>'10-CWIP'!H25</f>
        <v>69685244.670000002</v>
      </c>
      <c r="F29" s="63">
        <f>'10-CWIP'!H26</f>
        <v>56339987.615384616</v>
      </c>
      <c r="G29" s="63">
        <f>'10-CWIP'!K210</f>
        <v>155484662.49298072</v>
      </c>
      <c r="H29" s="46" t="str">
        <f>"10-CWIP Lines "&amp;'10-CWIP'!A25&amp;", "&amp;'10-CWIP'!A26&amp;", and "&amp;'10-CWIP'!A210&amp;""</f>
        <v>10-CWIP Lines 13, 14, and 158</v>
      </c>
      <c r="I29" s="14"/>
    </row>
    <row r="30" spans="1:10">
      <c r="A30" s="2">
        <f t="shared" si="0"/>
        <v>5</v>
      </c>
      <c r="B30" s="1"/>
      <c r="C30" s="15" t="s">
        <v>1009</v>
      </c>
      <c r="D30" s="14"/>
      <c r="E30" s="63">
        <f>'10-CWIP'!I25</f>
        <v>0</v>
      </c>
      <c r="F30" s="63">
        <f>'10-CWIP'!I26</f>
        <v>709238.02</v>
      </c>
      <c r="G30" s="63">
        <f>'10-CWIP'!K241</f>
        <v>0</v>
      </c>
      <c r="H30" s="46" t="str">
        <f>"10-CWIP Lines "&amp;'10-CWIP'!A25&amp;", "&amp;'10-CWIP'!A26&amp;", and "&amp;'10-CWIP'!A241&amp;""</f>
        <v>10-CWIP Lines 13, 14, and 184</v>
      </c>
      <c r="I30" s="14"/>
    </row>
    <row r="31" spans="1:10">
      <c r="A31" s="2">
        <f t="shared" si="0"/>
        <v>6</v>
      </c>
      <c r="B31" s="1"/>
      <c r="C31" s="15" t="s">
        <v>1010</v>
      </c>
      <c r="D31" s="14"/>
      <c r="E31" s="63">
        <f>'10-CWIP'!D45</f>
        <v>26943987.050000001</v>
      </c>
      <c r="F31" s="63">
        <f>'10-CWIP'!D46</f>
        <v>16606019.996153845</v>
      </c>
      <c r="G31" s="63">
        <f>'10-CWIP'!K274</f>
        <v>-26943987.050000008</v>
      </c>
      <c r="H31" s="46" t="str">
        <f>"10-CWIP Lines "&amp;'10-CWIP'!A45&amp;", "&amp;'10-CWIP'!A46&amp;", and "&amp;'10-CWIP'!A274&amp;""</f>
        <v>10-CWIP Lines 27, 28, and 210</v>
      </c>
      <c r="I31" s="14"/>
    </row>
    <row r="32" spans="1:10">
      <c r="A32" s="2">
        <f t="shared" si="0"/>
        <v>7</v>
      </c>
      <c r="B32" s="1"/>
      <c r="C32" s="15" t="s">
        <v>1011</v>
      </c>
      <c r="D32" s="14"/>
      <c r="E32" s="63">
        <f>'10-CWIP'!E45</f>
        <v>0</v>
      </c>
      <c r="F32" s="63">
        <f>'10-CWIP'!E46</f>
        <v>0</v>
      </c>
      <c r="G32" s="63">
        <f>'10-CWIP'!K305</f>
        <v>0</v>
      </c>
      <c r="H32" s="46" t="str">
        <f>"10-CWIP Lines "&amp;'10-CWIP'!A45&amp;", "&amp;'10-CWIP'!A46&amp;", and "&amp;'10-CWIP'!A305&amp;""</f>
        <v>10-CWIP Lines 27, 28, and 236</v>
      </c>
      <c r="I32" s="14"/>
    </row>
    <row r="33" spans="1:10">
      <c r="A33" s="2">
        <f t="shared" si="0"/>
        <v>8</v>
      </c>
      <c r="B33" s="1"/>
      <c r="C33" s="1118" t="s">
        <v>2428</v>
      </c>
      <c r="D33" s="14"/>
      <c r="E33" s="63">
        <f>'10-CWIP'!F45</f>
        <v>0</v>
      </c>
      <c r="F33" s="63">
        <f>'10-CWIP'!F46</f>
        <v>0</v>
      </c>
      <c r="G33" s="63">
        <f>'10-CWIP'!K338</f>
        <v>0</v>
      </c>
      <c r="H33" s="46" t="str">
        <f>"10-CWIP Lines "&amp;'10-CWIP'!A45&amp;", "&amp;'10-CWIP'!A46&amp;", and "&amp;'10-CWIP'!A338&amp;""</f>
        <v>10-CWIP Lines 27, 28, and 262</v>
      </c>
      <c r="I33" s="14"/>
    </row>
    <row r="34" spans="1:10">
      <c r="A34" s="2">
        <f t="shared" si="0"/>
        <v>9</v>
      </c>
      <c r="B34" s="1"/>
      <c r="C34" s="1118" t="s">
        <v>2429</v>
      </c>
      <c r="D34" s="14"/>
      <c r="E34" s="63">
        <f>'10-CWIP'!G45</f>
        <v>0</v>
      </c>
      <c r="F34" s="63">
        <f>'10-CWIP'!G46</f>
        <v>0</v>
      </c>
      <c r="G34" s="63">
        <f>'10-CWIP'!K369</f>
        <v>0</v>
      </c>
      <c r="H34" s="46" t="str">
        <f>"10-CWIP Lines "&amp;'10-CWIP'!A45&amp;", "&amp;'10-CWIP'!A46&amp;", and "&amp;'10-CWIP'!A369&amp;""</f>
        <v>10-CWIP Lines 27, 28, and 288</v>
      </c>
      <c r="I34" s="14"/>
    </row>
    <row r="35" spans="1:10">
      <c r="A35" s="2">
        <f t="shared" si="0"/>
        <v>10</v>
      </c>
      <c r="B35" s="1"/>
      <c r="C35" s="569" t="s">
        <v>513</v>
      </c>
      <c r="E35" s="194" t="s">
        <v>76</v>
      </c>
      <c r="F35" s="194" t="s">
        <v>76</v>
      </c>
      <c r="G35" s="194" t="s">
        <v>76</v>
      </c>
      <c r="H35" s="569" t="s">
        <v>513</v>
      </c>
      <c r="I35" s="14"/>
      <c r="J35" s="14"/>
    </row>
    <row r="36" spans="1:10">
      <c r="A36" s="2">
        <f t="shared" si="0"/>
        <v>11</v>
      </c>
      <c r="B36" s="1"/>
      <c r="C36" s="189"/>
      <c r="E36" s="194"/>
      <c r="F36" s="194"/>
      <c r="G36" s="194"/>
      <c r="H36" s="13"/>
    </row>
    <row r="37" spans="1:10">
      <c r="A37" s="2">
        <f t="shared" si="0"/>
        <v>12</v>
      </c>
      <c r="B37" s="1"/>
      <c r="D37" s="37" t="s">
        <v>197</v>
      </c>
      <c r="E37" s="7">
        <f>SUM(E26:E34)</f>
        <v>115749706.3</v>
      </c>
      <c r="F37" s="7">
        <f>SUM(F26:F34)</f>
        <v>271933898.42538464</v>
      </c>
      <c r="G37" s="7">
        <f>SUM(G26:G34)</f>
        <v>115461165.03224993</v>
      </c>
      <c r="H37" s="52"/>
    </row>
    <row r="38" spans="1:10">
      <c r="B38" s="1"/>
    </row>
    <row r="39" spans="1:10">
      <c r="B39" s="1"/>
      <c r="C39" s="1" t="s">
        <v>1263</v>
      </c>
    </row>
    <row r="40" spans="1:10">
      <c r="B40" s="1"/>
      <c r="C40" s="1"/>
    </row>
    <row r="41" spans="1:10">
      <c r="B41" s="1"/>
      <c r="E41" s="3" t="s">
        <v>363</v>
      </c>
      <c r="F41" s="3" t="s">
        <v>347</v>
      </c>
      <c r="G41" s="3" t="s">
        <v>348</v>
      </c>
    </row>
    <row r="42" spans="1:10">
      <c r="B42" s="1"/>
      <c r="E42" s="512" t="s">
        <v>1486</v>
      </c>
      <c r="F42" s="3"/>
      <c r="G42" s="3"/>
    </row>
    <row r="43" spans="1:10">
      <c r="B43" s="1"/>
      <c r="E43" s="2" t="s">
        <v>63</v>
      </c>
      <c r="F43" s="2" t="s">
        <v>302</v>
      </c>
      <c r="G43" s="2" t="s">
        <v>302</v>
      </c>
    </row>
    <row r="44" spans="1:10">
      <c r="B44" s="1"/>
      <c r="E44" s="2" t="s">
        <v>8</v>
      </c>
      <c r="F44" s="2" t="s">
        <v>1</v>
      </c>
      <c r="G44" s="2" t="s">
        <v>301</v>
      </c>
    </row>
    <row r="45" spans="1:10">
      <c r="B45" s="1"/>
      <c r="E45" s="3" t="s">
        <v>173</v>
      </c>
      <c r="F45" s="3" t="s">
        <v>251</v>
      </c>
      <c r="G45" s="3" t="s">
        <v>3</v>
      </c>
      <c r="H45" s="3" t="s">
        <v>232</v>
      </c>
    </row>
    <row r="46" spans="1:10">
      <c r="A46" s="2">
        <f>A37+1</f>
        <v>13</v>
      </c>
      <c r="B46" s="1"/>
      <c r="C46" t="s">
        <v>227</v>
      </c>
      <c r="E46" s="101">
        <f>F46+G46</f>
        <v>154978996.30951726</v>
      </c>
      <c r="F46" s="63">
        <v>0</v>
      </c>
      <c r="G46" s="63">
        <f>H84</f>
        <v>154978996.30951726</v>
      </c>
      <c r="H46" s="13" t="str">
        <f>"Line "&amp;A84&amp;", C4"</f>
        <v>Line 37, C4</v>
      </c>
    </row>
    <row r="47" spans="1:10">
      <c r="A47" s="2">
        <f>A46+1</f>
        <v>14</v>
      </c>
      <c r="B47" s="1"/>
      <c r="C47" t="s">
        <v>228</v>
      </c>
      <c r="E47" s="101">
        <f>F47+G47</f>
        <v>2776011901.3202019</v>
      </c>
      <c r="F47" s="63">
        <f>E26</f>
        <v>14915547.51</v>
      </c>
      <c r="G47" s="63">
        <f>F84</f>
        <v>2761096353.8102016</v>
      </c>
      <c r="H47" s="13" t="str">
        <f>"Line "&amp;A26&amp;", C1, and Line "&amp;A84&amp;", C2"</f>
        <v>Line 1, C1, and Line 37, C2</v>
      </c>
    </row>
    <row r="48" spans="1:10">
      <c r="A48" s="2">
        <f>A47+1</f>
        <v>15</v>
      </c>
      <c r="B48" s="1"/>
      <c r="C48" s="503" t="s">
        <v>1675</v>
      </c>
      <c r="E48" s="101">
        <f>F48+G48</f>
        <v>707569233.3452605</v>
      </c>
      <c r="F48" s="63">
        <f>E27</f>
        <v>0</v>
      </c>
      <c r="G48" s="63">
        <f>G84</f>
        <v>707569233.3452605</v>
      </c>
      <c r="H48" s="13" t="str">
        <f>"Line "&amp;A27&amp;", C1, and Line "&amp;A84&amp;", C3"</f>
        <v>Line 2, C1, and Line 37, C3</v>
      </c>
    </row>
    <row r="49" spans="1:8">
      <c r="A49" s="2">
        <f>A48+1</f>
        <v>16</v>
      </c>
      <c r="B49" s="1"/>
      <c r="C49" s="569" t="s">
        <v>513</v>
      </c>
      <c r="E49" s="96" t="s">
        <v>76</v>
      </c>
      <c r="F49" s="96" t="s">
        <v>76</v>
      </c>
      <c r="G49" s="96" t="s">
        <v>76</v>
      </c>
      <c r="H49" s="569" t="s">
        <v>513</v>
      </c>
    </row>
    <row r="50" spans="1:8">
      <c r="A50" s="2">
        <f>A49+1</f>
        <v>17</v>
      </c>
      <c r="B50" s="1"/>
      <c r="C50" s="189"/>
      <c r="E50" s="96"/>
      <c r="F50" s="96"/>
      <c r="G50" s="96"/>
      <c r="H50" s="13"/>
    </row>
    <row r="51" spans="1:8">
      <c r="A51" s="2">
        <f>A50+1</f>
        <v>18</v>
      </c>
      <c r="B51" s="1"/>
      <c r="D51" s="501" t="s">
        <v>1679</v>
      </c>
      <c r="E51" s="7">
        <f>SUM(E46:E48)</f>
        <v>3638560130.9749799</v>
      </c>
      <c r="F51" s="96"/>
      <c r="G51" s="96"/>
      <c r="H51" s="507" t="s">
        <v>1680</v>
      </c>
    </row>
    <row r="52" spans="1:8">
      <c r="B52" s="1"/>
    </row>
    <row r="53" spans="1:8">
      <c r="B53" s="1"/>
      <c r="C53" s="1" t="s">
        <v>1510</v>
      </c>
    </row>
    <row r="54" spans="1:8">
      <c r="B54" s="1"/>
      <c r="C54" s="1"/>
    </row>
    <row r="55" spans="1:8">
      <c r="B55" s="1"/>
      <c r="C55" s="1"/>
      <c r="E55" s="3" t="s">
        <v>363</v>
      </c>
      <c r="F55" s="3" t="s">
        <v>347</v>
      </c>
      <c r="G55" s="3" t="s">
        <v>348</v>
      </c>
    </row>
    <row r="56" spans="1:8">
      <c r="B56" s="1"/>
      <c r="E56" s="512" t="s">
        <v>1486</v>
      </c>
      <c r="G56" s="2" t="s">
        <v>10</v>
      </c>
    </row>
    <row r="57" spans="1:8">
      <c r="B57" s="1"/>
      <c r="E57" s="2" t="s">
        <v>63</v>
      </c>
      <c r="F57" s="2" t="s">
        <v>10</v>
      </c>
      <c r="G57" s="2" t="s">
        <v>301</v>
      </c>
    </row>
    <row r="58" spans="1:8">
      <c r="B58" s="1"/>
      <c r="C58" s="2" t="s">
        <v>8</v>
      </c>
      <c r="E58" s="2" t="s">
        <v>8</v>
      </c>
      <c r="F58" s="2" t="s">
        <v>1</v>
      </c>
      <c r="G58" s="2" t="s">
        <v>3</v>
      </c>
    </row>
    <row r="59" spans="1:8" ht="12.75" customHeight="1">
      <c r="B59" s="1"/>
      <c r="C59" s="3" t="s">
        <v>226</v>
      </c>
      <c r="E59" s="3" t="s">
        <v>173</v>
      </c>
      <c r="F59" s="3" t="s">
        <v>251</v>
      </c>
      <c r="G59" s="3" t="s">
        <v>251</v>
      </c>
      <c r="H59" s="3" t="s">
        <v>232</v>
      </c>
    </row>
    <row r="60" spans="1:8">
      <c r="A60" s="2">
        <f>A51+1</f>
        <v>19</v>
      </c>
      <c r="B60" s="1"/>
      <c r="C60" t="s">
        <v>227</v>
      </c>
      <c r="E60" s="101">
        <f>F60+G60</f>
        <v>157348617.58608577</v>
      </c>
      <c r="F60" s="63">
        <v>0</v>
      </c>
      <c r="G60" s="104">
        <f>H85</f>
        <v>157348617.58608577</v>
      </c>
      <c r="H60" s="13" t="str">
        <f>"Line "&amp;A85&amp;", C4"</f>
        <v>Line 38, C4</v>
      </c>
    </row>
    <row r="61" spans="1:8">
      <c r="A61" s="2">
        <f>A60+1</f>
        <v>20</v>
      </c>
      <c r="B61" s="1"/>
      <c r="C61" t="s">
        <v>228</v>
      </c>
      <c r="E61" s="101">
        <f>F61+G61</f>
        <v>2759257909.1346302</v>
      </c>
      <c r="F61" s="63">
        <f>F26</f>
        <v>194883792.39230773</v>
      </c>
      <c r="G61" s="104">
        <f>F85</f>
        <v>2564374116.7423224</v>
      </c>
      <c r="H61" s="13" t="str">
        <f>"Line "&amp;A26&amp;", C2, and Line "&amp;A85&amp;", C2"</f>
        <v>Line 1, C2, and Line 38, C2</v>
      </c>
    </row>
    <row r="62" spans="1:8">
      <c r="A62" s="2">
        <f>A61+1</f>
        <v>21</v>
      </c>
      <c r="B62" s="1"/>
      <c r="C62" s="12" t="s">
        <v>549</v>
      </c>
      <c r="E62" s="101">
        <f>F62+G62</f>
        <v>717950117.86039782</v>
      </c>
      <c r="F62" s="63">
        <f>F27</f>
        <v>0</v>
      </c>
      <c r="G62" s="104">
        <f>G85</f>
        <v>717950117.86039782</v>
      </c>
      <c r="H62" s="13" t="str">
        <f>"Line "&amp;A27&amp;", C2, and Line "&amp;A85&amp;", C3"</f>
        <v>Line 2, C2, and Line 38, C3</v>
      </c>
    </row>
    <row r="63" spans="1:8">
      <c r="A63" s="2">
        <f>A62+1</f>
        <v>22</v>
      </c>
      <c r="B63" s="1"/>
      <c r="C63" s="569" t="s">
        <v>513</v>
      </c>
      <c r="E63" s="96" t="s">
        <v>76</v>
      </c>
      <c r="F63" s="96" t="s">
        <v>76</v>
      </c>
      <c r="G63" s="96" t="s">
        <v>76</v>
      </c>
      <c r="H63" s="569" t="s">
        <v>513</v>
      </c>
    </row>
    <row r="64" spans="1:8">
      <c r="A64" s="2">
        <f>A63+1</f>
        <v>23</v>
      </c>
      <c r="B64" s="1"/>
      <c r="C64" s="189"/>
      <c r="E64" s="96"/>
      <c r="F64" s="96"/>
      <c r="G64" s="96"/>
      <c r="H64" s="13"/>
    </row>
    <row r="65" spans="1:11">
      <c r="A65" s="2">
        <f>A64+1</f>
        <v>24</v>
      </c>
      <c r="B65" s="1"/>
      <c r="D65" s="501" t="s">
        <v>1679</v>
      </c>
      <c r="E65" s="7">
        <f>SUM(E60:E62)</f>
        <v>3634556644.5811138</v>
      </c>
      <c r="H65" s="588" t="s">
        <v>1681</v>
      </c>
    </row>
    <row r="66" spans="1:11">
      <c r="A66" s="549"/>
      <c r="B66" s="1"/>
      <c r="D66" s="94"/>
      <c r="E66" s="7"/>
    </row>
    <row r="67" spans="1:11">
      <c r="C67" s="1" t="s">
        <v>1012</v>
      </c>
    </row>
    <row r="68" spans="1:11">
      <c r="E68" s="84" t="s">
        <v>363</v>
      </c>
      <c r="F68" s="84" t="s">
        <v>347</v>
      </c>
      <c r="G68" s="84" t="s">
        <v>348</v>
      </c>
      <c r="H68" s="84" t="s">
        <v>349</v>
      </c>
      <c r="I68" s="84" t="s">
        <v>350</v>
      </c>
      <c r="J68" s="84"/>
    </row>
    <row r="69" spans="1:11">
      <c r="C69" s="2" t="s">
        <v>538</v>
      </c>
      <c r="E69" s="2" t="s">
        <v>541</v>
      </c>
      <c r="F69" s="965" t="str">
        <f>"L "&amp;A117&amp;" to L "&amp;A129&amp;", C3"</f>
        <v>L 53 to L 65, C3</v>
      </c>
      <c r="G69" s="965" t="str">
        <f>"L "&amp;A157&amp;" to L "&amp;A169&amp;", C3"</f>
        <v>L 79 to L 91, C3</v>
      </c>
      <c r="H69" s="965" t="str">
        <f>"L "&amp;A137&amp;" to L "&amp;A149&amp;", C3"</f>
        <v>L 66 to L 78, C3</v>
      </c>
      <c r="I69" s="97"/>
      <c r="K69" s="2"/>
    </row>
    <row r="70" spans="1:11">
      <c r="C70" s="2" t="s">
        <v>193</v>
      </c>
      <c r="E70" s="2" t="s">
        <v>542</v>
      </c>
      <c r="F70" s="14"/>
      <c r="G70" s="111" t="s">
        <v>345</v>
      </c>
      <c r="H70" s="111" t="s">
        <v>539</v>
      </c>
      <c r="I70" s="190"/>
      <c r="J70" s="367"/>
      <c r="K70" s="2"/>
    </row>
    <row r="71" spans="1:11">
      <c r="A71" s="51"/>
      <c r="C71" s="25" t="s">
        <v>192</v>
      </c>
      <c r="D71" s="25" t="s">
        <v>193</v>
      </c>
      <c r="E71" s="3" t="s">
        <v>3</v>
      </c>
      <c r="F71" s="125" t="s">
        <v>225</v>
      </c>
      <c r="G71" s="125" t="s">
        <v>346</v>
      </c>
      <c r="H71" s="125" t="s">
        <v>540</v>
      </c>
      <c r="I71" s="191"/>
      <c r="J71" s="3" t="s">
        <v>168</v>
      </c>
    </row>
    <row r="72" spans="1:11">
      <c r="A72" s="2">
        <f>A65+1</f>
        <v>25</v>
      </c>
      <c r="C72" s="20" t="s">
        <v>180</v>
      </c>
      <c r="D72" s="1239">
        <v>2015</v>
      </c>
      <c r="E72" s="59">
        <f>SUM(F72:H72)</f>
        <v>3384224921.4193172</v>
      </c>
      <c r="F72" s="1003">
        <f>G117</f>
        <v>2495479773.3463454</v>
      </c>
      <c r="G72" s="1003">
        <f>G157</f>
        <v>729026909.21031749</v>
      </c>
      <c r="H72" s="1003">
        <f>G137</f>
        <v>159718238.86265427</v>
      </c>
      <c r="I72" s="367" t="s">
        <v>76</v>
      </c>
      <c r="J72" s="50" t="s">
        <v>1016</v>
      </c>
    </row>
    <row r="73" spans="1:11">
      <c r="A73" s="2">
        <f>A72+1</f>
        <v>26</v>
      </c>
      <c r="C73" s="20" t="s">
        <v>181</v>
      </c>
      <c r="D73" s="663">
        <v>2016</v>
      </c>
      <c r="E73" s="59">
        <f t="shared" ref="E73:E84" si="1">SUM(F73:H73)</f>
        <v>3378443941.9707279</v>
      </c>
      <c r="F73" s="1003">
        <f t="shared" ref="F73:F84" si="2">G118</f>
        <v>2491755773.3652887</v>
      </c>
      <c r="G73" s="1003">
        <f t="shared" ref="G73:G84" si="3">G158</f>
        <v>727364866.62221289</v>
      </c>
      <c r="H73" s="1003">
        <f t="shared" ref="H73:H84" si="4">G138</f>
        <v>159323301.98322621</v>
      </c>
      <c r="I73" s="367" t="s">
        <v>76</v>
      </c>
      <c r="J73" s="13" t="s">
        <v>1015</v>
      </c>
    </row>
    <row r="74" spans="1:11">
      <c r="A74" s="2">
        <f t="shared" ref="A74:A85" si="5">A73+1</f>
        <v>27</v>
      </c>
      <c r="C74" s="21" t="s">
        <v>182</v>
      </c>
      <c r="D74" s="663">
        <v>2016</v>
      </c>
      <c r="E74" s="59">
        <f t="shared" si="1"/>
        <v>3373276330.0483904</v>
      </c>
      <c r="F74" s="1003">
        <f t="shared" si="2"/>
        <v>2489776744.6420093</v>
      </c>
      <c r="G74" s="1003">
        <f t="shared" si="3"/>
        <v>724571220.30258346</v>
      </c>
      <c r="H74" s="1003">
        <f t="shared" si="4"/>
        <v>158928365.10379812</v>
      </c>
      <c r="I74" s="367" t="s">
        <v>76</v>
      </c>
      <c r="J74" s="367" t="s">
        <v>1014</v>
      </c>
      <c r="K74" s="2"/>
    </row>
    <row r="75" spans="1:11">
      <c r="A75" s="2">
        <f t="shared" si="5"/>
        <v>28</v>
      </c>
      <c r="C75" s="21" t="s">
        <v>195</v>
      </c>
      <c r="D75" s="663">
        <v>2016</v>
      </c>
      <c r="E75" s="59">
        <f t="shared" si="1"/>
        <v>3376692256.2847881</v>
      </c>
      <c r="F75" s="1003">
        <f t="shared" si="2"/>
        <v>2495232419.8240547</v>
      </c>
      <c r="G75" s="1003">
        <f t="shared" si="3"/>
        <v>722926408.23636341</v>
      </c>
      <c r="H75" s="1003">
        <f t="shared" si="4"/>
        <v>158533428.22437003</v>
      </c>
      <c r="I75" s="367" t="s">
        <v>76</v>
      </c>
      <c r="J75" s="367"/>
      <c r="K75" s="2"/>
    </row>
    <row r="76" spans="1:11">
      <c r="A76" s="2">
        <f t="shared" si="5"/>
        <v>29</v>
      </c>
      <c r="C76" s="20" t="s">
        <v>183</v>
      </c>
      <c r="D76" s="663">
        <v>2016</v>
      </c>
      <c r="E76" s="59">
        <f t="shared" si="1"/>
        <v>3374083891.3418198</v>
      </c>
      <c r="F76" s="1003">
        <f t="shared" si="2"/>
        <v>2494893777.3375187</v>
      </c>
      <c r="G76" s="1003">
        <f t="shared" si="3"/>
        <v>721051622.6593591</v>
      </c>
      <c r="H76" s="1003">
        <f t="shared" si="4"/>
        <v>158138491.34494194</v>
      </c>
      <c r="I76" s="367" t="s">
        <v>76</v>
      </c>
      <c r="J76" s="367"/>
      <c r="K76" s="2"/>
    </row>
    <row r="77" spans="1:11">
      <c r="A77" s="2">
        <f t="shared" si="5"/>
        <v>30</v>
      </c>
      <c r="C77" s="21" t="s">
        <v>184</v>
      </c>
      <c r="D77" s="663">
        <v>2016</v>
      </c>
      <c r="E77" s="59">
        <f t="shared" si="1"/>
        <v>3367918908.8127794</v>
      </c>
      <c r="F77" s="1003">
        <f t="shared" si="2"/>
        <v>2490772743.8388538</v>
      </c>
      <c r="G77" s="1003">
        <f t="shared" si="3"/>
        <v>719402610.50841177</v>
      </c>
      <c r="H77" s="1003">
        <f t="shared" si="4"/>
        <v>157743554.46551386</v>
      </c>
      <c r="I77" s="367" t="s">
        <v>76</v>
      </c>
      <c r="J77" s="367"/>
      <c r="K77" s="2"/>
    </row>
    <row r="78" spans="1:11">
      <c r="A78" s="2">
        <f t="shared" si="5"/>
        <v>31</v>
      </c>
      <c r="C78" s="21" t="s">
        <v>185</v>
      </c>
      <c r="D78" s="663">
        <v>2016</v>
      </c>
      <c r="E78" s="59">
        <f t="shared" si="1"/>
        <v>3363020794.0837789</v>
      </c>
      <c r="F78" s="1003">
        <f t="shared" si="2"/>
        <v>2487916881.3515015</v>
      </c>
      <c r="G78" s="1003">
        <f t="shared" si="3"/>
        <v>717755295.14619184</v>
      </c>
      <c r="H78" s="1003">
        <f t="shared" si="4"/>
        <v>157348617.5860858</v>
      </c>
      <c r="I78" s="367" t="s">
        <v>76</v>
      </c>
      <c r="J78" s="367"/>
      <c r="K78" s="2"/>
    </row>
    <row r="79" spans="1:11">
      <c r="A79" s="2">
        <f t="shared" si="5"/>
        <v>32</v>
      </c>
      <c r="C79" s="20" t="s">
        <v>186</v>
      </c>
      <c r="D79" s="663">
        <v>2016</v>
      </c>
      <c r="E79" s="59">
        <f t="shared" si="1"/>
        <v>3356341298.6666207</v>
      </c>
      <c r="F79" s="1003">
        <f t="shared" si="2"/>
        <v>2483282938.4453173</v>
      </c>
      <c r="G79" s="1003">
        <f t="shared" si="3"/>
        <v>716104679.51464546</v>
      </c>
      <c r="H79" s="1003">
        <f t="shared" si="4"/>
        <v>156953680.70665771</v>
      </c>
      <c r="I79" s="367" t="s">
        <v>76</v>
      </c>
      <c r="J79" s="367"/>
      <c r="K79" s="83"/>
    </row>
    <row r="80" spans="1:11">
      <c r="A80" s="2">
        <f t="shared" si="5"/>
        <v>33</v>
      </c>
      <c r="C80" s="21" t="s">
        <v>187</v>
      </c>
      <c r="D80" s="663">
        <v>2016</v>
      </c>
      <c r="E80" s="59">
        <f t="shared" si="1"/>
        <v>3347662477.6227417</v>
      </c>
      <c r="F80" s="1003">
        <f t="shared" si="2"/>
        <v>2476650075.0787873</v>
      </c>
      <c r="G80" s="1003">
        <f t="shared" si="3"/>
        <v>714453658.71672475</v>
      </c>
      <c r="H80" s="1003">
        <f t="shared" si="4"/>
        <v>156558743.82722962</v>
      </c>
      <c r="I80" s="367" t="s">
        <v>76</v>
      </c>
      <c r="J80" s="367"/>
      <c r="K80" s="2"/>
    </row>
    <row r="81" spans="1:11">
      <c r="A81" s="2">
        <f t="shared" si="5"/>
        <v>34</v>
      </c>
      <c r="C81" s="21" t="s">
        <v>188</v>
      </c>
      <c r="D81" s="663">
        <v>2016</v>
      </c>
      <c r="E81" s="59">
        <f t="shared" si="1"/>
        <v>3583983495.0526867</v>
      </c>
      <c r="F81" s="1003">
        <f t="shared" si="2"/>
        <v>2715017702.2254982</v>
      </c>
      <c r="G81" s="1003">
        <f t="shared" si="3"/>
        <v>712801985.8793869</v>
      </c>
      <c r="H81" s="1003">
        <f t="shared" si="4"/>
        <v>156163806.94780153</v>
      </c>
      <c r="I81" s="367" t="s">
        <v>76</v>
      </c>
      <c r="J81" s="367"/>
      <c r="K81" s="2"/>
    </row>
    <row r="82" spans="1:11">
      <c r="A82" s="2">
        <f t="shared" si="5"/>
        <v>35</v>
      </c>
      <c r="C82" s="20" t="s">
        <v>189</v>
      </c>
      <c r="D82" s="663">
        <v>2016</v>
      </c>
      <c r="E82" s="59">
        <f t="shared" si="1"/>
        <v>3594218906.8522882</v>
      </c>
      <c r="F82" s="1003">
        <f t="shared" si="2"/>
        <v>2727347331.7792416</v>
      </c>
      <c r="G82" s="1003">
        <f t="shared" si="3"/>
        <v>711102705.00467348</v>
      </c>
      <c r="H82" s="1003">
        <f t="shared" si="4"/>
        <v>155768870.06837344</v>
      </c>
      <c r="I82" s="367" t="s">
        <v>76</v>
      </c>
      <c r="J82" s="367"/>
      <c r="K82" s="2"/>
    </row>
    <row r="83" spans="1:11">
      <c r="A83" s="2">
        <f t="shared" si="5"/>
        <v>36</v>
      </c>
      <c r="C83" s="20" t="s">
        <v>190</v>
      </c>
      <c r="D83" s="663">
        <v>2016</v>
      </c>
      <c r="E83" s="59">
        <f t="shared" si="1"/>
        <v>3592235272.8335595</v>
      </c>
      <c r="F83" s="1003">
        <f t="shared" si="2"/>
        <v>2727641002.6055717</v>
      </c>
      <c r="G83" s="1003">
        <f t="shared" si="3"/>
        <v>709220337.03904235</v>
      </c>
      <c r="H83" s="1003">
        <f t="shared" si="4"/>
        <v>155373933.18894535</v>
      </c>
      <c r="I83" s="367" t="s">
        <v>76</v>
      </c>
      <c r="J83" s="367"/>
      <c r="K83" s="2"/>
    </row>
    <row r="84" spans="1:11">
      <c r="A84" s="2">
        <f t="shared" si="5"/>
        <v>37</v>
      </c>
      <c r="C84" s="20" t="s">
        <v>180</v>
      </c>
      <c r="D84" s="663">
        <v>2016</v>
      </c>
      <c r="E84" s="58">
        <f t="shared" si="1"/>
        <v>3623644583.4649796</v>
      </c>
      <c r="F84" s="369">
        <f t="shared" si="2"/>
        <v>2761096353.8102016</v>
      </c>
      <c r="G84" s="369">
        <f t="shared" si="3"/>
        <v>707569233.3452605</v>
      </c>
      <c r="H84" s="369">
        <f t="shared" si="4"/>
        <v>154978996.30951726</v>
      </c>
      <c r="I84" s="367" t="s">
        <v>76</v>
      </c>
      <c r="J84" s="367"/>
      <c r="K84" s="2"/>
    </row>
    <row r="85" spans="1:11">
      <c r="A85" s="2">
        <f t="shared" si="5"/>
        <v>38</v>
      </c>
      <c r="C85" s="20"/>
      <c r="D85" s="193" t="s">
        <v>546</v>
      </c>
      <c r="E85" s="105">
        <f>SUM(E72:E84)/13</f>
        <v>3439672852.1888056</v>
      </c>
      <c r="F85" s="105">
        <f>SUM(F72:F84)/13</f>
        <v>2564374116.7423224</v>
      </c>
      <c r="G85" s="105">
        <f>SUM(G72:G84)/13</f>
        <v>717950117.86039782</v>
      </c>
      <c r="H85" s="105">
        <f>SUM(H72:H84)/13</f>
        <v>157348617.58608577</v>
      </c>
      <c r="I85" s="44"/>
      <c r="J85" s="1"/>
      <c r="K85" s="2"/>
    </row>
    <row r="87" spans="1:11">
      <c r="A87" s="549"/>
      <c r="C87" s="550" t="s">
        <v>1557</v>
      </c>
      <c r="D87" s="551"/>
      <c r="E87" s="552"/>
      <c r="F87" s="552"/>
      <c r="G87" s="552"/>
      <c r="H87" s="552"/>
      <c r="I87" s="1"/>
      <c r="J87" s="1"/>
    </row>
    <row r="88" spans="1:11">
      <c r="A88" s="549"/>
      <c r="C88" s="550"/>
      <c r="D88" s="551"/>
      <c r="E88" s="84" t="s">
        <v>363</v>
      </c>
      <c r="F88" s="84" t="s">
        <v>347</v>
      </c>
      <c r="G88" s="84" t="s">
        <v>348</v>
      </c>
      <c r="H88" s="552"/>
      <c r="I88" s="1"/>
      <c r="J88" s="1"/>
    </row>
    <row r="89" spans="1:11">
      <c r="A89" s="549"/>
      <c r="C89" s="538"/>
      <c r="D89" s="551"/>
      <c r="G89" s="512" t="s">
        <v>1676</v>
      </c>
      <c r="H89" s="552"/>
      <c r="I89" s="1"/>
      <c r="J89" s="1"/>
    </row>
    <row r="90" spans="1:11">
      <c r="A90" s="549"/>
      <c r="C90" s="538"/>
      <c r="D90" s="551"/>
      <c r="E90" s="364" t="s">
        <v>439</v>
      </c>
      <c r="F90" s="552"/>
      <c r="G90" s="553" t="s">
        <v>1558</v>
      </c>
      <c r="H90" s="552"/>
      <c r="I90" s="1"/>
      <c r="J90" s="1"/>
    </row>
    <row r="91" spans="1:11">
      <c r="A91" s="549"/>
      <c r="C91" s="549" t="s">
        <v>538</v>
      </c>
      <c r="E91" s="364" t="s">
        <v>1559</v>
      </c>
      <c r="F91" s="364" t="s">
        <v>99</v>
      </c>
      <c r="G91" s="364" t="s">
        <v>1559</v>
      </c>
      <c r="H91" s="552"/>
      <c r="I91" s="1"/>
      <c r="J91" s="1"/>
    </row>
    <row r="92" spans="1:11">
      <c r="A92" s="549"/>
      <c r="C92" s="549" t="s">
        <v>193</v>
      </c>
      <c r="E92" s="364" t="s">
        <v>8</v>
      </c>
      <c r="F92" s="4" t="s">
        <v>1560</v>
      </c>
      <c r="G92" s="364" t="s">
        <v>8</v>
      </c>
      <c r="H92" s="552"/>
      <c r="I92" s="1"/>
      <c r="J92" s="1"/>
    </row>
    <row r="93" spans="1:11">
      <c r="A93" s="549"/>
      <c r="C93" s="25" t="s">
        <v>192</v>
      </c>
      <c r="D93" s="25" t="s">
        <v>193</v>
      </c>
      <c r="E93" s="365" t="s">
        <v>1561</v>
      </c>
      <c r="F93" s="3" t="s">
        <v>1562</v>
      </c>
      <c r="G93" s="365" t="s">
        <v>1561</v>
      </c>
      <c r="H93" s="365" t="s">
        <v>1563</v>
      </c>
      <c r="I93" s="1"/>
      <c r="J93" s="1"/>
    </row>
    <row r="94" spans="1:11" ht="12.75" customHeight="1">
      <c r="A94" s="549">
        <f>A85+1</f>
        <v>39</v>
      </c>
      <c r="C94" s="538" t="s">
        <v>180</v>
      </c>
      <c r="D94" s="187">
        <v>2015</v>
      </c>
      <c r="E94" s="7">
        <f>H117+H137+H157+H176+H195+H214+H233+H252+H271+H290</f>
        <v>0</v>
      </c>
      <c r="F94" s="554">
        <v>0</v>
      </c>
      <c r="G94" s="552">
        <f>E94-F94</f>
        <v>0</v>
      </c>
      <c r="H94" s="559" t="s">
        <v>1573</v>
      </c>
      <c r="I94" s="1"/>
      <c r="J94" s="7"/>
    </row>
    <row r="95" spans="1:11">
      <c r="A95" s="549">
        <f>A94+1</f>
        <v>40</v>
      </c>
      <c r="C95" s="538" t="s">
        <v>181</v>
      </c>
      <c r="D95" s="148">
        <v>2016</v>
      </c>
      <c r="E95" s="7">
        <f>H118+H138+H158+H177+H196+H215+H234+H253+H272+H291</f>
        <v>2046368.2000000104</v>
      </c>
      <c r="F95" s="554">
        <v>0</v>
      </c>
      <c r="G95" s="552">
        <f t="shared" ref="G95:G106" si="6">E95-F95</f>
        <v>2046368.2000000104</v>
      </c>
      <c r="H95" s="559" t="s">
        <v>1572</v>
      </c>
      <c r="I95" s="73"/>
      <c r="J95" s="7"/>
    </row>
    <row r="96" spans="1:11">
      <c r="A96" s="549">
        <f t="shared" ref="A96:A107" si="7">A95+1</f>
        <v>41</v>
      </c>
      <c r="C96" s="536" t="s">
        <v>182</v>
      </c>
      <c r="D96" s="148">
        <v>2016</v>
      </c>
      <c r="E96" s="7">
        <f t="shared" ref="E96:E106" si="8">H119+H139+H159+H178+H197+H216+H235+H254+H273+H292</f>
        <v>11562821.320000187</v>
      </c>
      <c r="F96" s="554">
        <v>0</v>
      </c>
      <c r="G96" s="552">
        <f t="shared" si="6"/>
        <v>11562821.320000187</v>
      </c>
      <c r="H96" s="559"/>
      <c r="I96" s="73"/>
      <c r="J96" s="7"/>
    </row>
    <row r="97" spans="1:10">
      <c r="A97" s="549">
        <f t="shared" si="7"/>
        <v>42</v>
      </c>
      <c r="C97" s="536" t="s">
        <v>195</v>
      </c>
      <c r="D97" s="148">
        <v>2016</v>
      </c>
      <c r="E97" s="7">
        <f t="shared" si="8"/>
        <v>11199827.599999808</v>
      </c>
      <c r="F97" s="554">
        <v>0</v>
      </c>
      <c r="G97" s="552">
        <f t="shared" si="6"/>
        <v>11199827.599999808</v>
      </c>
      <c r="H97" s="552"/>
      <c r="I97" s="73"/>
      <c r="J97" s="7"/>
    </row>
    <row r="98" spans="1:10">
      <c r="A98" s="549">
        <f t="shared" si="7"/>
        <v>43</v>
      </c>
      <c r="C98" s="538" t="s">
        <v>183</v>
      </c>
      <c r="D98" s="148">
        <v>2016</v>
      </c>
      <c r="E98" s="7">
        <f t="shared" si="8"/>
        <v>5071299.2499996573</v>
      </c>
      <c r="F98" s="554">
        <v>0</v>
      </c>
      <c r="G98" s="552">
        <f t="shared" si="6"/>
        <v>5071299.2499996573</v>
      </c>
      <c r="H98" s="552"/>
      <c r="I98" s="73"/>
      <c r="J98" s="7"/>
    </row>
    <row r="99" spans="1:10">
      <c r="A99" s="549">
        <f t="shared" si="7"/>
        <v>44</v>
      </c>
      <c r="C99" s="536" t="s">
        <v>184</v>
      </c>
      <c r="D99" s="148">
        <v>2016</v>
      </c>
      <c r="E99" s="7">
        <f t="shared" si="8"/>
        <v>1593453.590000473</v>
      </c>
      <c r="F99" s="554">
        <v>0</v>
      </c>
      <c r="G99" s="552">
        <f t="shared" si="6"/>
        <v>1593453.590000473</v>
      </c>
      <c r="H99" s="552"/>
      <c r="I99" s="73"/>
      <c r="J99" s="7"/>
    </row>
    <row r="100" spans="1:10">
      <c r="A100" s="549">
        <f t="shared" si="7"/>
        <v>45</v>
      </c>
      <c r="C100" s="536" t="s">
        <v>185</v>
      </c>
      <c r="D100" s="148">
        <v>2016</v>
      </c>
      <c r="E100" s="7">
        <f t="shared" si="8"/>
        <v>2856174.700000003</v>
      </c>
      <c r="F100" s="554">
        <v>0</v>
      </c>
      <c r="G100" s="552">
        <f t="shared" si="6"/>
        <v>2856174.700000003</v>
      </c>
      <c r="H100" s="552"/>
      <c r="I100" s="73"/>
      <c r="J100" s="7"/>
    </row>
    <row r="101" spans="1:10">
      <c r="A101" s="549">
        <f t="shared" si="7"/>
        <v>46</v>
      </c>
      <c r="C101" s="538" t="s">
        <v>186</v>
      </c>
      <c r="D101" s="148">
        <v>2016</v>
      </c>
      <c r="E101" s="7">
        <f t="shared" si="8"/>
        <v>1114637.6499999017</v>
      </c>
      <c r="F101" s="554">
        <v>0</v>
      </c>
      <c r="G101" s="552">
        <f t="shared" si="6"/>
        <v>1114637.6499999017</v>
      </c>
      <c r="H101" s="552"/>
      <c r="I101" s="73"/>
      <c r="J101" s="7"/>
    </row>
    <row r="102" spans="1:10">
      <c r="A102" s="549">
        <f t="shared" si="7"/>
        <v>47</v>
      </c>
      <c r="C102" s="536" t="s">
        <v>187</v>
      </c>
      <c r="D102" s="148">
        <v>2016</v>
      </c>
      <c r="E102" s="7">
        <f t="shared" si="8"/>
        <v>-841844.24000051618</v>
      </c>
      <c r="F102" s="554">
        <v>0</v>
      </c>
      <c r="G102" s="552">
        <f t="shared" si="6"/>
        <v>-841844.24000051618</v>
      </c>
      <c r="H102" s="552"/>
      <c r="I102" s="73"/>
      <c r="J102" s="7"/>
    </row>
    <row r="103" spans="1:10">
      <c r="A103" s="549">
        <f t="shared" si="7"/>
        <v>48</v>
      </c>
      <c r="C103" s="536" t="s">
        <v>188</v>
      </c>
      <c r="D103" s="148">
        <v>2016</v>
      </c>
      <c r="E103" s="7">
        <f t="shared" si="8"/>
        <v>244140350.10000059</v>
      </c>
      <c r="F103" s="554">
        <v>0</v>
      </c>
      <c r="G103" s="552">
        <f t="shared" si="6"/>
        <v>244140350.10000059</v>
      </c>
      <c r="H103" s="552"/>
      <c r="I103" s="73"/>
      <c r="J103" s="7"/>
    </row>
    <row r="104" spans="1:10">
      <c r="A104" s="549">
        <f t="shared" si="7"/>
        <v>49</v>
      </c>
      <c r="C104" s="538" t="s">
        <v>189</v>
      </c>
      <c r="D104" s="148">
        <v>2016</v>
      </c>
      <c r="E104" s="7">
        <f t="shared" si="8"/>
        <v>18523000.800000213</v>
      </c>
      <c r="F104" s="554">
        <v>0</v>
      </c>
      <c r="G104" s="552">
        <f t="shared" si="6"/>
        <v>18523000.800000213</v>
      </c>
      <c r="H104" s="552"/>
      <c r="I104" s="73"/>
      <c r="J104" s="7"/>
    </row>
    <row r="105" spans="1:10">
      <c r="A105" s="549">
        <f t="shared" si="7"/>
        <v>50</v>
      </c>
      <c r="C105" s="538" t="s">
        <v>190</v>
      </c>
      <c r="D105" s="148">
        <v>2016</v>
      </c>
      <c r="E105" s="7">
        <f t="shared" si="8"/>
        <v>6351777.6699994653</v>
      </c>
      <c r="F105" s="554">
        <v>0</v>
      </c>
      <c r="G105" s="552">
        <f t="shared" si="6"/>
        <v>6351777.6699994653</v>
      </c>
      <c r="H105" s="552"/>
      <c r="I105" s="73"/>
      <c r="J105" s="7"/>
    </row>
    <row r="106" spans="1:10">
      <c r="A106" s="549">
        <f t="shared" si="7"/>
        <v>51</v>
      </c>
      <c r="C106" s="538" t="s">
        <v>180</v>
      </c>
      <c r="D106" s="148">
        <v>2016</v>
      </c>
      <c r="E106" s="91">
        <f t="shared" si="8"/>
        <v>39688625.790000379</v>
      </c>
      <c r="F106" s="430">
        <v>0</v>
      </c>
      <c r="G106" s="369">
        <f t="shared" si="6"/>
        <v>39688625.790000379</v>
      </c>
      <c r="H106" s="552"/>
      <c r="I106" s="73"/>
      <c r="J106" s="7"/>
    </row>
    <row r="107" spans="1:10">
      <c r="A107" s="549">
        <f t="shared" si="7"/>
        <v>52</v>
      </c>
      <c r="C107" s="538" t="s">
        <v>196</v>
      </c>
      <c r="D107" s="542"/>
      <c r="E107" s="63">
        <f>SUM(E94:E106)</f>
        <v>343306492.43000019</v>
      </c>
      <c r="F107" s="63">
        <f t="shared" ref="F107:G107" si="9">SUM(F94:F106)</f>
        <v>0</v>
      </c>
      <c r="G107" s="63">
        <f t="shared" si="9"/>
        <v>343306492.43000019</v>
      </c>
      <c r="H107" s="552"/>
      <c r="I107" s="73"/>
      <c r="J107" s="1"/>
    </row>
    <row r="108" spans="1:10">
      <c r="A108" s="549"/>
      <c r="C108" s="538"/>
      <c r="D108" s="542"/>
      <c r="E108" s="63"/>
      <c r="F108" s="552"/>
      <c r="G108" s="552"/>
      <c r="H108" s="552"/>
      <c r="I108" s="73"/>
      <c r="J108" s="1"/>
    </row>
    <row r="110" spans="1:10">
      <c r="C110" s="192" t="s">
        <v>1564</v>
      </c>
    </row>
    <row r="112" spans="1:10">
      <c r="C112" s="1" t="s">
        <v>1565</v>
      </c>
      <c r="E112" s="84" t="s">
        <v>363</v>
      </c>
      <c r="F112" s="84" t="s">
        <v>347</v>
      </c>
      <c r="G112" s="84" t="s">
        <v>348</v>
      </c>
      <c r="H112" s="84" t="s">
        <v>349</v>
      </c>
    </row>
    <row r="113" spans="1:9">
      <c r="G113" s="512" t="s">
        <v>1676</v>
      </c>
      <c r="H113" s="512" t="s">
        <v>1677</v>
      </c>
    </row>
    <row r="114" spans="1:9">
      <c r="C114" s="549" t="s">
        <v>538</v>
      </c>
      <c r="H114" s="504" t="s">
        <v>1678</v>
      </c>
    </row>
    <row r="115" spans="1:9">
      <c r="C115" s="549" t="s">
        <v>193</v>
      </c>
      <c r="E115" s="549" t="s">
        <v>376</v>
      </c>
      <c r="F115" s="549" t="s">
        <v>1566</v>
      </c>
      <c r="G115" s="549" t="s">
        <v>1005</v>
      </c>
      <c r="H115" s="549" t="s">
        <v>1139</v>
      </c>
    </row>
    <row r="116" spans="1:9">
      <c r="C116" s="25" t="s">
        <v>192</v>
      </c>
      <c r="D116" s="25" t="s">
        <v>193</v>
      </c>
      <c r="E116" s="3" t="s">
        <v>1567</v>
      </c>
      <c r="F116" s="3" t="s">
        <v>1093</v>
      </c>
      <c r="G116" s="3" t="s">
        <v>3</v>
      </c>
      <c r="H116" s="3" t="s">
        <v>1562</v>
      </c>
    </row>
    <row r="117" spans="1:9">
      <c r="A117" s="549">
        <f>A107+1</f>
        <v>53</v>
      </c>
      <c r="C117" s="538" t="s">
        <v>180</v>
      </c>
      <c r="D117" s="1239">
        <v>2015</v>
      </c>
      <c r="E117" s="1136">
        <v>2663183372.3872147</v>
      </c>
      <c r="F117" s="1136">
        <v>167703599.04086921</v>
      </c>
      <c r="G117" s="7">
        <f t="shared" ref="G117:G129" si="10">E117-F117</f>
        <v>2495479773.3463454</v>
      </c>
      <c r="H117" s="7">
        <f>E117-E117</f>
        <v>0</v>
      </c>
      <c r="I117" s="601"/>
    </row>
    <row r="118" spans="1:9">
      <c r="A118" s="549">
        <f>A117+1</f>
        <v>54</v>
      </c>
      <c r="C118" s="538" t="s">
        <v>181</v>
      </c>
      <c r="D118" s="663">
        <v>2016</v>
      </c>
      <c r="E118" s="1136">
        <v>2665129021.0972147</v>
      </c>
      <c r="F118" s="1136">
        <v>173373247.73192602</v>
      </c>
      <c r="G118" s="7">
        <f t="shared" si="10"/>
        <v>2491755773.3652887</v>
      </c>
      <c r="H118" s="7">
        <f>E118-E117</f>
        <v>1945648.7100000381</v>
      </c>
    </row>
    <row r="119" spans="1:9">
      <c r="A119" s="549">
        <f t="shared" ref="A119:A129" si="11">A118+1</f>
        <v>55</v>
      </c>
      <c r="C119" s="536" t="s">
        <v>182</v>
      </c>
      <c r="D119" s="663">
        <v>2016</v>
      </c>
      <c r="E119" s="1136">
        <v>2668823727.7672148</v>
      </c>
      <c r="F119" s="1136">
        <v>179046983.12520549</v>
      </c>
      <c r="G119" s="7">
        <f t="shared" si="10"/>
        <v>2489776744.6420093</v>
      </c>
      <c r="H119" s="7">
        <f t="shared" ref="H119:H129" si="12">E119-E118</f>
        <v>3694706.6700000763</v>
      </c>
    </row>
    <row r="120" spans="1:9">
      <c r="A120" s="549">
        <f t="shared" si="11"/>
        <v>56</v>
      </c>
      <c r="C120" s="536" t="s">
        <v>195</v>
      </c>
      <c r="D120" s="663">
        <v>2016</v>
      </c>
      <c r="E120" s="1136">
        <v>2679961025.0072145</v>
      </c>
      <c r="F120" s="1136">
        <v>184728605.18315995</v>
      </c>
      <c r="G120" s="7">
        <f t="shared" si="10"/>
        <v>2495232419.8240547</v>
      </c>
      <c r="H120" s="7">
        <f t="shared" si="12"/>
        <v>11137297.239999771</v>
      </c>
    </row>
    <row r="121" spans="1:9">
      <c r="A121" s="549">
        <f t="shared" si="11"/>
        <v>57</v>
      </c>
      <c r="C121" s="538" t="s">
        <v>183</v>
      </c>
      <c r="D121" s="663">
        <v>2016</v>
      </c>
      <c r="E121" s="1136">
        <v>2685306647.2072144</v>
      </c>
      <c r="F121" s="1136">
        <v>190412869.86969563</v>
      </c>
      <c r="G121" s="7">
        <f t="shared" si="10"/>
        <v>2494893777.3375187</v>
      </c>
      <c r="H121" s="7">
        <f t="shared" si="12"/>
        <v>5345622.1999998093</v>
      </c>
    </row>
    <row r="122" spans="1:9">
      <c r="A122" s="549">
        <f t="shared" si="11"/>
        <v>58</v>
      </c>
      <c r="C122" s="536" t="s">
        <v>184</v>
      </c>
      <c r="D122" s="663">
        <v>2016</v>
      </c>
      <c r="E122" s="1136">
        <v>2686883031.1872149</v>
      </c>
      <c r="F122" s="1136">
        <v>196110287.34836087</v>
      </c>
      <c r="G122" s="7">
        <f t="shared" si="10"/>
        <v>2490772743.8388538</v>
      </c>
      <c r="H122" s="7">
        <f t="shared" si="12"/>
        <v>1576383.9800004959</v>
      </c>
    </row>
    <row r="123" spans="1:9">
      <c r="A123" s="549">
        <f t="shared" si="11"/>
        <v>59</v>
      </c>
      <c r="C123" s="536" t="s">
        <v>185</v>
      </c>
      <c r="D123" s="663">
        <v>2016</v>
      </c>
      <c r="E123" s="1136">
        <v>2689728285.6872149</v>
      </c>
      <c r="F123" s="1136">
        <v>201811404.33571362</v>
      </c>
      <c r="G123" s="7">
        <f t="shared" si="10"/>
        <v>2487916881.3515015</v>
      </c>
      <c r="H123" s="7">
        <f t="shared" si="12"/>
        <v>2845254.5</v>
      </c>
    </row>
    <row r="124" spans="1:9">
      <c r="A124" s="549">
        <f t="shared" si="11"/>
        <v>60</v>
      </c>
      <c r="C124" s="538" t="s">
        <v>186</v>
      </c>
      <c r="D124" s="663">
        <v>2016</v>
      </c>
      <c r="E124" s="1136">
        <v>2690801506.4672146</v>
      </c>
      <c r="F124" s="1136">
        <v>207518568.02189752</v>
      </c>
      <c r="G124" s="7">
        <f t="shared" si="10"/>
        <v>2483282938.4453173</v>
      </c>
      <c r="H124" s="7">
        <f t="shared" si="12"/>
        <v>1073220.779999733</v>
      </c>
    </row>
    <row r="125" spans="1:9">
      <c r="A125" s="549">
        <f t="shared" si="11"/>
        <v>61</v>
      </c>
      <c r="C125" s="536" t="s">
        <v>187</v>
      </c>
      <c r="D125" s="663">
        <v>2016</v>
      </c>
      <c r="E125" s="1136">
        <v>2689878089.3672142</v>
      </c>
      <c r="F125" s="1136">
        <v>213228014.28842703</v>
      </c>
      <c r="G125" s="7">
        <f t="shared" si="10"/>
        <v>2476650075.0787873</v>
      </c>
      <c r="H125" s="7">
        <f t="shared" si="12"/>
        <v>-923417.10000038147</v>
      </c>
    </row>
    <row r="126" spans="1:9">
      <c r="A126" s="549">
        <f t="shared" si="11"/>
        <v>62</v>
      </c>
      <c r="C126" s="536" t="s">
        <v>188</v>
      </c>
      <c r="D126" s="663">
        <v>2016</v>
      </c>
      <c r="E126" s="1136">
        <v>2933960338.7272148</v>
      </c>
      <c r="F126" s="1136">
        <v>218942636.50171661</v>
      </c>
      <c r="G126" s="7">
        <f t="shared" si="10"/>
        <v>2715017702.2254982</v>
      </c>
      <c r="H126" s="7">
        <f t="shared" si="12"/>
        <v>244082249.36000061</v>
      </c>
    </row>
    <row r="127" spans="1:9">
      <c r="A127" s="549">
        <f t="shared" si="11"/>
        <v>63</v>
      </c>
      <c r="C127" s="538" t="s">
        <v>189</v>
      </c>
      <c r="D127" s="663">
        <v>2016</v>
      </c>
      <c r="E127" s="1136">
        <v>2952458625.9772148</v>
      </c>
      <c r="F127" s="1136">
        <v>225111294.19797328</v>
      </c>
      <c r="G127" s="7">
        <f t="shared" si="10"/>
        <v>2727347331.7792416</v>
      </c>
      <c r="H127" s="7">
        <f t="shared" si="12"/>
        <v>18498287.25</v>
      </c>
    </row>
    <row r="128" spans="1:9">
      <c r="A128" s="549">
        <f t="shared" si="11"/>
        <v>64</v>
      </c>
      <c r="C128" s="538" t="s">
        <v>190</v>
      </c>
      <c r="D128" s="663">
        <v>2016</v>
      </c>
      <c r="E128" s="1136">
        <v>2958963118.0272145</v>
      </c>
      <c r="F128" s="1136">
        <v>231322115.42164299</v>
      </c>
      <c r="G128" s="7">
        <f t="shared" si="10"/>
        <v>2727641002.6055717</v>
      </c>
      <c r="H128" s="7">
        <f t="shared" si="12"/>
        <v>6504492.0499997139</v>
      </c>
    </row>
    <row r="129" spans="1:8">
      <c r="A129" s="549">
        <f t="shared" si="11"/>
        <v>65</v>
      </c>
      <c r="C129" s="538" t="s">
        <v>180</v>
      </c>
      <c r="D129" s="663">
        <v>2016</v>
      </c>
      <c r="E129" s="1136">
        <v>2998641929.7072148</v>
      </c>
      <c r="F129" s="1136">
        <v>237545575.89701298</v>
      </c>
      <c r="G129" s="7">
        <f t="shared" si="10"/>
        <v>2761096353.8102016</v>
      </c>
      <c r="H129" s="7">
        <f t="shared" si="12"/>
        <v>39678811.680000305</v>
      </c>
    </row>
    <row r="130" spans="1:8">
      <c r="A130" s="549"/>
      <c r="C130" s="538"/>
      <c r="D130" s="542"/>
    </row>
    <row r="132" spans="1:8">
      <c r="C132" s="192" t="s">
        <v>1568</v>
      </c>
      <c r="E132" s="84" t="s">
        <v>363</v>
      </c>
      <c r="F132" s="84" t="s">
        <v>347</v>
      </c>
      <c r="G132" s="84" t="s">
        <v>348</v>
      </c>
      <c r="H132" s="84" t="s">
        <v>349</v>
      </c>
    </row>
    <row r="133" spans="1:8">
      <c r="G133" s="512" t="s">
        <v>1676</v>
      </c>
      <c r="H133" s="512" t="s">
        <v>1677</v>
      </c>
    </row>
    <row r="134" spans="1:8">
      <c r="C134" s="549" t="s">
        <v>538</v>
      </c>
      <c r="H134" s="504" t="s">
        <v>1678</v>
      </c>
    </row>
    <row r="135" spans="1:8">
      <c r="C135" s="549" t="s">
        <v>193</v>
      </c>
      <c r="E135" s="549" t="s">
        <v>376</v>
      </c>
      <c r="F135" s="549" t="s">
        <v>1566</v>
      </c>
      <c r="G135" s="549" t="s">
        <v>1005</v>
      </c>
      <c r="H135" s="549" t="s">
        <v>1139</v>
      </c>
    </row>
    <row r="136" spans="1:8">
      <c r="C136" s="25" t="s">
        <v>192</v>
      </c>
      <c r="D136" s="25" t="s">
        <v>193</v>
      </c>
      <c r="E136" s="3" t="s">
        <v>1567</v>
      </c>
      <c r="F136" s="3" t="s">
        <v>1093</v>
      </c>
      <c r="G136" s="3" t="s">
        <v>3</v>
      </c>
      <c r="H136" s="3" t="s">
        <v>1562</v>
      </c>
    </row>
    <row r="137" spans="1:8">
      <c r="A137" s="549">
        <f>A129+1</f>
        <v>66</v>
      </c>
      <c r="C137" s="538" t="s">
        <v>180</v>
      </c>
      <c r="D137" s="1239">
        <v>2015</v>
      </c>
      <c r="E137" s="1136">
        <v>191508708.01999995</v>
      </c>
      <c r="F137" s="1136">
        <v>31790469.157345671</v>
      </c>
      <c r="G137" s="7">
        <f>E137-F137</f>
        <v>159718238.86265427</v>
      </c>
      <c r="H137" s="7">
        <f>E137-E137</f>
        <v>0</v>
      </c>
    </row>
    <row r="138" spans="1:8">
      <c r="A138" s="549">
        <f>A137+1</f>
        <v>67</v>
      </c>
      <c r="C138" s="538" t="s">
        <v>181</v>
      </c>
      <c r="D138" s="663">
        <v>2016</v>
      </c>
      <c r="E138" s="1136">
        <v>191508708.01999995</v>
      </c>
      <c r="F138" s="1136">
        <v>32185406.036773752</v>
      </c>
      <c r="G138" s="7">
        <f t="shared" ref="G138:G149" si="13">E138-F138</f>
        <v>159323301.98322621</v>
      </c>
      <c r="H138" s="7">
        <f>E138-E137</f>
        <v>0</v>
      </c>
    </row>
    <row r="139" spans="1:8">
      <c r="A139" s="549">
        <f t="shared" ref="A139:A149" si="14">A138+1</f>
        <v>68</v>
      </c>
      <c r="C139" s="536" t="s">
        <v>182</v>
      </c>
      <c r="D139" s="663">
        <v>2016</v>
      </c>
      <c r="E139" s="1136">
        <v>191508708.01999995</v>
      </c>
      <c r="F139" s="1136">
        <v>32580342.916201837</v>
      </c>
      <c r="G139" s="7">
        <f t="shared" si="13"/>
        <v>158928365.10379812</v>
      </c>
      <c r="H139" s="7">
        <f t="shared" ref="H139:H149" si="15">E139-E138</f>
        <v>0</v>
      </c>
    </row>
    <row r="140" spans="1:8">
      <c r="A140" s="549">
        <f t="shared" si="14"/>
        <v>69</v>
      </c>
      <c r="C140" s="536" t="s">
        <v>195</v>
      </c>
      <c r="D140" s="663">
        <v>2016</v>
      </c>
      <c r="E140" s="1136">
        <v>191508708.01999995</v>
      </c>
      <c r="F140" s="1136">
        <v>32975279.795629915</v>
      </c>
      <c r="G140" s="7">
        <f t="shared" si="13"/>
        <v>158533428.22437003</v>
      </c>
      <c r="H140" s="7">
        <f t="shared" si="15"/>
        <v>0</v>
      </c>
    </row>
    <row r="141" spans="1:8">
      <c r="A141" s="549">
        <f t="shared" si="14"/>
        <v>70</v>
      </c>
      <c r="C141" s="538" t="s">
        <v>183</v>
      </c>
      <c r="D141" s="663">
        <v>2016</v>
      </c>
      <c r="E141" s="1136">
        <v>191508708.01999995</v>
      </c>
      <c r="F141" s="1136">
        <v>33370216.675058004</v>
      </c>
      <c r="G141" s="7">
        <f t="shared" si="13"/>
        <v>158138491.34494194</v>
      </c>
      <c r="H141" s="7">
        <f t="shared" si="15"/>
        <v>0</v>
      </c>
    </row>
    <row r="142" spans="1:8">
      <c r="A142" s="549">
        <f t="shared" si="14"/>
        <v>71</v>
      </c>
      <c r="C142" s="536" t="s">
        <v>184</v>
      </c>
      <c r="D142" s="663">
        <v>2016</v>
      </c>
      <c r="E142" s="1136">
        <v>191508708.01999995</v>
      </c>
      <c r="F142" s="1136">
        <v>33765153.554486088</v>
      </c>
      <c r="G142" s="7">
        <f t="shared" si="13"/>
        <v>157743554.46551386</v>
      </c>
      <c r="H142" s="7">
        <f t="shared" si="15"/>
        <v>0</v>
      </c>
    </row>
    <row r="143" spans="1:8">
      <c r="A143" s="549">
        <f t="shared" si="14"/>
        <v>72</v>
      </c>
      <c r="C143" s="536" t="s">
        <v>185</v>
      </c>
      <c r="D143" s="663">
        <v>2016</v>
      </c>
      <c r="E143" s="1136">
        <v>191508708.01999995</v>
      </c>
      <c r="F143" s="1136">
        <v>34160090.43391417</v>
      </c>
      <c r="G143" s="7">
        <f t="shared" si="13"/>
        <v>157348617.5860858</v>
      </c>
      <c r="H143" s="7">
        <f t="shared" si="15"/>
        <v>0</v>
      </c>
    </row>
    <row r="144" spans="1:8">
      <c r="A144" s="549">
        <f t="shared" si="14"/>
        <v>73</v>
      </c>
      <c r="C144" s="538" t="s">
        <v>186</v>
      </c>
      <c r="D144" s="663">
        <v>2016</v>
      </c>
      <c r="E144" s="1136">
        <v>191508708.01999995</v>
      </c>
      <c r="F144" s="1136">
        <v>34555027.313342258</v>
      </c>
      <c r="G144" s="7">
        <f t="shared" si="13"/>
        <v>156953680.70665771</v>
      </c>
      <c r="H144" s="7">
        <f t="shared" si="15"/>
        <v>0</v>
      </c>
    </row>
    <row r="145" spans="1:8">
      <c r="A145" s="549">
        <f t="shared" si="14"/>
        <v>74</v>
      </c>
      <c r="C145" s="536" t="s">
        <v>187</v>
      </c>
      <c r="D145" s="663">
        <v>2016</v>
      </c>
      <c r="E145" s="1136">
        <v>191508708.01999995</v>
      </c>
      <c r="F145" s="1136">
        <v>34949964.19277034</v>
      </c>
      <c r="G145" s="7">
        <f t="shared" si="13"/>
        <v>156558743.82722962</v>
      </c>
      <c r="H145" s="7">
        <f t="shared" si="15"/>
        <v>0</v>
      </c>
    </row>
    <row r="146" spans="1:8">
      <c r="A146" s="549">
        <f t="shared" si="14"/>
        <v>75</v>
      </c>
      <c r="C146" s="536" t="s">
        <v>188</v>
      </c>
      <c r="D146" s="663">
        <v>2016</v>
      </c>
      <c r="E146" s="1136">
        <v>191508708.01999995</v>
      </c>
      <c r="F146" s="1136">
        <v>35344901.072198421</v>
      </c>
      <c r="G146" s="7">
        <f t="shared" si="13"/>
        <v>156163806.94780153</v>
      </c>
      <c r="H146" s="7">
        <f t="shared" si="15"/>
        <v>0</v>
      </c>
    </row>
    <row r="147" spans="1:8">
      <c r="A147" s="549">
        <f t="shared" si="14"/>
        <v>76</v>
      </c>
      <c r="C147" s="538" t="s">
        <v>189</v>
      </c>
      <c r="D147" s="663">
        <v>2016</v>
      </c>
      <c r="E147" s="1136">
        <v>191508708.01999995</v>
      </c>
      <c r="F147" s="1136">
        <v>35739837.951626502</v>
      </c>
      <c r="G147" s="7">
        <f t="shared" si="13"/>
        <v>155768870.06837344</v>
      </c>
      <c r="H147" s="7">
        <f t="shared" si="15"/>
        <v>0</v>
      </c>
    </row>
    <row r="148" spans="1:8">
      <c r="A148" s="549">
        <f t="shared" si="14"/>
        <v>77</v>
      </c>
      <c r="C148" s="538" t="s">
        <v>190</v>
      </c>
      <c r="D148" s="663">
        <v>2016</v>
      </c>
      <c r="E148" s="1136">
        <v>191508708.01999995</v>
      </c>
      <c r="F148" s="1136">
        <v>36134774.831054583</v>
      </c>
      <c r="G148" s="7">
        <f t="shared" si="13"/>
        <v>155373933.18894535</v>
      </c>
      <c r="H148" s="7">
        <f t="shared" si="15"/>
        <v>0</v>
      </c>
    </row>
    <row r="149" spans="1:8">
      <c r="A149" s="549">
        <f t="shared" si="14"/>
        <v>78</v>
      </c>
      <c r="C149" s="538" t="s">
        <v>180</v>
      </c>
      <c r="D149" s="663">
        <v>2016</v>
      </c>
      <c r="E149" s="1136">
        <v>191508708.01999995</v>
      </c>
      <c r="F149" s="1136">
        <v>36529711.710482672</v>
      </c>
      <c r="G149" s="7">
        <f t="shared" si="13"/>
        <v>154978996.30951726</v>
      </c>
      <c r="H149" s="7">
        <f t="shared" si="15"/>
        <v>0</v>
      </c>
    </row>
    <row r="150" spans="1:8">
      <c r="A150" s="549"/>
    </row>
    <row r="151" spans="1:8" ht="12.75" customHeight="1"/>
    <row r="152" spans="1:8">
      <c r="C152" s="192" t="s">
        <v>1569</v>
      </c>
      <c r="E152" s="84" t="s">
        <v>363</v>
      </c>
      <c r="F152" s="84" t="s">
        <v>347</v>
      </c>
      <c r="G152" s="84" t="s">
        <v>348</v>
      </c>
      <c r="H152" s="84" t="s">
        <v>349</v>
      </c>
    </row>
    <row r="153" spans="1:8">
      <c r="G153" s="512" t="s">
        <v>1676</v>
      </c>
      <c r="H153" s="512" t="s">
        <v>1677</v>
      </c>
    </row>
    <row r="154" spans="1:8">
      <c r="C154" s="549" t="s">
        <v>538</v>
      </c>
      <c r="H154" s="504" t="s">
        <v>1678</v>
      </c>
    </row>
    <row r="155" spans="1:8">
      <c r="C155" s="549" t="s">
        <v>193</v>
      </c>
      <c r="E155" s="549" t="s">
        <v>376</v>
      </c>
      <c r="F155" s="549" t="s">
        <v>1566</v>
      </c>
      <c r="G155" s="549" t="s">
        <v>1005</v>
      </c>
      <c r="H155" s="549" t="s">
        <v>1139</v>
      </c>
    </row>
    <row r="156" spans="1:8">
      <c r="C156" s="25" t="s">
        <v>192</v>
      </c>
      <c r="D156" s="25" t="s">
        <v>193</v>
      </c>
      <c r="E156" s="3" t="s">
        <v>1567</v>
      </c>
      <c r="F156" s="3" t="s">
        <v>1093</v>
      </c>
      <c r="G156" s="3" t="s">
        <v>3</v>
      </c>
      <c r="H156" s="3" t="s">
        <v>1562</v>
      </c>
    </row>
    <row r="157" spans="1:8">
      <c r="A157" s="549">
        <f>A149+1</f>
        <v>79</v>
      </c>
      <c r="C157" s="538" t="s">
        <v>180</v>
      </c>
      <c r="D157" s="1239">
        <v>2015</v>
      </c>
      <c r="E157" s="1136">
        <v>775314541.12</v>
      </c>
      <c r="F157" s="1136">
        <v>46287631.909682505</v>
      </c>
      <c r="G157" s="7">
        <f t="shared" ref="G157:G169" si="16">E157-F157</f>
        <v>729026909.21031749</v>
      </c>
      <c r="H157" s="7">
        <f>E157-E157</f>
        <v>0</v>
      </c>
    </row>
    <row r="158" spans="1:8">
      <c r="A158" s="549">
        <f>A157+1</f>
        <v>80</v>
      </c>
      <c r="C158" s="538" t="s">
        <v>181</v>
      </c>
      <c r="D158" s="663">
        <v>2016</v>
      </c>
      <c r="E158" s="1136">
        <v>775308403.60000002</v>
      </c>
      <c r="F158" s="1136">
        <v>47943536.977787167</v>
      </c>
      <c r="G158" s="7">
        <f t="shared" si="16"/>
        <v>727364866.62221289</v>
      </c>
      <c r="H158" s="7">
        <f>E158-E157</f>
        <v>-6137.5199999809265</v>
      </c>
    </row>
    <row r="159" spans="1:8">
      <c r="A159" s="549">
        <f t="shared" ref="A159:A169" si="17">A158+1</f>
        <v>81</v>
      </c>
      <c r="C159" s="536" t="s">
        <v>182</v>
      </c>
      <c r="D159" s="663">
        <v>2016</v>
      </c>
      <c r="E159" s="1136">
        <v>774170649.61000013</v>
      </c>
      <c r="F159" s="1136">
        <v>49599429.30741667</v>
      </c>
      <c r="G159" s="7">
        <f t="shared" si="16"/>
        <v>724571220.30258346</v>
      </c>
      <c r="H159" s="7">
        <f t="shared" ref="H159:H169" si="18">E159-E158</f>
        <v>-1137753.9899998903</v>
      </c>
    </row>
    <row r="160" spans="1:8">
      <c r="A160" s="549">
        <f t="shared" si="17"/>
        <v>82</v>
      </c>
      <c r="C160" s="536" t="s">
        <v>195</v>
      </c>
      <c r="D160" s="663">
        <v>2016</v>
      </c>
      <c r="E160" s="1136">
        <v>774178096.34000015</v>
      </c>
      <c r="F160" s="1136">
        <v>51251688.103636749</v>
      </c>
      <c r="G160" s="7">
        <f t="shared" si="16"/>
        <v>722926408.23636341</v>
      </c>
      <c r="H160" s="7">
        <f t="shared" si="18"/>
        <v>7446.7300000190735</v>
      </c>
    </row>
    <row r="161" spans="1:8">
      <c r="A161" s="549">
        <f t="shared" si="17"/>
        <v>83</v>
      </c>
      <c r="C161" s="538" t="s">
        <v>183</v>
      </c>
      <c r="D161" s="663">
        <v>2016</v>
      </c>
      <c r="E161" s="1136">
        <v>773955585.87</v>
      </c>
      <c r="F161" s="1136">
        <v>52903963.210640915</v>
      </c>
      <c r="G161" s="7">
        <f t="shared" si="16"/>
        <v>721051622.6593591</v>
      </c>
      <c r="H161" s="7">
        <f t="shared" si="18"/>
        <v>-222510.47000014782</v>
      </c>
    </row>
    <row r="162" spans="1:8">
      <c r="A162" s="549">
        <f t="shared" si="17"/>
        <v>84</v>
      </c>
      <c r="C162" s="536" t="s">
        <v>184</v>
      </c>
      <c r="D162" s="663">
        <v>2016</v>
      </c>
      <c r="E162" s="1136">
        <v>773958248.64999998</v>
      </c>
      <c r="F162" s="1136">
        <v>54555638.141588256</v>
      </c>
      <c r="G162" s="7">
        <f t="shared" si="16"/>
        <v>719402610.50841177</v>
      </c>
      <c r="H162" s="7">
        <f t="shared" si="18"/>
        <v>2662.7799999713898</v>
      </c>
    </row>
    <row r="163" spans="1:8">
      <c r="A163" s="549">
        <f t="shared" si="17"/>
        <v>85</v>
      </c>
      <c r="C163" s="536" t="s">
        <v>185</v>
      </c>
      <c r="D163" s="663">
        <v>2016</v>
      </c>
      <c r="E163" s="1136">
        <v>773962614.42999995</v>
      </c>
      <c r="F163" s="1136">
        <v>56207319.283808082</v>
      </c>
      <c r="G163" s="7">
        <f t="shared" si="16"/>
        <v>717755295.14619184</v>
      </c>
      <c r="H163" s="7">
        <f t="shared" si="18"/>
        <v>4365.7799999713898</v>
      </c>
    </row>
    <row r="164" spans="1:8">
      <c r="A164" s="549">
        <f t="shared" si="17"/>
        <v>86</v>
      </c>
      <c r="C164" s="538" t="s">
        <v>186</v>
      </c>
      <c r="D164" s="663">
        <v>2016</v>
      </c>
      <c r="E164" s="1136">
        <v>773963689.12000012</v>
      </c>
      <c r="F164" s="1136">
        <v>57859009.605354674</v>
      </c>
      <c r="G164" s="7">
        <f t="shared" si="16"/>
        <v>716104679.51464546</v>
      </c>
      <c r="H164" s="7">
        <f t="shared" si="18"/>
        <v>1074.6900001764297</v>
      </c>
    </row>
    <row r="165" spans="1:8">
      <c r="A165" s="549">
        <f t="shared" si="17"/>
        <v>87</v>
      </c>
      <c r="C165" s="536" t="s">
        <v>187</v>
      </c>
      <c r="D165" s="663">
        <v>2016</v>
      </c>
      <c r="E165" s="1136">
        <v>773964361.12</v>
      </c>
      <c r="F165" s="1136">
        <v>59510702.403275259</v>
      </c>
      <c r="G165" s="7">
        <f t="shared" si="16"/>
        <v>714453658.71672475</v>
      </c>
      <c r="H165" s="7">
        <f t="shared" si="18"/>
        <v>671.99999988079071</v>
      </c>
    </row>
    <row r="166" spans="1:8">
      <c r="A166" s="549">
        <f t="shared" si="17"/>
        <v>88</v>
      </c>
      <c r="C166" s="536" t="s">
        <v>188</v>
      </c>
      <c r="D166" s="663">
        <v>2016</v>
      </c>
      <c r="E166" s="1136">
        <v>773964382.90999997</v>
      </c>
      <c r="F166" s="1136">
        <v>61162397.03061308</v>
      </c>
      <c r="G166" s="7">
        <f t="shared" si="16"/>
        <v>712801985.8793869</v>
      </c>
      <c r="H166" s="7">
        <f t="shared" si="18"/>
        <v>21.789999961853027</v>
      </c>
    </row>
    <row r="167" spans="1:8">
      <c r="A167" s="549">
        <f t="shared" si="17"/>
        <v>89</v>
      </c>
      <c r="C167" s="538" t="s">
        <v>189</v>
      </c>
      <c r="D167" s="663">
        <v>2016</v>
      </c>
      <c r="E167" s="1136">
        <v>773916796.82000017</v>
      </c>
      <c r="F167" s="1136">
        <v>62814091.815326661</v>
      </c>
      <c r="G167" s="7">
        <f t="shared" si="16"/>
        <v>711102705.00467348</v>
      </c>
      <c r="H167" s="7">
        <f t="shared" si="18"/>
        <v>-47586.08999979496</v>
      </c>
    </row>
    <row r="168" spans="1:8">
      <c r="A168" s="549">
        <f t="shared" si="17"/>
        <v>90</v>
      </c>
      <c r="C168" s="538" t="s">
        <v>190</v>
      </c>
      <c r="D168" s="663">
        <v>2016</v>
      </c>
      <c r="E168" s="1136">
        <v>773686024.83999991</v>
      </c>
      <c r="F168" s="1136">
        <v>64465687.800957583</v>
      </c>
      <c r="G168" s="7">
        <f t="shared" si="16"/>
        <v>709220337.03904235</v>
      </c>
      <c r="H168" s="7">
        <f t="shared" si="18"/>
        <v>-230771.98000025749</v>
      </c>
    </row>
    <row r="169" spans="1:8">
      <c r="A169" s="549">
        <f t="shared" si="17"/>
        <v>91</v>
      </c>
      <c r="C169" s="538" t="s">
        <v>180</v>
      </c>
      <c r="D169" s="663">
        <v>2016</v>
      </c>
      <c r="E169" s="1136">
        <v>773686036.61000001</v>
      </c>
      <c r="F169" s="1136">
        <v>66116803.264739498</v>
      </c>
      <c r="G169" s="7">
        <f t="shared" si="16"/>
        <v>707569233.3452605</v>
      </c>
      <c r="H169" s="7">
        <f t="shared" si="18"/>
        <v>11.770000100135803</v>
      </c>
    </row>
    <row r="171" spans="1:8">
      <c r="C171" s="192" t="s">
        <v>2430</v>
      </c>
      <c r="E171" s="84" t="s">
        <v>363</v>
      </c>
      <c r="F171" s="84" t="s">
        <v>347</v>
      </c>
      <c r="G171" s="84" t="s">
        <v>348</v>
      </c>
      <c r="H171" s="84" t="s">
        <v>349</v>
      </c>
    </row>
    <row r="172" spans="1:8">
      <c r="G172" s="512" t="s">
        <v>1676</v>
      </c>
      <c r="H172" s="512" t="s">
        <v>1677</v>
      </c>
    </row>
    <row r="173" spans="1:8">
      <c r="C173" s="549" t="s">
        <v>538</v>
      </c>
      <c r="H173" s="504" t="s">
        <v>1678</v>
      </c>
    </row>
    <row r="174" spans="1:8">
      <c r="C174" s="549" t="s">
        <v>193</v>
      </c>
      <c r="E174" s="549" t="s">
        <v>376</v>
      </c>
      <c r="F174" s="549" t="s">
        <v>1566</v>
      </c>
      <c r="G174" s="549" t="s">
        <v>1005</v>
      </c>
      <c r="H174" s="549" t="s">
        <v>1139</v>
      </c>
    </row>
    <row r="175" spans="1:8">
      <c r="C175" s="25" t="s">
        <v>192</v>
      </c>
      <c r="D175" s="25" t="s">
        <v>193</v>
      </c>
      <c r="E175" s="3" t="s">
        <v>1567</v>
      </c>
      <c r="F175" s="3" t="s">
        <v>1093</v>
      </c>
      <c r="G175" s="3" t="s">
        <v>3</v>
      </c>
      <c r="H175" s="3" t="s">
        <v>1562</v>
      </c>
    </row>
    <row r="176" spans="1:8">
      <c r="A176" s="549">
        <f>A169+1</f>
        <v>92</v>
      </c>
      <c r="C176" s="538" t="s">
        <v>180</v>
      </c>
      <c r="D176" s="1239">
        <v>2015</v>
      </c>
      <c r="E176" s="1136">
        <v>0</v>
      </c>
      <c r="F176" s="1136">
        <v>0</v>
      </c>
      <c r="G176" s="7">
        <f t="shared" ref="G176:G188" si="19">E176-F176</f>
        <v>0</v>
      </c>
      <c r="H176" s="7">
        <f>E176-E176</f>
        <v>0</v>
      </c>
    </row>
    <row r="177" spans="1:8">
      <c r="A177" s="549">
        <f>A176+1</f>
        <v>93</v>
      </c>
      <c r="C177" s="538" t="s">
        <v>181</v>
      </c>
      <c r="D177" s="663">
        <v>2016</v>
      </c>
      <c r="E177" s="1136">
        <v>0</v>
      </c>
      <c r="F177" s="1136">
        <v>0</v>
      </c>
      <c r="G177" s="7">
        <f t="shared" si="19"/>
        <v>0</v>
      </c>
      <c r="H177" s="7">
        <f>E177-E176</f>
        <v>0</v>
      </c>
    </row>
    <row r="178" spans="1:8">
      <c r="A178" s="549">
        <f t="shared" ref="A178:A188" si="20">A177+1</f>
        <v>94</v>
      </c>
      <c r="C178" s="536" t="s">
        <v>182</v>
      </c>
      <c r="D178" s="663">
        <v>2016</v>
      </c>
      <c r="E178" s="1136">
        <v>0</v>
      </c>
      <c r="F178" s="1136">
        <v>0</v>
      </c>
      <c r="G178" s="7">
        <f t="shared" si="19"/>
        <v>0</v>
      </c>
      <c r="H178" s="7">
        <f t="shared" ref="H178:H188" si="21">E178-E177</f>
        <v>0</v>
      </c>
    </row>
    <row r="179" spans="1:8">
      <c r="A179" s="549">
        <f t="shared" si="20"/>
        <v>95</v>
      </c>
      <c r="C179" s="536" t="s">
        <v>195</v>
      </c>
      <c r="D179" s="663">
        <v>2016</v>
      </c>
      <c r="E179" s="1136">
        <v>0</v>
      </c>
      <c r="F179" s="1136">
        <v>0</v>
      </c>
      <c r="G179" s="7">
        <f t="shared" si="19"/>
        <v>0</v>
      </c>
      <c r="H179" s="7">
        <f t="shared" si="21"/>
        <v>0</v>
      </c>
    </row>
    <row r="180" spans="1:8">
      <c r="A180" s="549">
        <f t="shared" si="20"/>
        <v>96</v>
      </c>
      <c r="C180" s="538" t="s">
        <v>183</v>
      </c>
      <c r="D180" s="663">
        <v>2016</v>
      </c>
      <c r="E180" s="1136">
        <v>0</v>
      </c>
      <c r="F180" s="1136">
        <v>0</v>
      </c>
      <c r="G180" s="7">
        <f t="shared" si="19"/>
        <v>0</v>
      </c>
      <c r="H180" s="7">
        <f t="shared" si="21"/>
        <v>0</v>
      </c>
    </row>
    <row r="181" spans="1:8">
      <c r="A181" s="549">
        <f t="shared" si="20"/>
        <v>97</v>
      </c>
      <c r="C181" s="536" t="s">
        <v>184</v>
      </c>
      <c r="D181" s="663">
        <v>2016</v>
      </c>
      <c r="E181" s="1136">
        <v>0</v>
      </c>
      <c r="F181" s="1136">
        <v>0</v>
      </c>
      <c r="G181" s="7">
        <f t="shared" si="19"/>
        <v>0</v>
      </c>
      <c r="H181" s="7">
        <f t="shared" si="21"/>
        <v>0</v>
      </c>
    </row>
    <row r="182" spans="1:8">
      <c r="A182" s="549">
        <f t="shared" si="20"/>
        <v>98</v>
      </c>
      <c r="C182" s="536" t="s">
        <v>185</v>
      </c>
      <c r="D182" s="663">
        <v>2016</v>
      </c>
      <c r="E182" s="1136">
        <v>0</v>
      </c>
      <c r="F182" s="1136">
        <v>0</v>
      </c>
      <c r="G182" s="7">
        <f t="shared" si="19"/>
        <v>0</v>
      </c>
      <c r="H182" s="7">
        <f t="shared" si="21"/>
        <v>0</v>
      </c>
    </row>
    <row r="183" spans="1:8">
      <c r="A183" s="549">
        <f t="shared" si="20"/>
        <v>99</v>
      </c>
      <c r="C183" s="538" t="s">
        <v>186</v>
      </c>
      <c r="D183" s="663">
        <v>2016</v>
      </c>
      <c r="E183" s="1136">
        <v>0</v>
      </c>
      <c r="F183" s="1136">
        <v>0</v>
      </c>
      <c r="G183" s="7">
        <f t="shared" si="19"/>
        <v>0</v>
      </c>
      <c r="H183" s="7">
        <f t="shared" si="21"/>
        <v>0</v>
      </c>
    </row>
    <row r="184" spans="1:8">
      <c r="A184" s="549">
        <f t="shared" si="20"/>
        <v>100</v>
      </c>
      <c r="C184" s="536" t="s">
        <v>187</v>
      </c>
      <c r="D184" s="663">
        <v>2016</v>
      </c>
      <c r="E184" s="1136">
        <v>0</v>
      </c>
      <c r="F184" s="1136">
        <v>0</v>
      </c>
      <c r="G184" s="7">
        <f t="shared" si="19"/>
        <v>0</v>
      </c>
      <c r="H184" s="7">
        <f t="shared" si="21"/>
        <v>0</v>
      </c>
    </row>
    <row r="185" spans="1:8">
      <c r="A185" s="549">
        <f t="shared" si="20"/>
        <v>101</v>
      </c>
      <c r="C185" s="536" t="s">
        <v>188</v>
      </c>
      <c r="D185" s="663">
        <v>2016</v>
      </c>
      <c r="E185" s="1136">
        <v>0</v>
      </c>
      <c r="F185" s="1136">
        <v>0</v>
      </c>
      <c r="G185" s="7">
        <f t="shared" si="19"/>
        <v>0</v>
      </c>
      <c r="H185" s="7">
        <f t="shared" si="21"/>
        <v>0</v>
      </c>
    </row>
    <row r="186" spans="1:8">
      <c r="A186" s="549">
        <f t="shared" si="20"/>
        <v>102</v>
      </c>
      <c r="C186" s="538" t="s">
        <v>189</v>
      </c>
      <c r="D186" s="663">
        <v>2016</v>
      </c>
      <c r="E186" s="1136">
        <v>0</v>
      </c>
      <c r="F186" s="1136">
        <v>0</v>
      </c>
      <c r="G186" s="7">
        <f t="shared" si="19"/>
        <v>0</v>
      </c>
      <c r="H186" s="7">
        <f t="shared" si="21"/>
        <v>0</v>
      </c>
    </row>
    <row r="187" spans="1:8">
      <c r="A187" s="549">
        <f t="shared" si="20"/>
        <v>103</v>
      </c>
      <c r="C187" s="538" t="s">
        <v>190</v>
      </c>
      <c r="D187" s="663">
        <v>2016</v>
      </c>
      <c r="E187" s="1136">
        <v>0</v>
      </c>
      <c r="F187" s="1136">
        <v>0</v>
      </c>
      <c r="G187" s="7">
        <f t="shared" si="19"/>
        <v>0</v>
      </c>
      <c r="H187" s="7">
        <f t="shared" si="21"/>
        <v>0</v>
      </c>
    </row>
    <row r="188" spans="1:8">
      <c r="A188" s="549">
        <f t="shared" si="20"/>
        <v>104</v>
      </c>
      <c r="C188" s="538" t="s">
        <v>180</v>
      </c>
      <c r="D188" s="663">
        <v>2016</v>
      </c>
      <c r="E188" s="1136">
        <v>0</v>
      </c>
      <c r="F188" s="1136">
        <v>0</v>
      </c>
      <c r="G188" s="7">
        <f t="shared" si="19"/>
        <v>0</v>
      </c>
      <c r="H188" s="7">
        <f t="shared" si="21"/>
        <v>0</v>
      </c>
    </row>
    <row r="190" spans="1:8">
      <c r="C190" s="192" t="s">
        <v>2431</v>
      </c>
      <c r="E190" s="84" t="s">
        <v>363</v>
      </c>
      <c r="F190" s="84" t="s">
        <v>347</v>
      </c>
      <c r="G190" s="84" t="s">
        <v>348</v>
      </c>
      <c r="H190" s="84" t="s">
        <v>349</v>
      </c>
    </row>
    <row r="191" spans="1:8">
      <c r="G191" s="512" t="s">
        <v>1676</v>
      </c>
      <c r="H191" s="512" t="s">
        <v>1677</v>
      </c>
    </row>
    <row r="192" spans="1:8">
      <c r="C192" s="549" t="s">
        <v>538</v>
      </c>
      <c r="H192" s="504" t="s">
        <v>1678</v>
      </c>
    </row>
    <row r="193" spans="1:8">
      <c r="C193" s="549" t="s">
        <v>193</v>
      </c>
      <c r="E193" s="549" t="s">
        <v>376</v>
      </c>
      <c r="F193" s="549" t="s">
        <v>1566</v>
      </c>
      <c r="G193" s="549" t="s">
        <v>1005</v>
      </c>
      <c r="H193" s="549" t="s">
        <v>1139</v>
      </c>
    </row>
    <row r="194" spans="1:8">
      <c r="C194" s="25" t="s">
        <v>192</v>
      </c>
      <c r="D194" s="25" t="s">
        <v>193</v>
      </c>
      <c r="E194" s="3" t="s">
        <v>1567</v>
      </c>
      <c r="F194" s="3" t="s">
        <v>1093</v>
      </c>
      <c r="G194" s="3" t="s">
        <v>3</v>
      </c>
      <c r="H194" s="3" t="s">
        <v>1562</v>
      </c>
    </row>
    <row r="195" spans="1:8">
      <c r="A195" s="549">
        <f>A188+1</f>
        <v>105</v>
      </c>
      <c r="C195" s="538" t="s">
        <v>180</v>
      </c>
      <c r="D195" s="1239">
        <v>2015</v>
      </c>
      <c r="E195" s="1136">
        <v>0</v>
      </c>
      <c r="F195" s="1136">
        <v>0</v>
      </c>
      <c r="G195" s="7">
        <f t="shared" ref="G195:G207" si="22">E195-F195</f>
        <v>0</v>
      </c>
      <c r="H195" s="7">
        <f>E195-E195</f>
        <v>0</v>
      </c>
    </row>
    <row r="196" spans="1:8">
      <c r="A196" s="549">
        <f>A195+1</f>
        <v>106</v>
      </c>
      <c r="C196" s="538" t="s">
        <v>181</v>
      </c>
      <c r="D196" s="663">
        <v>2016</v>
      </c>
      <c r="E196" s="1136">
        <v>0</v>
      </c>
      <c r="F196" s="1136">
        <v>0</v>
      </c>
      <c r="G196" s="7">
        <f t="shared" si="22"/>
        <v>0</v>
      </c>
      <c r="H196" s="7">
        <f>E196-E195</f>
        <v>0</v>
      </c>
    </row>
    <row r="197" spans="1:8">
      <c r="A197" s="549">
        <f t="shared" ref="A197:A207" si="23">A196+1</f>
        <v>107</v>
      </c>
      <c r="C197" s="536" t="s">
        <v>182</v>
      </c>
      <c r="D197" s="663">
        <v>2016</v>
      </c>
      <c r="E197" s="1136">
        <v>0</v>
      </c>
      <c r="F197" s="1136">
        <v>0</v>
      </c>
      <c r="G197" s="7">
        <f t="shared" si="22"/>
        <v>0</v>
      </c>
      <c r="H197" s="7">
        <f t="shared" ref="H197:H207" si="24">E197-E196</f>
        <v>0</v>
      </c>
    </row>
    <row r="198" spans="1:8">
      <c r="A198" s="549">
        <f t="shared" si="23"/>
        <v>108</v>
      </c>
      <c r="C198" s="536" t="s">
        <v>195</v>
      </c>
      <c r="D198" s="663">
        <v>2016</v>
      </c>
      <c r="E198" s="1136">
        <v>0</v>
      </c>
      <c r="F198" s="1136">
        <v>0</v>
      </c>
      <c r="G198" s="7">
        <f t="shared" si="22"/>
        <v>0</v>
      </c>
      <c r="H198" s="7">
        <f t="shared" si="24"/>
        <v>0</v>
      </c>
    </row>
    <row r="199" spans="1:8">
      <c r="A199" s="549">
        <f t="shared" si="23"/>
        <v>109</v>
      </c>
      <c r="C199" s="538" t="s">
        <v>183</v>
      </c>
      <c r="D199" s="663">
        <v>2016</v>
      </c>
      <c r="E199" s="1136">
        <v>0</v>
      </c>
      <c r="F199" s="1136">
        <v>0</v>
      </c>
      <c r="G199" s="7">
        <f t="shared" si="22"/>
        <v>0</v>
      </c>
      <c r="H199" s="7">
        <f t="shared" si="24"/>
        <v>0</v>
      </c>
    </row>
    <row r="200" spans="1:8">
      <c r="A200" s="549">
        <f t="shared" si="23"/>
        <v>110</v>
      </c>
      <c r="C200" s="536" t="s">
        <v>184</v>
      </c>
      <c r="D200" s="663">
        <v>2016</v>
      </c>
      <c r="E200" s="1136">
        <v>0</v>
      </c>
      <c r="F200" s="1136">
        <v>0</v>
      </c>
      <c r="G200" s="7">
        <f t="shared" si="22"/>
        <v>0</v>
      </c>
      <c r="H200" s="7">
        <f t="shared" si="24"/>
        <v>0</v>
      </c>
    </row>
    <row r="201" spans="1:8">
      <c r="A201" s="549">
        <f t="shared" si="23"/>
        <v>111</v>
      </c>
      <c r="C201" s="536" t="s">
        <v>185</v>
      </c>
      <c r="D201" s="663">
        <v>2016</v>
      </c>
      <c r="E201" s="1136">
        <v>0</v>
      </c>
      <c r="F201" s="1136">
        <v>0</v>
      </c>
      <c r="G201" s="7">
        <f t="shared" si="22"/>
        <v>0</v>
      </c>
      <c r="H201" s="7">
        <f t="shared" si="24"/>
        <v>0</v>
      </c>
    </row>
    <row r="202" spans="1:8">
      <c r="A202" s="549">
        <f t="shared" si="23"/>
        <v>112</v>
      </c>
      <c r="C202" s="538" t="s">
        <v>186</v>
      </c>
      <c r="D202" s="663">
        <v>2016</v>
      </c>
      <c r="E202" s="1136">
        <v>0</v>
      </c>
      <c r="F202" s="1136">
        <v>0</v>
      </c>
      <c r="G202" s="7">
        <f t="shared" si="22"/>
        <v>0</v>
      </c>
      <c r="H202" s="7">
        <f t="shared" si="24"/>
        <v>0</v>
      </c>
    </row>
    <row r="203" spans="1:8">
      <c r="A203" s="549">
        <f t="shared" si="23"/>
        <v>113</v>
      </c>
      <c r="C203" s="536" t="s">
        <v>187</v>
      </c>
      <c r="D203" s="663">
        <v>2016</v>
      </c>
      <c r="E203" s="1136">
        <v>0</v>
      </c>
      <c r="F203" s="1136">
        <v>0</v>
      </c>
      <c r="G203" s="7">
        <f t="shared" si="22"/>
        <v>0</v>
      </c>
      <c r="H203" s="7">
        <f t="shared" si="24"/>
        <v>0</v>
      </c>
    </row>
    <row r="204" spans="1:8">
      <c r="A204" s="549">
        <f t="shared" si="23"/>
        <v>114</v>
      </c>
      <c r="C204" s="536" t="s">
        <v>188</v>
      </c>
      <c r="D204" s="663">
        <v>2016</v>
      </c>
      <c r="E204" s="1136">
        <v>0</v>
      </c>
      <c r="F204" s="1136">
        <v>0</v>
      </c>
      <c r="G204" s="7">
        <f t="shared" si="22"/>
        <v>0</v>
      </c>
      <c r="H204" s="7">
        <f t="shared" si="24"/>
        <v>0</v>
      </c>
    </row>
    <row r="205" spans="1:8">
      <c r="A205" s="549">
        <f t="shared" si="23"/>
        <v>115</v>
      </c>
      <c r="C205" s="538" t="s">
        <v>189</v>
      </c>
      <c r="D205" s="663">
        <v>2016</v>
      </c>
      <c r="E205" s="1136">
        <v>0</v>
      </c>
      <c r="F205" s="1136">
        <v>0</v>
      </c>
      <c r="G205" s="7">
        <f t="shared" si="22"/>
        <v>0</v>
      </c>
      <c r="H205" s="7">
        <f t="shared" si="24"/>
        <v>0</v>
      </c>
    </row>
    <row r="206" spans="1:8">
      <c r="A206" s="549">
        <f t="shared" si="23"/>
        <v>116</v>
      </c>
      <c r="C206" s="538" t="s">
        <v>190</v>
      </c>
      <c r="D206" s="663">
        <v>2016</v>
      </c>
      <c r="E206" s="1136">
        <v>0</v>
      </c>
      <c r="F206" s="1136">
        <v>0</v>
      </c>
      <c r="G206" s="7">
        <f t="shared" si="22"/>
        <v>0</v>
      </c>
      <c r="H206" s="7">
        <f t="shared" si="24"/>
        <v>0</v>
      </c>
    </row>
    <row r="207" spans="1:8">
      <c r="A207" s="549">
        <f t="shared" si="23"/>
        <v>117</v>
      </c>
      <c r="C207" s="538" t="s">
        <v>180</v>
      </c>
      <c r="D207" s="663">
        <v>2016</v>
      </c>
      <c r="E207" s="1136">
        <v>0</v>
      </c>
      <c r="F207" s="1136">
        <v>0</v>
      </c>
      <c r="G207" s="7">
        <f t="shared" si="22"/>
        <v>0</v>
      </c>
      <c r="H207" s="7">
        <f t="shared" si="24"/>
        <v>0</v>
      </c>
    </row>
    <row r="209" spans="1:8">
      <c r="C209" s="192" t="s">
        <v>1570</v>
      </c>
      <c r="E209" s="84" t="s">
        <v>363</v>
      </c>
      <c r="F209" s="84" t="s">
        <v>347</v>
      </c>
      <c r="G209" s="84" t="s">
        <v>348</v>
      </c>
      <c r="H209" s="84" t="s">
        <v>349</v>
      </c>
    </row>
    <row r="210" spans="1:8">
      <c r="G210" s="512" t="s">
        <v>1676</v>
      </c>
      <c r="H210" s="512" t="s">
        <v>1677</v>
      </c>
    </row>
    <row r="211" spans="1:8">
      <c r="C211" s="549" t="s">
        <v>538</v>
      </c>
      <c r="H211" s="504" t="s">
        <v>1678</v>
      </c>
    </row>
    <row r="212" spans="1:8">
      <c r="C212" s="549" t="s">
        <v>193</v>
      </c>
      <c r="E212" s="549" t="s">
        <v>376</v>
      </c>
      <c r="F212" s="549" t="s">
        <v>1566</v>
      </c>
      <c r="G212" s="549" t="s">
        <v>1005</v>
      </c>
      <c r="H212" s="549" t="s">
        <v>1139</v>
      </c>
    </row>
    <row r="213" spans="1:8">
      <c r="C213" s="25" t="s">
        <v>192</v>
      </c>
      <c r="D213" s="25" t="s">
        <v>193</v>
      </c>
      <c r="E213" s="3" t="s">
        <v>1567</v>
      </c>
      <c r="F213" s="3" t="s">
        <v>1093</v>
      </c>
      <c r="G213" s="3" t="s">
        <v>3</v>
      </c>
      <c r="H213" s="3" t="s">
        <v>1562</v>
      </c>
    </row>
    <row r="214" spans="1:8">
      <c r="A214" s="549">
        <f>A207+1</f>
        <v>118</v>
      </c>
      <c r="C214" s="538" t="s">
        <v>180</v>
      </c>
      <c r="D214" s="1239">
        <v>2015</v>
      </c>
      <c r="E214" s="1136">
        <v>226465461.50999996</v>
      </c>
      <c r="F214" s="1136">
        <v>13667285.197646998</v>
      </c>
      <c r="G214" s="7">
        <f t="shared" ref="G214:G226" si="25">E214-F214</f>
        <v>212798176.31235296</v>
      </c>
      <c r="H214" s="7">
        <f>E214-E214</f>
        <v>0</v>
      </c>
    </row>
    <row r="215" spans="1:8">
      <c r="A215" s="549">
        <f>A214+1</f>
        <v>119</v>
      </c>
      <c r="C215" s="538" t="s">
        <v>181</v>
      </c>
      <c r="D215" s="663">
        <v>2016</v>
      </c>
      <c r="E215" s="1136">
        <v>226566589.24999991</v>
      </c>
      <c r="F215" s="1136">
        <v>14143896.303490413</v>
      </c>
      <c r="G215" s="7">
        <f t="shared" si="25"/>
        <v>212422692.94650951</v>
      </c>
      <c r="H215" s="7">
        <f>E215-E214</f>
        <v>101127.73999994993</v>
      </c>
    </row>
    <row r="216" spans="1:8">
      <c r="A216" s="549">
        <f t="shared" ref="A216:A226" si="26">A215+1</f>
        <v>120</v>
      </c>
      <c r="C216" s="536" t="s">
        <v>182</v>
      </c>
      <c r="D216" s="663">
        <v>2016</v>
      </c>
      <c r="E216" s="1136">
        <v>235569311.49999991</v>
      </c>
      <c r="F216" s="1136">
        <v>14621185.061932744</v>
      </c>
      <c r="G216" s="7">
        <f t="shared" si="25"/>
        <v>220948126.43806717</v>
      </c>
      <c r="H216" s="7">
        <f t="shared" ref="H216:H226" si="27">E216-E215</f>
        <v>9002722.25</v>
      </c>
    </row>
    <row r="217" spans="1:8">
      <c r="A217" s="549">
        <f t="shared" si="26"/>
        <v>121</v>
      </c>
      <c r="C217" s="536" t="s">
        <v>195</v>
      </c>
      <c r="D217" s="663">
        <v>2016</v>
      </c>
      <c r="E217" s="1136">
        <v>235569038.07999992</v>
      </c>
      <c r="F217" s="1136">
        <v>15117754.650527162</v>
      </c>
      <c r="G217" s="7">
        <f t="shared" si="25"/>
        <v>220451283.42947277</v>
      </c>
      <c r="H217" s="7">
        <f t="shared" si="27"/>
        <v>-273.41999998688698</v>
      </c>
    </row>
    <row r="218" spans="1:8">
      <c r="A218" s="549">
        <f t="shared" si="26"/>
        <v>122</v>
      </c>
      <c r="C218" s="538" t="s">
        <v>183</v>
      </c>
      <c r="D218" s="663">
        <v>2016</v>
      </c>
      <c r="E218" s="1136">
        <v>235574239.30999991</v>
      </c>
      <c r="F218" s="1136">
        <v>15614323.65354708</v>
      </c>
      <c r="G218" s="7">
        <f t="shared" si="25"/>
        <v>219959915.65645283</v>
      </c>
      <c r="H218" s="7">
        <f t="shared" si="27"/>
        <v>5201.2299999892712</v>
      </c>
    </row>
    <row r="219" spans="1:8">
      <c r="A219" s="549">
        <f t="shared" si="26"/>
        <v>123</v>
      </c>
      <c r="C219" s="536" t="s">
        <v>184</v>
      </c>
      <c r="D219" s="663">
        <v>2016</v>
      </c>
      <c r="E219" s="1136">
        <v>235577091.86999992</v>
      </c>
      <c r="F219" s="1136">
        <v>16110903.797223914</v>
      </c>
      <c r="G219" s="7">
        <f t="shared" si="25"/>
        <v>219466188.07277599</v>
      </c>
      <c r="H219" s="7">
        <f t="shared" si="27"/>
        <v>2852.5600000023842</v>
      </c>
    </row>
    <row r="220" spans="1:8">
      <c r="A220" s="549">
        <f t="shared" si="26"/>
        <v>124</v>
      </c>
      <c r="C220" s="536" t="s">
        <v>185</v>
      </c>
      <c r="D220" s="663">
        <v>2016</v>
      </c>
      <c r="E220" s="1136">
        <v>235578587.76999995</v>
      </c>
      <c r="F220" s="1136">
        <v>16607490.050133415</v>
      </c>
      <c r="G220" s="7">
        <f t="shared" si="25"/>
        <v>218971097.71986654</v>
      </c>
      <c r="H220" s="7">
        <f t="shared" si="27"/>
        <v>1495.9000000357628</v>
      </c>
    </row>
    <row r="221" spans="1:8">
      <c r="A221" s="549">
        <f t="shared" si="26"/>
        <v>125</v>
      </c>
      <c r="C221" s="538" t="s">
        <v>186</v>
      </c>
      <c r="D221" s="663">
        <v>2016</v>
      </c>
      <c r="E221" s="1136">
        <v>235581406.90999994</v>
      </c>
      <c r="F221" s="1136">
        <v>17104079.506762084</v>
      </c>
      <c r="G221" s="7">
        <f t="shared" si="25"/>
        <v>218477327.40323785</v>
      </c>
      <c r="H221" s="7">
        <f t="shared" si="27"/>
        <v>2819.1399999856949</v>
      </c>
    </row>
    <row r="222" spans="1:8">
      <c r="A222" s="549">
        <f t="shared" si="26"/>
        <v>126</v>
      </c>
      <c r="C222" s="536" t="s">
        <v>187</v>
      </c>
      <c r="D222" s="663">
        <v>2016</v>
      </c>
      <c r="E222" s="1136">
        <v>235581826.29999992</v>
      </c>
      <c r="F222" s="1136">
        <v>17600675.001048915</v>
      </c>
      <c r="G222" s="7">
        <f t="shared" si="25"/>
        <v>217981151.298951</v>
      </c>
      <c r="H222" s="7">
        <f t="shared" si="27"/>
        <v>419.38999998569489</v>
      </c>
    </row>
    <row r="223" spans="1:8">
      <c r="A223" s="549">
        <f t="shared" si="26"/>
        <v>127</v>
      </c>
      <c r="C223" s="536" t="s">
        <v>188</v>
      </c>
      <c r="D223" s="663">
        <v>2016</v>
      </c>
      <c r="E223" s="1136">
        <v>235583327.49999994</v>
      </c>
      <c r="F223" s="1136">
        <v>18097271.393529337</v>
      </c>
      <c r="G223" s="7">
        <f t="shared" si="25"/>
        <v>217486056.10647061</v>
      </c>
      <c r="H223" s="7">
        <f t="shared" si="27"/>
        <v>1501.2000000178814</v>
      </c>
    </row>
    <row r="224" spans="1:8">
      <c r="A224" s="549">
        <f t="shared" si="26"/>
        <v>128</v>
      </c>
      <c r="C224" s="538" t="s">
        <v>189</v>
      </c>
      <c r="D224" s="663">
        <v>2016</v>
      </c>
      <c r="E224" s="1136">
        <v>235589252.17999995</v>
      </c>
      <c r="F224" s="1136">
        <v>18593871.001079749</v>
      </c>
      <c r="G224" s="7">
        <f t="shared" si="25"/>
        <v>216995381.17892021</v>
      </c>
      <c r="H224" s="7">
        <f t="shared" si="27"/>
        <v>5924.6800000071526</v>
      </c>
    </row>
    <row r="225" spans="1:8">
      <c r="A225" s="549">
        <f t="shared" si="26"/>
        <v>129</v>
      </c>
      <c r="C225" s="538" t="s">
        <v>190</v>
      </c>
      <c r="D225" s="663">
        <v>2016</v>
      </c>
      <c r="E225" s="1136">
        <v>235591546.56999996</v>
      </c>
      <c r="F225" s="1136">
        <v>19090483.278312333</v>
      </c>
      <c r="G225" s="7">
        <f t="shared" si="25"/>
        <v>216501063.29168764</v>
      </c>
      <c r="H225" s="7">
        <f t="shared" si="27"/>
        <v>2294.3900000154972</v>
      </c>
    </row>
    <row r="226" spans="1:8">
      <c r="A226" s="549">
        <f t="shared" si="26"/>
        <v>130</v>
      </c>
      <c r="C226" s="538" t="s">
        <v>180</v>
      </c>
      <c r="D226" s="663">
        <v>2016</v>
      </c>
      <c r="E226" s="1136">
        <v>235590583.02999994</v>
      </c>
      <c r="F226" s="1136">
        <v>19587100.488371003</v>
      </c>
      <c r="G226" s="7">
        <f t="shared" si="25"/>
        <v>216003482.54162893</v>
      </c>
      <c r="H226" s="7">
        <f t="shared" si="27"/>
        <v>-963.54000002145767</v>
      </c>
    </row>
    <row r="228" spans="1:8">
      <c r="C228" s="192" t="s">
        <v>1608</v>
      </c>
      <c r="H228" s="84" t="s">
        <v>349</v>
      </c>
    </row>
    <row r="229" spans="1:8">
      <c r="E229" s="84" t="s">
        <v>363</v>
      </c>
      <c r="F229" s="84" t="s">
        <v>347</v>
      </c>
      <c r="G229" s="84" t="s">
        <v>348</v>
      </c>
      <c r="H229" s="512" t="s">
        <v>1677</v>
      </c>
    </row>
    <row r="230" spans="1:8">
      <c r="C230" s="549" t="s">
        <v>538</v>
      </c>
      <c r="G230" s="512" t="s">
        <v>1676</v>
      </c>
      <c r="H230" s="504" t="s">
        <v>1678</v>
      </c>
    </row>
    <row r="231" spans="1:8">
      <c r="C231" s="549" t="s">
        <v>193</v>
      </c>
      <c r="E231" s="549" t="s">
        <v>376</v>
      </c>
      <c r="F231" s="549" t="s">
        <v>1566</v>
      </c>
      <c r="G231" s="549" t="s">
        <v>1005</v>
      </c>
      <c r="H231" s="549" t="s">
        <v>1139</v>
      </c>
    </row>
    <row r="232" spans="1:8">
      <c r="C232" s="25" t="s">
        <v>192</v>
      </c>
      <c r="D232" s="25" t="s">
        <v>193</v>
      </c>
      <c r="E232" s="3" t="s">
        <v>1567</v>
      </c>
      <c r="F232" s="3" t="s">
        <v>1093</v>
      </c>
      <c r="G232" s="3" t="s">
        <v>3</v>
      </c>
      <c r="H232" s="3" t="s">
        <v>1562</v>
      </c>
    </row>
    <row r="233" spans="1:8">
      <c r="A233" s="549">
        <f>A226+1</f>
        <v>131</v>
      </c>
      <c r="C233" s="538" t="s">
        <v>180</v>
      </c>
      <c r="D233" s="1239">
        <v>2015</v>
      </c>
      <c r="E233" s="1136">
        <v>53634941.600000001</v>
      </c>
      <c r="F233" s="1136">
        <v>1700859.5580780834</v>
      </c>
      <c r="G233" s="7">
        <f t="shared" ref="G233:G245" si="28">E233-F233</f>
        <v>51934082.041921921</v>
      </c>
      <c r="H233" s="7">
        <f>E233-E233</f>
        <v>0</v>
      </c>
    </row>
    <row r="234" spans="1:8">
      <c r="A234" s="549">
        <f>A233+1</f>
        <v>132</v>
      </c>
      <c r="C234" s="538" t="s">
        <v>181</v>
      </c>
      <c r="D234" s="663">
        <v>2016</v>
      </c>
      <c r="E234" s="1136">
        <v>53636120.840000004</v>
      </c>
      <c r="F234" s="1136">
        <v>1811320.2198622501</v>
      </c>
      <c r="G234" s="7">
        <f t="shared" si="28"/>
        <v>51824800.620137751</v>
      </c>
      <c r="H234" s="7">
        <f>E234-E233</f>
        <v>1179.2400000020862</v>
      </c>
    </row>
    <row r="235" spans="1:8">
      <c r="A235" s="549">
        <f t="shared" ref="A235:A245" si="29">A234+1</f>
        <v>133</v>
      </c>
      <c r="C235" s="536" t="s">
        <v>182</v>
      </c>
      <c r="D235" s="663">
        <v>2016</v>
      </c>
      <c r="E235" s="1136">
        <v>53636178.230000004</v>
      </c>
      <c r="F235" s="1136">
        <v>1921783.310210417</v>
      </c>
      <c r="G235" s="7">
        <f t="shared" si="28"/>
        <v>51714394.91978959</v>
      </c>
      <c r="H235" s="7">
        <f t="shared" ref="H235:H245" si="30">E235-E234</f>
        <v>57.390000000596046</v>
      </c>
    </row>
    <row r="236" spans="1:8">
      <c r="A236" s="549">
        <f t="shared" si="29"/>
        <v>134</v>
      </c>
      <c r="C236" s="536" t="s">
        <v>195</v>
      </c>
      <c r="D236" s="663">
        <v>2016</v>
      </c>
      <c r="E236" s="1136">
        <v>53636834.130000003</v>
      </c>
      <c r="F236" s="1136">
        <v>2032246.5187721669</v>
      </c>
      <c r="G236" s="7">
        <f t="shared" si="28"/>
        <v>51604587.611227833</v>
      </c>
      <c r="H236" s="7">
        <f t="shared" si="30"/>
        <v>655.89999999850988</v>
      </c>
    </row>
    <row r="237" spans="1:8">
      <c r="A237" s="549">
        <f t="shared" si="29"/>
        <v>135</v>
      </c>
      <c r="C237" s="538" t="s">
        <v>183</v>
      </c>
      <c r="D237" s="663">
        <v>2016</v>
      </c>
      <c r="E237" s="1136">
        <v>53636930.080000006</v>
      </c>
      <c r="F237" s="1136">
        <v>2142711.0782239172</v>
      </c>
      <c r="G237" s="7">
        <f t="shared" si="28"/>
        <v>51494219.001776092</v>
      </c>
      <c r="H237" s="7">
        <f t="shared" si="30"/>
        <v>95.950000002980232</v>
      </c>
    </row>
    <row r="238" spans="1:8">
      <c r="A238" s="549">
        <f t="shared" si="29"/>
        <v>136</v>
      </c>
      <c r="C238" s="536" t="s">
        <v>184</v>
      </c>
      <c r="D238" s="663">
        <v>2016</v>
      </c>
      <c r="E238" s="1136">
        <v>53637715.710000008</v>
      </c>
      <c r="F238" s="1136">
        <v>2253175.8352019168</v>
      </c>
      <c r="G238" s="7">
        <f t="shared" si="28"/>
        <v>51384539.874798089</v>
      </c>
      <c r="H238" s="7">
        <f t="shared" si="30"/>
        <v>785.63000000268221</v>
      </c>
    </row>
    <row r="239" spans="1:8">
      <c r="A239" s="549">
        <f t="shared" si="29"/>
        <v>137</v>
      </c>
      <c r="C239" s="536" t="s">
        <v>185</v>
      </c>
      <c r="D239" s="663">
        <v>2016</v>
      </c>
      <c r="E239" s="1136">
        <v>53629155.100000009</v>
      </c>
      <c r="F239" s="1136">
        <v>2363642.2093958333</v>
      </c>
      <c r="G239" s="7">
        <f t="shared" si="28"/>
        <v>51265512.890604176</v>
      </c>
      <c r="H239" s="7">
        <f t="shared" si="30"/>
        <v>-8560.609999999404</v>
      </c>
    </row>
    <row r="240" spans="1:8">
      <c r="A240" s="549">
        <f t="shared" si="29"/>
        <v>138</v>
      </c>
      <c r="C240" s="538" t="s">
        <v>186</v>
      </c>
      <c r="D240" s="663">
        <v>2016</v>
      </c>
      <c r="E240" s="1136">
        <v>53629155.100000009</v>
      </c>
      <c r="F240" s="1136">
        <v>2474090.9521208336</v>
      </c>
      <c r="G240" s="7">
        <f t="shared" si="28"/>
        <v>51155064.147879176</v>
      </c>
      <c r="H240" s="7">
        <f t="shared" si="30"/>
        <v>0</v>
      </c>
    </row>
    <row r="241" spans="1:8">
      <c r="A241" s="549">
        <f t="shared" si="29"/>
        <v>139</v>
      </c>
      <c r="C241" s="536" t="s">
        <v>187</v>
      </c>
      <c r="D241" s="663">
        <v>2016</v>
      </c>
      <c r="E241" s="1136">
        <v>53629155.100000016</v>
      </c>
      <c r="F241" s="1136">
        <v>2584539.6948458333</v>
      </c>
      <c r="G241" s="7">
        <f t="shared" si="28"/>
        <v>51044615.405154184</v>
      </c>
      <c r="H241" s="7">
        <f t="shared" si="30"/>
        <v>0</v>
      </c>
    </row>
    <row r="242" spans="1:8">
      <c r="A242" s="549">
        <f t="shared" si="29"/>
        <v>140</v>
      </c>
      <c r="C242" s="536" t="s">
        <v>188</v>
      </c>
      <c r="D242" s="663">
        <v>2016</v>
      </c>
      <c r="E242" s="1136">
        <v>53630073.160000019</v>
      </c>
      <c r="F242" s="1136">
        <v>2695009.4424141669</v>
      </c>
      <c r="G242" s="7">
        <f t="shared" si="28"/>
        <v>50935063.717585854</v>
      </c>
      <c r="H242" s="7">
        <f t="shared" si="30"/>
        <v>918.06000000238419</v>
      </c>
    </row>
    <row r="243" spans="1:8">
      <c r="A243" s="549">
        <f t="shared" si="29"/>
        <v>141</v>
      </c>
      <c r="C243" s="538" t="s">
        <v>189</v>
      </c>
      <c r="D243" s="663">
        <v>2016</v>
      </c>
      <c r="E243" s="1136">
        <v>53628337.210000023</v>
      </c>
      <c r="F243" s="1136">
        <v>2805481.1179093337</v>
      </c>
      <c r="G243" s="7">
        <f t="shared" si="28"/>
        <v>50822856.092090689</v>
      </c>
      <c r="H243" s="7">
        <f t="shared" si="30"/>
        <v>-1735.9499999955297</v>
      </c>
    </row>
    <row r="244" spans="1:8">
      <c r="A244" s="549">
        <f t="shared" si="29"/>
        <v>142</v>
      </c>
      <c r="C244" s="538" t="s">
        <v>190</v>
      </c>
      <c r="D244" s="663">
        <v>2016</v>
      </c>
      <c r="E244" s="1136">
        <v>53627431.310000017</v>
      </c>
      <c r="F244" s="1136">
        <v>2915949.1479099169</v>
      </c>
      <c r="G244" s="7">
        <f t="shared" si="28"/>
        <v>50711482.1620901</v>
      </c>
      <c r="H244" s="7">
        <f t="shared" si="30"/>
        <v>-905.90000000596046</v>
      </c>
    </row>
    <row r="245" spans="1:8">
      <c r="A245" s="549">
        <f t="shared" si="29"/>
        <v>143</v>
      </c>
      <c r="C245" s="538" t="s">
        <v>180</v>
      </c>
      <c r="D245" s="663">
        <v>2016</v>
      </c>
      <c r="E245" s="1136">
        <v>53627431.310000017</v>
      </c>
      <c r="F245" s="1136">
        <v>3026415.3137713335</v>
      </c>
      <c r="G245" s="7">
        <f t="shared" si="28"/>
        <v>50601015.99622868</v>
      </c>
      <c r="H245" s="7">
        <f t="shared" si="30"/>
        <v>0</v>
      </c>
    </row>
    <row r="247" spans="1:8">
      <c r="C247" s="192" t="s">
        <v>1609</v>
      </c>
      <c r="H247" s="84" t="s">
        <v>349</v>
      </c>
    </row>
    <row r="248" spans="1:8">
      <c r="E248" s="84" t="s">
        <v>363</v>
      </c>
      <c r="F248" s="84" t="s">
        <v>347</v>
      </c>
      <c r="G248" s="84" t="s">
        <v>348</v>
      </c>
      <c r="H248" s="512" t="s">
        <v>1677</v>
      </c>
    </row>
    <row r="249" spans="1:8">
      <c r="C249" s="549" t="s">
        <v>538</v>
      </c>
      <c r="G249" s="512" t="s">
        <v>1676</v>
      </c>
      <c r="H249" s="504" t="s">
        <v>1678</v>
      </c>
    </row>
    <row r="250" spans="1:8">
      <c r="C250" s="549" t="s">
        <v>193</v>
      </c>
      <c r="E250" s="549" t="s">
        <v>376</v>
      </c>
      <c r="F250" s="549" t="s">
        <v>1566</v>
      </c>
      <c r="G250" s="549" t="s">
        <v>1005</v>
      </c>
      <c r="H250" s="549" t="s">
        <v>1139</v>
      </c>
    </row>
    <row r="251" spans="1:8">
      <c r="C251" s="25" t="s">
        <v>192</v>
      </c>
      <c r="D251" s="25" t="s">
        <v>193</v>
      </c>
      <c r="E251" s="3" t="s">
        <v>1567</v>
      </c>
      <c r="F251" s="3" t="s">
        <v>1093</v>
      </c>
      <c r="G251" s="3" t="s">
        <v>3</v>
      </c>
      <c r="H251" s="3" t="s">
        <v>1562</v>
      </c>
    </row>
    <row r="252" spans="1:8">
      <c r="A252" s="549">
        <f>A245+1</f>
        <v>144</v>
      </c>
      <c r="C252" s="538" t="s">
        <v>180</v>
      </c>
      <c r="D252" s="1239">
        <v>2015</v>
      </c>
      <c r="E252" s="1136">
        <v>70732250.680000022</v>
      </c>
      <c r="F252" s="1136">
        <v>4231359.0642588334</v>
      </c>
      <c r="G252" s="7">
        <f t="shared" ref="G252:G264" si="31">E252-F252</f>
        <v>66500891.615741186</v>
      </c>
      <c r="H252" s="7">
        <f>E252-E252</f>
        <v>0</v>
      </c>
    </row>
    <row r="253" spans="1:8">
      <c r="A253" s="549">
        <f>A252+1</f>
        <v>145</v>
      </c>
      <c r="C253" s="538" t="s">
        <v>181</v>
      </c>
      <c r="D253" s="663">
        <v>2016</v>
      </c>
      <c r="E253" s="1136">
        <v>70736800.710000023</v>
      </c>
      <c r="F253" s="1136">
        <v>4377929.8547684997</v>
      </c>
      <c r="G253" s="7">
        <f t="shared" si="31"/>
        <v>66358870.855231524</v>
      </c>
      <c r="H253" s="7">
        <f>E253-E252</f>
        <v>4550.0300000011921</v>
      </c>
    </row>
    <row r="254" spans="1:8">
      <c r="A254" s="549">
        <f t="shared" ref="A254:A264" si="32">A253+1</f>
        <v>146</v>
      </c>
      <c r="C254" s="536" t="s">
        <v>182</v>
      </c>
      <c r="D254" s="663">
        <v>2016</v>
      </c>
      <c r="E254" s="1136">
        <v>70739889.710000023</v>
      </c>
      <c r="F254" s="1136">
        <v>4524510.0107565839</v>
      </c>
      <c r="G254" s="7">
        <f t="shared" si="31"/>
        <v>66215379.699243441</v>
      </c>
      <c r="H254" s="7">
        <f t="shared" ref="H254:H264" si="33">E254-E253</f>
        <v>3089</v>
      </c>
    </row>
    <row r="255" spans="1:8">
      <c r="A255" s="549">
        <f t="shared" si="32"/>
        <v>147</v>
      </c>
      <c r="C255" s="536" t="s">
        <v>195</v>
      </c>
      <c r="D255" s="663">
        <v>2016</v>
      </c>
      <c r="E255" s="1136">
        <v>70794590.860000029</v>
      </c>
      <c r="F255" s="1136">
        <v>4671096.5249363333</v>
      </c>
      <c r="G255" s="7">
        <f t="shared" si="31"/>
        <v>66123494.335063696</v>
      </c>
      <c r="H255" s="7">
        <f t="shared" si="33"/>
        <v>54701.15000000596</v>
      </c>
    </row>
    <row r="256" spans="1:8">
      <c r="A256" s="549">
        <f t="shared" si="32"/>
        <v>148</v>
      </c>
      <c r="C256" s="538" t="s">
        <v>183</v>
      </c>
      <c r="D256" s="663">
        <v>2016</v>
      </c>
      <c r="E256" s="1136">
        <v>70737481.200000033</v>
      </c>
      <c r="F256" s="1136">
        <v>4817795.6323164999</v>
      </c>
      <c r="G256" s="7">
        <f t="shared" si="31"/>
        <v>65919685.567683533</v>
      </c>
      <c r="H256" s="7">
        <f t="shared" si="33"/>
        <v>-57109.659999996424</v>
      </c>
    </row>
    <row r="257" spans="1:8">
      <c r="A257" s="549">
        <f t="shared" si="32"/>
        <v>149</v>
      </c>
      <c r="C257" s="536" t="s">
        <v>184</v>
      </c>
      <c r="D257" s="663">
        <v>2016</v>
      </c>
      <c r="E257" s="1136">
        <v>70748249.840000033</v>
      </c>
      <c r="F257" s="1136">
        <v>4964377.1889798334</v>
      </c>
      <c r="G257" s="7">
        <f t="shared" si="31"/>
        <v>65783872.651020199</v>
      </c>
      <c r="H257" s="7">
        <f t="shared" si="33"/>
        <v>10768.640000000596</v>
      </c>
    </row>
    <row r="258" spans="1:8">
      <c r="A258" s="549">
        <f t="shared" si="32"/>
        <v>150</v>
      </c>
      <c r="C258" s="536" t="s">
        <v>185</v>
      </c>
      <c r="D258" s="663">
        <v>2016</v>
      </c>
      <c r="E258" s="1136">
        <v>70761868.970000029</v>
      </c>
      <c r="F258" s="1136">
        <v>5110980.9110938339</v>
      </c>
      <c r="G258" s="7">
        <f t="shared" si="31"/>
        <v>65650888.058906198</v>
      </c>
      <c r="H258" s="7">
        <f t="shared" si="33"/>
        <v>13619.129999995232</v>
      </c>
    </row>
    <row r="259" spans="1:8">
      <c r="A259" s="549">
        <f t="shared" si="32"/>
        <v>151</v>
      </c>
      <c r="C259" s="538" t="s">
        <v>186</v>
      </c>
      <c r="D259" s="663">
        <v>2016</v>
      </c>
      <c r="E259" s="1136">
        <v>70799392.010000035</v>
      </c>
      <c r="F259" s="1136">
        <v>5257612.6659170836</v>
      </c>
      <c r="G259" s="7">
        <f t="shared" si="31"/>
        <v>65541779.344082952</v>
      </c>
      <c r="H259" s="7">
        <f t="shared" si="33"/>
        <v>37523.040000006557</v>
      </c>
    </row>
    <row r="260" spans="1:8">
      <c r="A260" s="549">
        <f t="shared" si="32"/>
        <v>152</v>
      </c>
      <c r="C260" s="536" t="s">
        <v>187</v>
      </c>
      <c r="D260" s="663">
        <v>2016</v>
      </c>
      <c r="E260" s="1136">
        <v>70879873.480000034</v>
      </c>
      <c r="F260" s="1136">
        <v>5404321.6556643341</v>
      </c>
      <c r="G260" s="7">
        <f t="shared" si="31"/>
        <v>65475551.824335702</v>
      </c>
      <c r="H260" s="7">
        <f t="shared" si="33"/>
        <v>80481.469999998808</v>
      </c>
    </row>
    <row r="261" spans="1:8">
      <c r="A261" s="549">
        <f t="shared" si="32"/>
        <v>153</v>
      </c>
      <c r="C261" s="536" t="s">
        <v>188</v>
      </c>
      <c r="D261" s="663">
        <v>2016</v>
      </c>
      <c r="E261" s="1136">
        <v>70935533.170000032</v>
      </c>
      <c r="F261" s="1136">
        <v>5551196.3031040011</v>
      </c>
      <c r="G261" s="7">
        <f t="shared" si="31"/>
        <v>65384336.866896033</v>
      </c>
      <c r="H261" s="7">
        <f t="shared" si="33"/>
        <v>55659.689999997616</v>
      </c>
    </row>
    <row r="262" spans="1:8">
      <c r="A262" s="549">
        <f t="shared" si="32"/>
        <v>154</v>
      </c>
      <c r="C262" s="538" t="s">
        <v>189</v>
      </c>
      <c r="D262" s="663">
        <v>2016</v>
      </c>
      <c r="E262" s="1136">
        <v>71003644.080000028</v>
      </c>
      <c r="F262" s="1136">
        <v>5698185.5167389177</v>
      </c>
      <c r="G262" s="7">
        <f t="shared" si="31"/>
        <v>65305458.563261107</v>
      </c>
      <c r="H262" s="7">
        <f t="shared" si="33"/>
        <v>68110.909999996424</v>
      </c>
    </row>
    <row r="263" spans="1:8">
      <c r="A263" s="549">
        <f t="shared" si="32"/>
        <v>155</v>
      </c>
      <c r="C263" s="538" t="s">
        <v>190</v>
      </c>
      <c r="D263" s="663">
        <v>2016</v>
      </c>
      <c r="E263" s="1136">
        <v>71080313.190000027</v>
      </c>
      <c r="F263" s="1136">
        <v>5845314.9253302505</v>
      </c>
      <c r="G263" s="7">
        <f t="shared" si="31"/>
        <v>65234998.264669776</v>
      </c>
      <c r="H263" s="7">
        <f t="shared" si="33"/>
        <v>76669.109999999404</v>
      </c>
    </row>
    <row r="264" spans="1:8">
      <c r="A264" s="549">
        <f t="shared" si="32"/>
        <v>156</v>
      </c>
      <c r="C264" s="538" t="s">
        <v>180</v>
      </c>
      <c r="D264" s="663">
        <v>2016</v>
      </c>
      <c r="E264" s="1136">
        <v>71091079.070000023</v>
      </c>
      <c r="F264" s="1136">
        <v>5992602.1445063334</v>
      </c>
      <c r="G264" s="7">
        <f t="shared" si="31"/>
        <v>65098476.925493687</v>
      </c>
      <c r="H264" s="7">
        <f t="shared" si="33"/>
        <v>10765.879999995232</v>
      </c>
    </row>
    <row r="266" spans="1:8">
      <c r="C266" s="1228" t="s">
        <v>2432</v>
      </c>
      <c r="E266" s="84" t="s">
        <v>363</v>
      </c>
      <c r="F266" s="84" t="s">
        <v>347</v>
      </c>
      <c r="G266" s="84" t="s">
        <v>348</v>
      </c>
      <c r="H266" s="84" t="s">
        <v>349</v>
      </c>
    </row>
    <row r="267" spans="1:8">
      <c r="G267" s="512" t="s">
        <v>1676</v>
      </c>
      <c r="H267" s="512" t="s">
        <v>1677</v>
      </c>
    </row>
    <row r="268" spans="1:8">
      <c r="C268" s="549" t="s">
        <v>538</v>
      </c>
      <c r="H268" s="504" t="s">
        <v>1678</v>
      </c>
    </row>
    <row r="269" spans="1:8">
      <c r="C269" s="549" t="s">
        <v>193</v>
      </c>
      <c r="E269" s="549" t="s">
        <v>376</v>
      </c>
      <c r="F269" s="549" t="s">
        <v>1566</v>
      </c>
      <c r="G269" s="549" t="s">
        <v>1005</v>
      </c>
      <c r="H269" s="549" t="s">
        <v>1139</v>
      </c>
    </row>
    <row r="270" spans="1:8">
      <c r="C270" s="25" t="s">
        <v>192</v>
      </c>
      <c r="D270" s="25" t="s">
        <v>193</v>
      </c>
      <c r="E270" s="3" t="s">
        <v>1567</v>
      </c>
      <c r="F270" s="3" t="s">
        <v>1093</v>
      </c>
      <c r="G270" s="3" t="s">
        <v>3</v>
      </c>
      <c r="H270" s="3" t="s">
        <v>1562</v>
      </c>
    </row>
    <row r="271" spans="1:8">
      <c r="A271" s="549">
        <f>A264+1</f>
        <v>157</v>
      </c>
      <c r="C271" s="538" t="s">
        <v>180</v>
      </c>
      <c r="D271" s="187"/>
      <c r="E271" s="107"/>
      <c r="F271" s="107"/>
      <c r="G271" s="7">
        <f t="shared" ref="G271:G283" si="34">E271-F271</f>
        <v>0</v>
      </c>
      <c r="H271" s="7">
        <f>E271-E271</f>
        <v>0</v>
      </c>
    </row>
    <row r="272" spans="1:8">
      <c r="A272" s="549">
        <f>A271+1</f>
        <v>158</v>
      </c>
      <c r="C272" s="538" t="s">
        <v>181</v>
      </c>
      <c r="D272" s="148"/>
      <c r="E272" s="107"/>
      <c r="F272" s="107"/>
      <c r="G272" s="7">
        <f t="shared" si="34"/>
        <v>0</v>
      </c>
      <c r="H272" s="7">
        <f>E272-E271</f>
        <v>0</v>
      </c>
    </row>
    <row r="273" spans="1:8">
      <c r="A273" s="549">
        <f t="shared" ref="A273:A283" si="35">A272+1</f>
        <v>159</v>
      </c>
      <c r="C273" s="536" t="s">
        <v>182</v>
      </c>
      <c r="D273" s="148"/>
      <c r="E273" s="107"/>
      <c r="F273" s="107"/>
      <c r="G273" s="7">
        <f t="shared" si="34"/>
        <v>0</v>
      </c>
      <c r="H273" s="7">
        <f t="shared" ref="H273:H283" si="36">E273-E272</f>
        <v>0</v>
      </c>
    </row>
    <row r="274" spans="1:8">
      <c r="A274" s="549">
        <f t="shared" si="35"/>
        <v>160</v>
      </c>
      <c r="C274" s="536" t="s">
        <v>195</v>
      </c>
      <c r="D274" s="148"/>
      <c r="E274" s="107"/>
      <c r="F274" s="107"/>
      <c r="G274" s="7">
        <f t="shared" si="34"/>
        <v>0</v>
      </c>
      <c r="H274" s="7">
        <f t="shared" si="36"/>
        <v>0</v>
      </c>
    </row>
    <row r="275" spans="1:8">
      <c r="A275" s="549">
        <f t="shared" si="35"/>
        <v>161</v>
      </c>
      <c r="C275" s="538" t="s">
        <v>183</v>
      </c>
      <c r="D275" s="148"/>
      <c r="E275" s="107"/>
      <c r="F275" s="107"/>
      <c r="G275" s="7">
        <f t="shared" si="34"/>
        <v>0</v>
      </c>
      <c r="H275" s="7">
        <f t="shared" si="36"/>
        <v>0</v>
      </c>
    </row>
    <row r="276" spans="1:8">
      <c r="A276" s="549">
        <f t="shared" si="35"/>
        <v>162</v>
      </c>
      <c r="C276" s="536" t="s">
        <v>184</v>
      </c>
      <c r="D276" s="148"/>
      <c r="E276" s="107"/>
      <c r="F276" s="107"/>
      <c r="G276" s="7">
        <f t="shared" si="34"/>
        <v>0</v>
      </c>
      <c r="H276" s="7">
        <f t="shared" si="36"/>
        <v>0</v>
      </c>
    </row>
    <row r="277" spans="1:8">
      <c r="A277" s="549">
        <f t="shared" si="35"/>
        <v>163</v>
      </c>
      <c r="C277" s="536" t="s">
        <v>185</v>
      </c>
      <c r="D277" s="148"/>
      <c r="E277" s="107"/>
      <c r="F277" s="107"/>
      <c r="G277" s="7">
        <f t="shared" si="34"/>
        <v>0</v>
      </c>
      <c r="H277" s="7">
        <f t="shared" si="36"/>
        <v>0</v>
      </c>
    </row>
    <row r="278" spans="1:8">
      <c r="A278" s="549">
        <f t="shared" si="35"/>
        <v>164</v>
      </c>
      <c r="C278" s="538" t="s">
        <v>186</v>
      </c>
      <c r="D278" s="148"/>
      <c r="E278" s="107"/>
      <c r="F278" s="107"/>
      <c r="G278" s="7">
        <f t="shared" si="34"/>
        <v>0</v>
      </c>
      <c r="H278" s="7">
        <f t="shared" si="36"/>
        <v>0</v>
      </c>
    </row>
    <row r="279" spans="1:8">
      <c r="A279" s="549">
        <f t="shared" si="35"/>
        <v>165</v>
      </c>
      <c r="C279" s="536" t="s">
        <v>187</v>
      </c>
      <c r="D279" s="148"/>
      <c r="E279" s="107"/>
      <c r="F279" s="107"/>
      <c r="G279" s="7">
        <f t="shared" si="34"/>
        <v>0</v>
      </c>
      <c r="H279" s="7">
        <f t="shared" si="36"/>
        <v>0</v>
      </c>
    </row>
    <row r="280" spans="1:8">
      <c r="A280" s="549">
        <f t="shared" si="35"/>
        <v>166</v>
      </c>
      <c r="C280" s="536" t="s">
        <v>188</v>
      </c>
      <c r="D280" s="148"/>
      <c r="E280" s="107"/>
      <c r="F280" s="107"/>
      <c r="G280" s="7">
        <f t="shared" si="34"/>
        <v>0</v>
      </c>
      <c r="H280" s="7">
        <f t="shared" si="36"/>
        <v>0</v>
      </c>
    </row>
    <row r="281" spans="1:8">
      <c r="A281" s="549">
        <f t="shared" si="35"/>
        <v>167</v>
      </c>
      <c r="C281" s="538" t="s">
        <v>189</v>
      </c>
      <c r="D281" s="148"/>
      <c r="E281" s="107"/>
      <c r="F281" s="107"/>
      <c r="G281" s="7">
        <f t="shared" si="34"/>
        <v>0</v>
      </c>
      <c r="H281" s="7">
        <f t="shared" si="36"/>
        <v>0</v>
      </c>
    </row>
    <row r="282" spans="1:8">
      <c r="A282" s="549">
        <f t="shared" si="35"/>
        <v>168</v>
      </c>
      <c r="C282" s="538" t="s">
        <v>190</v>
      </c>
      <c r="D282" s="148"/>
      <c r="E282" s="107"/>
      <c r="F282" s="107"/>
      <c r="G282" s="7">
        <f t="shared" si="34"/>
        <v>0</v>
      </c>
      <c r="H282" s="7">
        <f t="shared" si="36"/>
        <v>0</v>
      </c>
    </row>
    <row r="283" spans="1:8">
      <c r="A283" s="549">
        <f t="shared" si="35"/>
        <v>169</v>
      </c>
      <c r="C283" s="538" t="s">
        <v>180</v>
      </c>
      <c r="D283" s="148"/>
      <c r="E283" s="107"/>
      <c r="F283" s="107"/>
      <c r="G283" s="7">
        <f t="shared" si="34"/>
        <v>0</v>
      </c>
      <c r="H283" s="7">
        <f t="shared" si="36"/>
        <v>0</v>
      </c>
    </row>
    <row r="285" spans="1:8">
      <c r="C285" s="1228" t="s">
        <v>2433</v>
      </c>
      <c r="E285" s="84" t="s">
        <v>363</v>
      </c>
      <c r="F285" s="84" t="s">
        <v>347</v>
      </c>
      <c r="G285" s="84" t="s">
        <v>348</v>
      </c>
      <c r="H285" s="84" t="s">
        <v>349</v>
      </c>
    </row>
    <row r="286" spans="1:8">
      <c r="G286" s="512" t="s">
        <v>1676</v>
      </c>
      <c r="H286" s="512" t="s">
        <v>1677</v>
      </c>
    </row>
    <row r="287" spans="1:8">
      <c r="C287" s="549" t="s">
        <v>538</v>
      </c>
      <c r="H287" s="504" t="s">
        <v>1678</v>
      </c>
    </row>
    <row r="288" spans="1:8">
      <c r="C288" s="549" t="s">
        <v>193</v>
      </c>
      <c r="E288" s="549" t="s">
        <v>376</v>
      </c>
      <c r="F288" s="549" t="s">
        <v>1566</v>
      </c>
      <c r="G288" s="549" t="s">
        <v>1005</v>
      </c>
      <c r="H288" s="549" t="s">
        <v>1139</v>
      </c>
    </row>
    <row r="289" spans="1:8">
      <c r="C289" s="25" t="s">
        <v>192</v>
      </c>
      <c r="D289" s="25" t="s">
        <v>193</v>
      </c>
      <c r="E289" s="3" t="s">
        <v>1567</v>
      </c>
      <c r="F289" s="3" t="s">
        <v>1093</v>
      </c>
      <c r="G289" s="3" t="s">
        <v>3</v>
      </c>
      <c r="H289" s="3" t="s">
        <v>1562</v>
      </c>
    </row>
    <row r="290" spans="1:8">
      <c r="A290" s="549">
        <f>A283+1</f>
        <v>170</v>
      </c>
      <c r="C290" s="538" t="s">
        <v>180</v>
      </c>
      <c r="D290" s="187"/>
      <c r="E290" s="107"/>
      <c r="F290" s="107"/>
      <c r="G290" s="7">
        <f t="shared" ref="G290:G302" si="37">E290-F290</f>
        <v>0</v>
      </c>
      <c r="H290" s="7">
        <f>E290-E290</f>
        <v>0</v>
      </c>
    </row>
    <row r="291" spans="1:8">
      <c r="A291" s="549">
        <f>A290+1</f>
        <v>171</v>
      </c>
      <c r="C291" s="538" t="s">
        <v>181</v>
      </c>
      <c r="D291" s="148"/>
      <c r="E291" s="107"/>
      <c r="F291" s="107"/>
      <c r="G291" s="7">
        <f t="shared" si="37"/>
        <v>0</v>
      </c>
      <c r="H291" s="7">
        <f>E291-E290</f>
        <v>0</v>
      </c>
    </row>
    <row r="292" spans="1:8">
      <c r="A292" s="549">
        <f t="shared" ref="A292:A302" si="38">A291+1</f>
        <v>172</v>
      </c>
      <c r="C292" s="536" t="s">
        <v>182</v>
      </c>
      <c r="D292" s="148"/>
      <c r="E292" s="107"/>
      <c r="F292" s="107"/>
      <c r="G292" s="7">
        <f t="shared" si="37"/>
        <v>0</v>
      </c>
      <c r="H292" s="7">
        <f t="shared" ref="H292:H302" si="39">E292-E291</f>
        <v>0</v>
      </c>
    </row>
    <row r="293" spans="1:8">
      <c r="A293" s="549">
        <f t="shared" si="38"/>
        <v>173</v>
      </c>
      <c r="C293" s="536" t="s">
        <v>195</v>
      </c>
      <c r="D293" s="148"/>
      <c r="E293" s="107"/>
      <c r="F293" s="107"/>
      <c r="G293" s="7">
        <f t="shared" si="37"/>
        <v>0</v>
      </c>
      <c r="H293" s="7">
        <f t="shared" si="39"/>
        <v>0</v>
      </c>
    </row>
    <row r="294" spans="1:8">
      <c r="A294" s="549">
        <f t="shared" si="38"/>
        <v>174</v>
      </c>
      <c r="C294" s="538" t="s">
        <v>183</v>
      </c>
      <c r="D294" s="148"/>
      <c r="E294" s="107"/>
      <c r="F294" s="107"/>
      <c r="G294" s="7">
        <f t="shared" si="37"/>
        <v>0</v>
      </c>
      <c r="H294" s="7">
        <f t="shared" si="39"/>
        <v>0</v>
      </c>
    </row>
    <row r="295" spans="1:8">
      <c r="A295" s="549">
        <f t="shared" si="38"/>
        <v>175</v>
      </c>
      <c r="C295" s="536" t="s">
        <v>184</v>
      </c>
      <c r="D295" s="148"/>
      <c r="E295" s="107"/>
      <c r="F295" s="107"/>
      <c r="G295" s="7">
        <f t="shared" si="37"/>
        <v>0</v>
      </c>
      <c r="H295" s="7">
        <f t="shared" si="39"/>
        <v>0</v>
      </c>
    </row>
    <row r="296" spans="1:8">
      <c r="A296" s="549">
        <f t="shared" si="38"/>
        <v>176</v>
      </c>
      <c r="C296" s="536" t="s">
        <v>185</v>
      </c>
      <c r="D296" s="148"/>
      <c r="E296" s="107"/>
      <c r="F296" s="107"/>
      <c r="G296" s="7">
        <f t="shared" si="37"/>
        <v>0</v>
      </c>
      <c r="H296" s="7">
        <f t="shared" si="39"/>
        <v>0</v>
      </c>
    </row>
    <row r="297" spans="1:8">
      <c r="A297" s="549">
        <f t="shared" si="38"/>
        <v>177</v>
      </c>
      <c r="C297" s="538" t="s">
        <v>186</v>
      </c>
      <c r="D297" s="148"/>
      <c r="E297" s="107"/>
      <c r="F297" s="107"/>
      <c r="G297" s="7">
        <f t="shared" si="37"/>
        <v>0</v>
      </c>
      <c r="H297" s="7">
        <f t="shared" si="39"/>
        <v>0</v>
      </c>
    </row>
    <row r="298" spans="1:8">
      <c r="A298" s="549">
        <f t="shared" si="38"/>
        <v>178</v>
      </c>
      <c r="C298" s="536" t="s">
        <v>187</v>
      </c>
      <c r="D298" s="148"/>
      <c r="E298" s="107"/>
      <c r="F298" s="107"/>
      <c r="G298" s="7">
        <f t="shared" si="37"/>
        <v>0</v>
      </c>
      <c r="H298" s="7">
        <f t="shared" si="39"/>
        <v>0</v>
      </c>
    </row>
    <row r="299" spans="1:8">
      <c r="A299" s="549">
        <f t="shared" si="38"/>
        <v>179</v>
      </c>
      <c r="C299" s="536" t="s">
        <v>188</v>
      </c>
      <c r="D299" s="148"/>
      <c r="E299" s="107"/>
      <c r="F299" s="107"/>
      <c r="G299" s="7">
        <f t="shared" si="37"/>
        <v>0</v>
      </c>
      <c r="H299" s="7">
        <f t="shared" si="39"/>
        <v>0</v>
      </c>
    </row>
    <row r="300" spans="1:8">
      <c r="A300" s="549">
        <f t="shared" si="38"/>
        <v>180</v>
      </c>
      <c r="C300" s="538" t="s">
        <v>189</v>
      </c>
      <c r="D300" s="148"/>
      <c r="E300" s="107"/>
      <c r="F300" s="107"/>
      <c r="G300" s="7">
        <f t="shared" si="37"/>
        <v>0</v>
      </c>
      <c r="H300" s="7">
        <f t="shared" si="39"/>
        <v>0</v>
      </c>
    </row>
    <row r="301" spans="1:8">
      <c r="A301" s="549">
        <f t="shared" si="38"/>
        <v>181</v>
      </c>
      <c r="C301" s="538" t="s">
        <v>190</v>
      </c>
      <c r="D301" s="148"/>
      <c r="E301" s="107"/>
      <c r="F301" s="107"/>
      <c r="G301" s="7">
        <f t="shared" si="37"/>
        <v>0</v>
      </c>
      <c r="H301" s="7">
        <f t="shared" si="39"/>
        <v>0</v>
      </c>
    </row>
    <row r="302" spans="1:8">
      <c r="A302" s="549">
        <f t="shared" si="38"/>
        <v>182</v>
      </c>
      <c r="C302" s="538" t="s">
        <v>180</v>
      </c>
      <c r="D302" s="148"/>
      <c r="E302" s="107"/>
      <c r="F302" s="107"/>
      <c r="G302" s="7">
        <f t="shared" si="37"/>
        <v>0</v>
      </c>
      <c r="H302" s="7">
        <f t="shared" si="39"/>
        <v>0</v>
      </c>
    </row>
    <row r="304" spans="1:8">
      <c r="B304" s="1"/>
      <c r="C304" s="1" t="s">
        <v>1571</v>
      </c>
      <c r="D304" s="501"/>
      <c r="E304" s="7"/>
    </row>
    <row r="305" spans="1:10">
      <c r="B305" s="1"/>
    </row>
    <row r="306" spans="1:10">
      <c r="C306" s="410" t="s">
        <v>1115</v>
      </c>
      <c r="D306" s="97"/>
      <c r="E306" s="97"/>
      <c r="F306" s="97"/>
      <c r="G306" s="191" t="s">
        <v>1117</v>
      </c>
      <c r="H306" s="97"/>
      <c r="I306" s="97"/>
      <c r="J306" s="97"/>
    </row>
    <row r="307" spans="1:10">
      <c r="A307" s="549">
        <f>A302+1</f>
        <v>183</v>
      </c>
      <c r="C307" s="555" t="s">
        <v>221</v>
      </c>
      <c r="D307" s="97"/>
      <c r="E307" s="411"/>
      <c r="F307" s="403" t="s">
        <v>222</v>
      </c>
      <c r="G307" s="513" t="s">
        <v>2227</v>
      </c>
      <c r="H307" s="97"/>
      <c r="I307" s="97"/>
      <c r="J307" s="97"/>
    </row>
    <row r="308" spans="1:10">
      <c r="A308" s="549">
        <f>A307+1</f>
        <v>184</v>
      </c>
      <c r="C308" s="402" t="s">
        <v>223</v>
      </c>
      <c r="D308" s="97"/>
      <c r="E308" s="412"/>
      <c r="F308" s="404">
        <v>7.4999999999999997E-3</v>
      </c>
      <c r="G308" s="513" t="s">
        <v>2228</v>
      </c>
      <c r="H308" s="97"/>
      <c r="I308" s="97"/>
      <c r="J308" s="97"/>
    </row>
    <row r="309" spans="1:10">
      <c r="A309" s="549">
        <f>A308+1</f>
        <v>185</v>
      </c>
      <c r="C309" s="402" t="s">
        <v>1114</v>
      </c>
      <c r="D309" s="97"/>
      <c r="E309" s="411"/>
      <c r="F309" s="403" t="s">
        <v>224</v>
      </c>
      <c r="G309" s="150" t="s">
        <v>2229</v>
      </c>
      <c r="H309" s="97"/>
      <c r="I309" s="97"/>
      <c r="J309" s="97"/>
    </row>
    <row r="310" spans="1:10">
      <c r="C310" s="97"/>
      <c r="D310" s="97"/>
      <c r="E310" s="411"/>
      <c r="F310" s="405"/>
      <c r="G310" s="97"/>
      <c r="H310" s="97"/>
      <c r="I310" s="97"/>
      <c r="J310" s="97"/>
    </row>
    <row r="311" spans="1:10">
      <c r="C311" s="410" t="s">
        <v>1116</v>
      </c>
      <c r="D311" s="97"/>
      <c r="E311" s="97"/>
      <c r="F311" s="405"/>
      <c r="G311" s="191" t="s">
        <v>1117</v>
      </c>
      <c r="H311" s="97"/>
      <c r="I311" s="97"/>
      <c r="J311" s="97"/>
    </row>
    <row r="312" spans="1:10">
      <c r="A312" s="549">
        <f>A309+1</f>
        <v>186</v>
      </c>
      <c r="C312" s="555" t="s">
        <v>221</v>
      </c>
      <c r="D312" s="97"/>
      <c r="E312" s="411"/>
      <c r="F312" s="403" t="s">
        <v>222</v>
      </c>
      <c r="G312" s="513" t="s">
        <v>2227</v>
      </c>
      <c r="H312" s="97"/>
      <c r="I312" s="97"/>
      <c r="J312" s="97"/>
    </row>
    <row r="313" spans="1:10">
      <c r="A313" s="549">
        <f>A312+1</f>
        <v>187</v>
      </c>
      <c r="C313" s="402" t="s">
        <v>223</v>
      </c>
      <c r="D313" s="97"/>
      <c r="E313" s="412"/>
      <c r="F313" s="404">
        <v>1.2500000000000001E-2</v>
      </c>
      <c r="G313" s="513" t="s">
        <v>2228</v>
      </c>
      <c r="H313" s="97"/>
      <c r="I313" s="97"/>
      <c r="J313" s="97"/>
    </row>
    <row r="314" spans="1:10">
      <c r="A314" s="549">
        <f>A313+1</f>
        <v>188</v>
      </c>
      <c r="C314" s="402" t="s">
        <v>1114</v>
      </c>
      <c r="D314" s="97"/>
      <c r="E314" s="411"/>
      <c r="F314" s="403" t="s">
        <v>222</v>
      </c>
      <c r="G314" s="513" t="s">
        <v>2230</v>
      </c>
      <c r="H314" s="97"/>
      <c r="I314" s="97"/>
      <c r="J314" s="97"/>
    </row>
    <row r="315" spans="1:10">
      <c r="C315" s="402"/>
      <c r="D315" s="97"/>
      <c r="E315" s="411"/>
      <c r="F315" s="403"/>
      <c r="G315" s="97"/>
      <c r="H315" s="97"/>
      <c r="I315" s="97"/>
      <c r="J315" s="97"/>
    </row>
    <row r="316" spans="1:10">
      <c r="C316" s="410" t="s">
        <v>1118</v>
      </c>
      <c r="D316" s="97"/>
      <c r="E316" s="513"/>
      <c r="F316" s="556"/>
      <c r="G316" s="191" t="s">
        <v>1117</v>
      </c>
      <c r="H316" s="97"/>
      <c r="I316" s="97"/>
      <c r="J316" s="97"/>
    </row>
    <row r="317" spans="1:10">
      <c r="A317" s="549">
        <f>A314+1</f>
        <v>189</v>
      </c>
      <c r="C317" s="555" t="s">
        <v>221</v>
      </c>
      <c r="D317" s="97"/>
      <c r="E317" s="411"/>
      <c r="F317" s="403" t="s">
        <v>222</v>
      </c>
      <c r="G317" s="513" t="s">
        <v>2227</v>
      </c>
      <c r="H317" s="97"/>
      <c r="I317" s="97"/>
      <c r="J317" s="97"/>
    </row>
    <row r="318" spans="1:10">
      <c r="A318" s="549">
        <f>A317+1</f>
        <v>190</v>
      </c>
      <c r="C318" s="402" t="s">
        <v>223</v>
      </c>
      <c r="D318" s="97"/>
      <c r="E318" s="412"/>
      <c r="F318" s="404">
        <v>0.01</v>
      </c>
      <c r="G318" s="513" t="s">
        <v>2231</v>
      </c>
      <c r="H318" s="97"/>
      <c r="I318" s="97"/>
      <c r="J318" s="97"/>
    </row>
    <row r="319" spans="1:10">
      <c r="A319" s="549">
        <f>A318+1</f>
        <v>191</v>
      </c>
      <c r="C319" s="402"/>
      <c r="D319" s="97"/>
      <c r="E319" s="412"/>
      <c r="F319" s="404"/>
      <c r="G319" s="513" t="s">
        <v>2232</v>
      </c>
      <c r="H319" s="97"/>
      <c r="I319" s="97"/>
      <c r="J319" s="97"/>
    </row>
    <row r="320" spans="1:10">
      <c r="A320" s="549">
        <f>A319+1</f>
        <v>192</v>
      </c>
      <c r="C320" s="402" t="s">
        <v>1114</v>
      </c>
      <c r="D320" s="97"/>
      <c r="E320" s="411"/>
      <c r="F320" s="403" t="s">
        <v>222</v>
      </c>
      <c r="G320" s="513" t="s">
        <v>2230</v>
      </c>
      <c r="H320" s="97"/>
      <c r="I320" s="97"/>
      <c r="J320" s="97"/>
    </row>
    <row r="321" spans="1:10">
      <c r="C321" s="402"/>
      <c r="D321" s="97"/>
      <c r="E321" s="411"/>
      <c r="F321" s="403"/>
      <c r="G321" s="97"/>
      <c r="H321" s="97"/>
      <c r="I321" s="97"/>
      <c r="J321" s="97"/>
    </row>
    <row r="322" spans="1:10">
      <c r="C322" s="410" t="s">
        <v>1119</v>
      </c>
      <c r="D322" s="97"/>
      <c r="E322" s="513"/>
      <c r="F322" s="556"/>
      <c r="G322" s="191" t="s">
        <v>1117</v>
      </c>
      <c r="H322" s="97"/>
      <c r="I322" s="97"/>
      <c r="J322" s="97"/>
    </row>
    <row r="323" spans="1:10">
      <c r="A323" s="549">
        <f>A320+1</f>
        <v>193</v>
      </c>
      <c r="C323" s="555" t="s">
        <v>221</v>
      </c>
      <c r="D323" s="97"/>
      <c r="E323" s="411"/>
      <c r="F323" s="1073" t="s">
        <v>224</v>
      </c>
      <c r="G323" s="513" t="s">
        <v>2233</v>
      </c>
      <c r="H323" s="97"/>
      <c r="I323" s="97"/>
      <c r="J323" s="97"/>
    </row>
    <row r="324" spans="1:10">
      <c r="A324" s="549">
        <f>A323+1</f>
        <v>194</v>
      </c>
      <c r="C324" s="555"/>
      <c r="D324" s="97"/>
      <c r="E324" s="411"/>
      <c r="F324" s="1073"/>
      <c r="G324" s="97" t="s">
        <v>2232</v>
      </c>
      <c r="H324" s="97"/>
      <c r="I324" s="97"/>
      <c r="J324" s="97"/>
    </row>
    <row r="325" spans="1:10">
      <c r="A325" s="549">
        <f>A324+1</f>
        <v>195</v>
      </c>
      <c r="C325" s="402" t="s">
        <v>223</v>
      </c>
      <c r="D325" s="97"/>
      <c r="E325" s="412"/>
      <c r="F325" s="1074">
        <v>0</v>
      </c>
      <c r="G325" s="513" t="s">
        <v>2234</v>
      </c>
      <c r="H325" s="97"/>
      <c r="I325" s="97"/>
      <c r="J325" s="97"/>
    </row>
    <row r="326" spans="1:10">
      <c r="A326" s="549">
        <f>A325+1</f>
        <v>196</v>
      </c>
      <c r="C326" s="402"/>
      <c r="D326" s="97"/>
      <c r="E326" s="412"/>
      <c r="F326" s="1074"/>
      <c r="G326" s="513" t="s">
        <v>2235</v>
      </c>
      <c r="H326" s="97"/>
      <c r="I326" s="97"/>
      <c r="J326" s="97"/>
    </row>
    <row r="327" spans="1:10">
      <c r="A327" s="549">
        <f>A326+1</f>
        <v>197</v>
      </c>
      <c r="C327" s="402" t="s">
        <v>1114</v>
      </c>
      <c r="D327" s="97"/>
      <c r="E327" s="411"/>
      <c r="F327" s="1073" t="s">
        <v>222</v>
      </c>
      <c r="G327" s="513" t="s">
        <v>2230</v>
      </c>
      <c r="H327" s="97"/>
      <c r="I327" s="97"/>
      <c r="J327" s="97"/>
    </row>
    <row r="328" spans="1:10">
      <c r="C328" s="402"/>
      <c r="D328" s="97"/>
      <c r="E328" s="411"/>
      <c r="F328" s="403"/>
      <c r="G328" s="97"/>
      <c r="H328" s="97"/>
      <c r="I328" s="97"/>
      <c r="J328" s="97"/>
    </row>
    <row r="329" spans="1:10">
      <c r="C329" s="410" t="s">
        <v>2434</v>
      </c>
      <c r="D329" s="97"/>
      <c r="E329" s="1118"/>
      <c r="F329" s="556"/>
      <c r="G329" s="191" t="s">
        <v>1117</v>
      </c>
      <c r="H329" s="97"/>
      <c r="I329" s="97"/>
      <c r="J329" s="97"/>
    </row>
    <row r="330" spans="1:10">
      <c r="A330" s="549">
        <f>A327+1</f>
        <v>198</v>
      </c>
      <c r="C330" s="555" t="s">
        <v>221</v>
      </c>
      <c r="D330" s="97"/>
      <c r="E330" s="411"/>
      <c r="F330" s="1082" t="s">
        <v>222</v>
      </c>
      <c r="G330" s="557" t="s">
        <v>2239</v>
      </c>
      <c r="H330" s="97"/>
      <c r="I330" s="97"/>
      <c r="J330" s="97"/>
    </row>
    <row r="331" spans="1:10">
      <c r="A331" s="549">
        <f>A330+1</f>
        <v>199</v>
      </c>
      <c r="C331" s="402" t="s">
        <v>223</v>
      </c>
      <c r="D331" s="97"/>
      <c r="E331" s="412"/>
      <c r="F331" s="1083">
        <v>0</v>
      </c>
      <c r="G331" s="1079" t="s">
        <v>76</v>
      </c>
      <c r="H331" s="97"/>
      <c r="I331" s="97"/>
      <c r="J331" s="97"/>
    </row>
    <row r="332" spans="1:10">
      <c r="A332" s="549">
        <f>A331+1</f>
        <v>200</v>
      </c>
      <c r="C332" s="402" t="s">
        <v>1114</v>
      </c>
      <c r="D332" s="97"/>
      <c r="E332" s="411"/>
      <c r="F332" s="1082" t="s">
        <v>222</v>
      </c>
      <c r="G332" s="557" t="s">
        <v>2239</v>
      </c>
      <c r="H332" s="97"/>
      <c r="I332" s="97"/>
      <c r="J332" s="97"/>
    </row>
    <row r="333" spans="1:10">
      <c r="C333" s="97"/>
      <c r="D333" s="97"/>
      <c r="E333" s="97"/>
      <c r="F333" s="1082"/>
      <c r="G333" s="97"/>
      <c r="H333" s="97"/>
      <c r="I333" s="97"/>
      <c r="J333" s="97"/>
    </row>
    <row r="334" spans="1:10">
      <c r="C334" s="410" t="s">
        <v>2435</v>
      </c>
      <c r="D334" s="97"/>
      <c r="E334" s="1118"/>
      <c r="F334" s="556"/>
      <c r="G334" s="191" t="s">
        <v>1117</v>
      </c>
      <c r="H334" s="97"/>
      <c r="I334" s="97"/>
      <c r="J334" s="97"/>
    </row>
    <row r="335" spans="1:10">
      <c r="A335" s="549">
        <f>A332+1</f>
        <v>201</v>
      </c>
      <c r="C335" s="555" t="s">
        <v>221</v>
      </c>
      <c r="D335" s="97"/>
      <c r="E335" s="411"/>
      <c r="F335" s="1082" t="s">
        <v>222</v>
      </c>
      <c r="G335" s="557" t="s">
        <v>2239</v>
      </c>
      <c r="H335" s="97"/>
      <c r="I335" s="513"/>
      <c r="J335" s="513"/>
    </row>
    <row r="336" spans="1:10">
      <c r="A336" s="549">
        <f>A335+1</f>
        <v>202</v>
      </c>
      <c r="C336" s="402" t="s">
        <v>223</v>
      </c>
      <c r="D336" s="97"/>
      <c r="E336" s="412"/>
      <c r="F336" s="1083">
        <v>0</v>
      </c>
      <c r="G336" s="1079" t="s">
        <v>76</v>
      </c>
      <c r="H336" s="97"/>
      <c r="I336" s="513"/>
      <c r="J336" s="513"/>
    </row>
    <row r="337" spans="1:10">
      <c r="A337" s="549">
        <f>A336+1</f>
        <v>203</v>
      </c>
      <c r="C337" s="402" t="s">
        <v>1114</v>
      </c>
      <c r="D337" s="97"/>
      <c r="E337" s="411"/>
      <c r="F337" s="1082" t="s">
        <v>222</v>
      </c>
      <c r="G337" s="557" t="s">
        <v>2239</v>
      </c>
      <c r="H337" s="97"/>
      <c r="I337" s="513"/>
      <c r="J337" s="513"/>
    </row>
    <row r="338" spans="1:10">
      <c r="C338" s="402"/>
      <c r="D338" s="97"/>
      <c r="E338" s="412"/>
      <c r="F338" s="404"/>
      <c r="G338" s="513"/>
      <c r="H338" s="97"/>
      <c r="I338" s="513"/>
      <c r="J338" s="513"/>
    </row>
    <row r="339" spans="1:10">
      <c r="C339" s="410" t="s">
        <v>1120</v>
      </c>
      <c r="D339" s="97"/>
      <c r="E339" s="513"/>
      <c r="F339" s="556"/>
      <c r="G339" s="191" t="s">
        <v>1117</v>
      </c>
      <c r="H339" s="97"/>
      <c r="I339" s="513"/>
      <c r="J339" s="513"/>
    </row>
    <row r="340" spans="1:10">
      <c r="A340" s="549">
        <f>A337+1</f>
        <v>204</v>
      </c>
      <c r="C340" s="555" t="s">
        <v>221</v>
      </c>
      <c r="D340" s="97"/>
      <c r="E340" s="411"/>
      <c r="F340" s="1075" t="s">
        <v>222</v>
      </c>
      <c r="G340" s="513" t="s">
        <v>2236</v>
      </c>
      <c r="H340" s="97"/>
      <c r="I340" s="513"/>
      <c r="J340" s="513"/>
    </row>
    <row r="341" spans="1:10">
      <c r="A341" s="549">
        <f>A340+1</f>
        <v>205</v>
      </c>
      <c r="C341" s="402" t="s">
        <v>223</v>
      </c>
      <c r="D341" s="97"/>
      <c r="E341" s="412"/>
      <c r="F341" s="1076">
        <v>0</v>
      </c>
      <c r="G341" s="513" t="s">
        <v>2237</v>
      </c>
      <c r="H341" s="97"/>
      <c r="I341" s="513"/>
      <c r="J341" s="513"/>
    </row>
    <row r="342" spans="1:10">
      <c r="A342" s="549">
        <f>A341+1</f>
        <v>206</v>
      </c>
      <c r="C342" s="402" t="s">
        <v>1114</v>
      </c>
      <c r="D342" s="97"/>
      <c r="E342" s="411"/>
      <c r="F342" s="1075" t="s">
        <v>222</v>
      </c>
      <c r="G342" s="513" t="s">
        <v>2238</v>
      </c>
      <c r="H342" s="97"/>
      <c r="I342" s="513"/>
      <c r="J342" s="513"/>
    </row>
    <row r="343" spans="1:10">
      <c r="C343" s="97"/>
      <c r="D343" s="97"/>
      <c r="E343" s="97"/>
      <c r="F343" s="403"/>
      <c r="G343" s="97"/>
      <c r="H343" s="97"/>
      <c r="I343" s="97"/>
      <c r="J343" s="97"/>
    </row>
    <row r="344" spans="1:10">
      <c r="C344" s="410" t="s">
        <v>1121</v>
      </c>
      <c r="D344" s="97"/>
      <c r="E344" s="513"/>
      <c r="F344" s="556"/>
      <c r="G344" s="191" t="s">
        <v>1117</v>
      </c>
      <c r="H344" s="97"/>
      <c r="I344" s="97"/>
      <c r="J344" s="97"/>
    </row>
    <row r="345" spans="1:10">
      <c r="A345" s="549">
        <f>A342+1</f>
        <v>207</v>
      </c>
      <c r="C345" s="555" t="s">
        <v>221</v>
      </c>
      <c r="D345" s="97"/>
      <c r="E345" s="411"/>
      <c r="F345" s="1077" t="s">
        <v>222</v>
      </c>
      <c r="G345" s="557" t="s">
        <v>2239</v>
      </c>
      <c r="H345" s="97"/>
      <c r="I345" s="97"/>
      <c r="J345" s="97"/>
    </row>
    <row r="346" spans="1:10">
      <c r="A346" s="549">
        <f>A345+1</f>
        <v>208</v>
      </c>
      <c r="C346" s="402" t="s">
        <v>223</v>
      </c>
      <c r="D346" s="97"/>
      <c r="E346" s="412"/>
      <c r="F346" s="1078">
        <v>0</v>
      </c>
      <c r="G346" s="1079" t="s">
        <v>76</v>
      </c>
      <c r="H346" s="97"/>
      <c r="I346" s="97"/>
      <c r="J346" s="97"/>
    </row>
    <row r="347" spans="1:10">
      <c r="A347" s="549">
        <f>A346+1</f>
        <v>209</v>
      </c>
      <c r="C347" s="402" t="s">
        <v>1114</v>
      </c>
      <c r="D347" s="97"/>
      <c r="E347" s="411"/>
      <c r="F347" s="1077" t="s">
        <v>222</v>
      </c>
      <c r="G347" s="557" t="s">
        <v>2239</v>
      </c>
      <c r="H347" s="97"/>
      <c r="I347" s="97"/>
      <c r="J347" s="97"/>
    </row>
    <row r="348" spans="1:10">
      <c r="C348" s="97"/>
      <c r="D348" s="97"/>
      <c r="E348" s="97"/>
      <c r="F348" s="403"/>
      <c r="G348" s="97"/>
      <c r="H348" s="97"/>
      <c r="I348" s="97"/>
      <c r="J348" s="97"/>
    </row>
    <row r="349" spans="1:10">
      <c r="C349" s="410" t="s">
        <v>1122</v>
      </c>
      <c r="D349" s="97"/>
      <c r="E349" s="513"/>
      <c r="F349" s="556"/>
      <c r="G349" s="191" t="s">
        <v>1117</v>
      </c>
      <c r="H349" s="97"/>
      <c r="I349" s="97"/>
      <c r="J349" s="97"/>
    </row>
    <row r="350" spans="1:10">
      <c r="A350" s="549">
        <f>A347+1</f>
        <v>210</v>
      </c>
      <c r="C350" s="555" t="s">
        <v>221</v>
      </c>
      <c r="D350" s="97"/>
      <c r="E350" s="411"/>
      <c r="F350" s="1080" t="s">
        <v>222</v>
      </c>
      <c r="G350" s="557" t="s">
        <v>2239</v>
      </c>
      <c r="H350" s="97"/>
      <c r="I350" s="97"/>
      <c r="J350" s="97"/>
    </row>
    <row r="351" spans="1:10">
      <c r="A351" s="549">
        <f>A350+1</f>
        <v>211</v>
      </c>
      <c r="C351" s="402" t="s">
        <v>223</v>
      </c>
      <c r="D351" s="97"/>
      <c r="E351" s="412"/>
      <c r="F351" s="1081">
        <v>0</v>
      </c>
      <c r="G351" s="1079" t="s">
        <v>76</v>
      </c>
      <c r="H351" s="97"/>
      <c r="I351" s="97"/>
      <c r="J351" s="97"/>
    </row>
    <row r="352" spans="1:10">
      <c r="A352" s="549">
        <f>A351+1</f>
        <v>212</v>
      </c>
      <c r="C352" s="402" t="s">
        <v>1114</v>
      </c>
      <c r="D352" s="97"/>
      <c r="E352" s="411"/>
      <c r="F352" s="1080" t="s">
        <v>222</v>
      </c>
      <c r="G352" s="557" t="s">
        <v>2239</v>
      </c>
      <c r="H352" s="97"/>
      <c r="I352" s="97"/>
      <c r="J352" s="97"/>
    </row>
    <row r="353" spans="1:10">
      <c r="C353" s="97"/>
      <c r="D353" s="97"/>
      <c r="E353" s="97"/>
      <c r="F353" s="403"/>
      <c r="G353" s="97"/>
      <c r="H353" s="97"/>
      <c r="I353" s="97"/>
      <c r="J353" s="97"/>
    </row>
    <row r="354" spans="1:10">
      <c r="C354" s="410" t="s">
        <v>2436</v>
      </c>
      <c r="D354" s="97"/>
      <c r="E354" s="513"/>
      <c r="F354" s="556"/>
      <c r="G354" s="191" t="s">
        <v>1117</v>
      </c>
      <c r="H354" s="97"/>
      <c r="I354" s="97"/>
      <c r="J354" s="97"/>
    </row>
    <row r="355" spans="1:10">
      <c r="A355" s="549">
        <f>A352+1</f>
        <v>213</v>
      </c>
      <c r="C355" s="555" t="s">
        <v>221</v>
      </c>
      <c r="D355" s="97"/>
      <c r="E355" s="411"/>
      <c r="F355" s="568" t="s">
        <v>1396</v>
      </c>
      <c r="G355" s="557"/>
      <c r="H355" s="97"/>
      <c r="I355" s="97"/>
      <c r="J355" s="97"/>
    </row>
    <row r="356" spans="1:10">
      <c r="A356" s="549">
        <f>A355+1</f>
        <v>214</v>
      </c>
      <c r="C356" s="402" t="s">
        <v>223</v>
      </c>
      <c r="D356" s="97"/>
      <c r="E356" s="412"/>
      <c r="F356" s="1229" t="s">
        <v>2438</v>
      </c>
      <c r="G356" s="1079"/>
      <c r="H356" s="97"/>
      <c r="I356" s="97"/>
      <c r="J356" s="97"/>
    </row>
    <row r="357" spans="1:10">
      <c r="A357" s="549">
        <f>A356+1</f>
        <v>215</v>
      </c>
      <c r="C357" s="402" t="s">
        <v>1114</v>
      </c>
      <c r="D357" s="97"/>
      <c r="E357" s="411"/>
      <c r="F357" s="568" t="s">
        <v>1396</v>
      </c>
      <c r="G357" s="557"/>
      <c r="H357" s="97"/>
      <c r="I357" s="97"/>
      <c r="J357" s="97"/>
    </row>
    <row r="358" spans="1:10">
      <c r="C358" s="97"/>
      <c r="D358" s="97"/>
      <c r="E358" s="97"/>
      <c r="F358" s="403"/>
      <c r="G358" s="97"/>
      <c r="H358" s="97"/>
      <c r="I358" s="97"/>
      <c r="J358" s="97"/>
    </row>
    <row r="359" spans="1:10">
      <c r="C359" s="410" t="s">
        <v>2437</v>
      </c>
      <c r="D359" s="97"/>
      <c r="E359" s="513"/>
      <c r="F359" s="556"/>
      <c r="G359" s="191" t="s">
        <v>1117</v>
      </c>
      <c r="H359" s="97"/>
      <c r="I359" s="97"/>
      <c r="J359" s="97"/>
    </row>
    <row r="360" spans="1:10">
      <c r="A360" s="549">
        <f>A357+1</f>
        <v>216</v>
      </c>
      <c r="C360" s="555" t="s">
        <v>221</v>
      </c>
      <c r="D360" s="97"/>
      <c r="E360" s="411"/>
      <c r="F360" s="568" t="s">
        <v>1396</v>
      </c>
      <c r="G360" s="557"/>
      <c r="H360" s="97"/>
      <c r="I360" s="97"/>
      <c r="J360" s="97"/>
    </row>
    <row r="361" spans="1:10">
      <c r="A361" s="549">
        <f>A360+1</f>
        <v>217</v>
      </c>
      <c r="C361" s="402" t="s">
        <v>223</v>
      </c>
      <c r="D361" s="97"/>
      <c r="E361" s="412"/>
      <c r="F361" s="1229" t="s">
        <v>2438</v>
      </c>
      <c r="G361" s="1079"/>
      <c r="H361" s="97"/>
      <c r="I361" s="97"/>
      <c r="J361" s="97"/>
    </row>
    <row r="362" spans="1:10">
      <c r="A362" s="549">
        <f>A361+1</f>
        <v>218</v>
      </c>
      <c r="C362" s="402" t="s">
        <v>1114</v>
      </c>
      <c r="D362" s="97"/>
      <c r="E362" s="411"/>
      <c r="F362" s="568" t="s">
        <v>1396</v>
      </c>
      <c r="G362" s="557"/>
      <c r="H362" s="97"/>
      <c r="I362" s="97"/>
      <c r="J362" s="97"/>
    </row>
    <row r="363" spans="1:10">
      <c r="C363" s="97"/>
      <c r="D363" s="97"/>
      <c r="E363" s="97"/>
      <c r="F363" s="97"/>
      <c r="G363" s="97"/>
      <c r="H363" s="97"/>
      <c r="I363" s="97"/>
      <c r="J363" s="97"/>
    </row>
    <row r="364" spans="1:10">
      <c r="C364" s="406" t="s">
        <v>1123</v>
      </c>
      <c r="D364" s="97"/>
      <c r="E364" s="97"/>
      <c r="F364" s="97"/>
      <c r="G364" s="191" t="s">
        <v>1117</v>
      </c>
      <c r="H364" s="97"/>
      <c r="I364" s="97"/>
      <c r="J364" s="97"/>
    </row>
    <row r="365" spans="1:10">
      <c r="A365" s="549">
        <f>A362+1</f>
        <v>219</v>
      </c>
      <c r="C365" s="555" t="s">
        <v>221</v>
      </c>
      <c r="D365" s="97"/>
      <c r="E365" s="97"/>
      <c r="F365" s="97"/>
      <c r="G365" s="97"/>
      <c r="H365" s="97"/>
      <c r="I365" s="97"/>
      <c r="J365" s="97"/>
    </row>
    <row r="366" spans="1:10">
      <c r="A366" s="549">
        <f>A365+1</f>
        <v>220</v>
      </c>
      <c r="C366" s="402" t="s">
        <v>223</v>
      </c>
      <c r="D366" s="97"/>
      <c r="E366" s="97"/>
      <c r="F366" s="97"/>
      <c r="G366" s="97"/>
      <c r="H366" s="97"/>
      <c r="I366" s="97"/>
      <c r="J366" s="97"/>
    </row>
    <row r="367" spans="1:10">
      <c r="A367" s="549">
        <f>A366+1</f>
        <v>221</v>
      </c>
      <c r="C367" s="402" t="s">
        <v>1114</v>
      </c>
      <c r="D367" s="97"/>
      <c r="E367" s="97"/>
      <c r="F367" s="97"/>
      <c r="G367" s="97"/>
      <c r="H367" s="97"/>
      <c r="I367" s="97"/>
      <c r="J367" s="97"/>
    </row>
    <row r="368" spans="1:10">
      <c r="C368" s="407" t="s">
        <v>513</v>
      </c>
    </row>
    <row r="370" spans="2:3">
      <c r="B370" s="408" t="s">
        <v>382</v>
      </c>
    </row>
    <row r="371" spans="2:3">
      <c r="C371" s="503" t="s">
        <v>1211</v>
      </c>
    </row>
    <row r="372" spans="2:3">
      <c r="C372" t="s">
        <v>1124</v>
      </c>
    </row>
  </sheetData>
  <phoneticPr fontId="23" type="noConversion"/>
  <pageMargins left="0.75" right="0.75" top="1" bottom="1" header="0.5" footer="0.5"/>
  <pageSetup scale="70" orientation="portrait" cellComments="asDisplayed" r:id="rId1"/>
  <headerFooter alignWithMargins="0">
    <oddHeader>&amp;CSchedule 14
Incentive Plant
&amp;RExhibit SCE-4
TO2018 Formula Rate Spreadsheet</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150</v>
      </c>
      <c r="B1" s="1"/>
    </row>
    <row r="2" spans="1:9">
      <c r="A2" s="1"/>
      <c r="B2" s="1"/>
      <c r="G2" s="95" t="s">
        <v>248</v>
      </c>
      <c r="H2" s="95"/>
    </row>
    <row r="3" spans="1:9">
      <c r="A3" s="1"/>
      <c r="B3" s="12" t="s">
        <v>990</v>
      </c>
    </row>
    <row r="4" spans="1:9">
      <c r="A4" s="1"/>
      <c r="B4" s="13" t="s">
        <v>991</v>
      </c>
    </row>
    <row r="5" spans="1:9">
      <c r="A5" s="1"/>
      <c r="B5" s="507" t="s">
        <v>1516</v>
      </c>
    </row>
    <row r="7" spans="1:9" ht="13.5" customHeight="1">
      <c r="B7" s="1" t="s">
        <v>274</v>
      </c>
    </row>
    <row r="8" spans="1:9">
      <c r="A8" s="1"/>
      <c r="B8" s="1"/>
    </row>
    <row r="9" spans="1:9">
      <c r="A9" s="1"/>
      <c r="B9" s="1"/>
      <c r="C9" s="12" t="s">
        <v>298</v>
      </c>
    </row>
    <row r="10" spans="1:9">
      <c r="A10" s="1"/>
      <c r="B10" s="1"/>
      <c r="C10" s="12" t="s">
        <v>1136</v>
      </c>
    </row>
    <row r="11" spans="1:9">
      <c r="A11" s="1"/>
      <c r="B11" s="1"/>
      <c r="C11" s="12"/>
    </row>
    <row r="12" spans="1:9">
      <c r="A12" s="1"/>
      <c r="B12" s="1"/>
      <c r="C12" s="503" t="s">
        <v>1487</v>
      </c>
    </row>
    <row r="13" spans="1:9">
      <c r="A13" s="1"/>
      <c r="B13" s="1"/>
    </row>
    <row r="14" spans="1:9">
      <c r="A14" s="51" t="s">
        <v>332</v>
      </c>
      <c r="B14" s="1"/>
      <c r="C14" s="12" t="s">
        <v>368</v>
      </c>
      <c r="G14" s="119" t="s">
        <v>171</v>
      </c>
      <c r="I14" s="3" t="s">
        <v>179</v>
      </c>
    </row>
    <row r="15" spans="1:9">
      <c r="A15" s="111">
        <v>1</v>
      </c>
      <c r="B15" s="44"/>
      <c r="C15" s="46" t="s">
        <v>369</v>
      </c>
      <c r="D15" s="14"/>
      <c r="E15" s="14"/>
      <c r="F15" s="14"/>
      <c r="G15" s="67">
        <f>'1-BaseTRR'!K80</f>
        <v>0.50593112644971272</v>
      </c>
      <c r="H15" s="14"/>
      <c r="I15" s="15" t="str">
        <f>"1-BaseTRR, L "&amp;'1-BaseTRR'!A80&amp;""</f>
        <v>1-BaseTRR, L 47</v>
      </c>
    </row>
    <row r="16" spans="1:9">
      <c r="A16" s="111">
        <v>2</v>
      </c>
      <c r="B16" s="44"/>
      <c r="C16" s="46" t="s">
        <v>218</v>
      </c>
      <c r="D16" s="14"/>
      <c r="E16" s="14"/>
      <c r="F16" s="14"/>
      <c r="G16" s="67">
        <f>'1-BaseTRR'!K102</f>
        <v>0.40745999999999999</v>
      </c>
      <c r="H16" s="14"/>
      <c r="I16" s="15" t="str">
        <f>"1-BaseTRR, L "&amp;'1-BaseTRR'!A102&amp;""</f>
        <v>1-BaseTRR, L 59</v>
      </c>
    </row>
    <row r="17" spans="1:9">
      <c r="A17" s="111">
        <v>3</v>
      </c>
      <c r="B17" s="44"/>
      <c r="C17" s="14"/>
      <c r="D17" s="14"/>
      <c r="E17" s="14"/>
      <c r="F17" s="368" t="s">
        <v>498</v>
      </c>
      <c r="G17" s="63">
        <f>G15*(1/(1-G16))* 10000</f>
        <v>8538.3455370053107</v>
      </c>
      <c r="H17" s="14"/>
      <c r="I17" s="15" t="s">
        <v>370</v>
      </c>
    </row>
    <row r="18" spans="1:9">
      <c r="A18" s="14"/>
      <c r="B18" s="14"/>
      <c r="C18" s="14"/>
      <c r="D18" s="14"/>
      <c r="E18" s="14"/>
      <c r="F18" s="14"/>
      <c r="G18" s="14"/>
      <c r="H18" s="14"/>
      <c r="I18" s="14"/>
    </row>
    <row r="19" spans="1:9">
      <c r="A19" s="14"/>
      <c r="B19" s="44" t="s">
        <v>275</v>
      </c>
      <c r="C19" s="14"/>
      <c r="D19" s="14"/>
      <c r="E19" s="14"/>
      <c r="F19" s="14"/>
      <c r="G19" s="14"/>
      <c r="H19" s="14"/>
      <c r="I19" s="14"/>
    </row>
    <row r="20" spans="1:9">
      <c r="A20" s="44"/>
      <c r="B20" s="44"/>
      <c r="C20" s="15" t="s">
        <v>303</v>
      </c>
      <c r="D20" s="14"/>
      <c r="E20" s="14"/>
      <c r="F20" s="14"/>
      <c r="G20" s="14"/>
      <c r="H20" s="14"/>
      <c r="I20" s="14"/>
    </row>
    <row r="21" spans="1:9">
      <c r="A21" s="44"/>
      <c r="B21" s="44"/>
      <c r="C21" s="15" t="s">
        <v>499</v>
      </c>
      <c r="D21" s="14"/>
      <c r="E21" s="14"/>
      <c r="F21" s="14"/>
      <c r="G21" s="14"/>
      <c r="H21" s="14"/>
      <c r="I21" s="14"/>
    </row>
    <row r="22" spans="1:9">
      <c r="A22" s="44"/>
      <c r="B22" s="44"/>
      <c r="C22" s="14"/>
      <c r="D22" s="14"/>
      <c r="E22" s="14"/>
      <c r="F22" s="14"/>
      <c r="G22" s="14"/>
      <c r="H22" s="14"/>
      <c r="I22" s="14"/>
    </row>
    <row r="23" spans="1:9">
      <c r="A23" s="44"/>
      <c r="B23" s="44"/>
      <c r="C23" s="14"/>
      <c r="D23" s="14"/>
      <c r="E23" s="14"/>
      <c r="F23" s="111" t="s">
        <v>277</v>
      </c>
      <c r="G23" s="14"/>
      <c r="H23" s="14"/>
      <c r="I23" s="14"/>
    </row>
    <row r="24" spans="1:9">
      <c r="A24" s="960" t="s">
        <v>332</v>
      </c>
      <c r="B24" s="960"/>
      <c r="C24" s="14"/>
      <c r="D24" s="14"/>
      <c r="E24" s="125" t="s">
        <v>9</v>
      </c>
      <c r="F24" s="125" t="s">
        <v>35</v>
      </c>
      <c r="G24" s="125" t="s">
        <v>179</v>
      </c>
      <c r="H24" s="14"/>
      <c r="I24" s="14"/>
    </row>
    <row r="25" spans="1:9">
      <c r="A25" s="111">
        <f>A17+1</f>
        <v>4</v>
      </c>
      <c r="B25" s="111"/>
      <c r="C25" s="14" t="s">
        <v>227</v>
      </c>
      <c r="D25" s="14"/>
      <c r="E25" s="78">
        <f>'14-IncentivePlant'!F308</f>
        <v>7.4999999999999997E-3</v>
      </c>
      <c r="F25" s="1004">
        <f>E25/0.01</f>
        <v>0.75</v>
      </c>
      <c r="G25" s="46" t="str">
        <f>"14-IncentivePlant, L "&amp;'14-IncentivePlant'!A308&amp;""</f>
        <v>14-IncentivePlant, L 184</v>
      </c>
      <c r="H25" s="14"/>
      <c r="I25" s="14"/>
    </row>
    <row r="26" spans="1:9">
      <c r="A26" s="111">
        <f>A25+1</f>
        <v>5</v>
      </c>
      <c r="B26" s="111"/>
      <c r="C26" s="14" t="s">
        <v>228</v>
      </c>
      <c r="D26" s="14"/>
      <c r="E26" s="78">
        <f>'14-IncentivePlant'!F313</f>
        <v>1.2500000000000001E-2</v>
      </c>
      <c r="F26" s="1004">
        <f>E26/0.01</f>
        <v>1.25</v>
      </c>
      <c r="G26" s="46" t="str">
        <f>"14-IncentivePlant, L "&amp;'14-IncentivePlant'!A313&amp;""</f>
        <v>14-IncentivePlant, L 187</v>
      </c>
      <c r="H26" s="14"/>
      <c r="I26" s="14"/>
    </row>
    <row r="27" spans="1:9">
      <c r="A27" s="111">
        <f>A26+1</f>
        <v>6</v>
      </c>
      <c r="B27" s="111"/>
      <c r="C27" s="505" t="s">
        <v>2215</v>
      </c>
      <c r="D27" s="14"/>
      <c r="E27" s="78">
        <f>'14-IncentivePlant'!F318</f>
        <v>0.01</v>
      </c>
      <c r="F27" s="1004">
        <f>E27/0.01</f>
        <v>1</v>
      </c>
      <c r="G27" s="46" t="str">
        <f>"14-IncentivePlant, L "&amp;'14-IncentivePlant'!A318&amp;""</f>
        <v>14-IncentivePlant, L 190</v>
      </c>
      <c r="H27" s="14"/>
      <c r="I27" s="14"/>
    </row>
    <row r="28" spans="1:9">
      <c r="A28" s="2">
        <f>A27+1</f>
        <v>7</v>
      </c>
      <c r="B28" s="2"/>
      <c r="C28" s="116"/>
      <c r="D28" s="97"/>
      <c r="E28" s="42"/>
      <c r="F28" s="98"/>
    </row>
    <row r="29" spans="1:9">
      <c r="A29" s="2">
        <f>A28+1</f>
        <v>8</v>
      </c>
      <c r="B29" s="2"/>
      <c r="C29" s="189" t="s">
        <v>513</v>
      </c>
      <c r="E29" s="42"/>
      <c r="F29" s="98"/>
    </row>
    <row r="31" spans="1:9">
      <c r="B31" s="1" t="s">
        <v>276</v>
      </c>
    </row>
    <row r="32" spans="1:9">
      <c r="A32" s="1"/>
      <c r="B32" s="1"/>
      <c r="C32" s="12" t="s">
        <v>1445</v>
      </c>
    </row>
    <row r="33" spans="1:9">
      <c r="A33" s="1"/>
      <c r="B33" s="1"/>
      <c r="C33" s="12" t="s">
        <v>500</v>
      </c>
    </row>
    <row r="34" spans="1:9">
      <c r="A34" s="1"/>
      <c r="B34" s="1"/>
      <c r="C34" s="12" t="s">
        <v>501</v>
      </c>
    </row>
    <row r="35" spans="1:9">
      <c r="E35" s="2"/>
      <c r="G35" s="2"/>
    </row>
    <row r="36" spans="1:9">
      <c r="E36" s="2" t="s">
        <v>63</v>
      </c>
      <c r="G36" s="2" t="s">
        <v>63</v>
      </c>
    </row>
    <row r="37" spans="1:9">
      <c r="E37" s="2" t="s">
        <v>8</v>
      </c>
      <c r="F37" s="2" t="s">
        <v>277</v>
      </c>
      <c r="G37" s="2" t="s">
        <v>8</v>
      </c>
    </row>
    <row r="38" spans="1:9">
      <c r="A38" s="51" t="s">
        <v>332</v>
      </c>
      <c r="B38" s="51"/>
      <c r="E38" s="3" t="s">
        <v>173</v>
      </c>
      <c r="F38" s="3" t="s">
        <v>35</v>
      </c>
      <c r="G38" s="3" t="s">
        <v>278</v>
      </c>
      <c r="H38" s="3" t="s">
        <v>179</v>
      </c>
    </row>
    <row r="39" spans="1:9">
      <c r="A39" s="2">
        <f>A29+1</f>
        <v>9</v>
      </c>
      <c r="B39" s="2"/>
      <c r="C39" t="s">
        <v>227</v>
      </c>
      <c r="E39" s="7">
        <f>'14-IncentivePlant'!E46</f>
        <v>154978996.30951726</v>
      </c>
      <c r="F39" s="98">
        <f>F25</f>
        <v>0.75</v>
      </c>
      <c r="G39" s="7">
        <f>(E39/1000000)*(F39*$G$17)</f>
        <v>992448.1661016969</v>
      </c>
      <c r="H39" s="46" t="str">
        <f>"14-IncentivePlant, L "&amp;'14-IncentivePlant'!A46&amp;", Col. 1"</f>
        <v>14-IncentivePlant, L 13, Col. 1</v>
      </c>
    </row>
    <row r="40" spans="1:9">
      <c r="A40" s="2">
        <f>A39+1</f>
        <v>10</v>
      </c>
      <c r="B40" s="2"/>
      <c r="C40" t="s">
        <v>228</v>
      </c>
      <c r="E40" s="7">
        <f>'14-IncentivePlant'!E47</f>
        <v>2776011901.3202019</v>
      </c>
      <c r="F40" s="98">
        <f>F26</f>
        <v>1.25</v>
      </c>
      <c r="G40" s="7">
        <f>(E40/1000000)*(F40*$G$17)</f>
        <v>29628186.035388719</v>
      </c>
      <c r="H40" s="46" t="str">
        <f>"14-IncentivePlant, L "&amp;'14-IncentivePlant'!A47&amp;", Col. 1"</f>
        <v>14-IncentivePlant, L 14, Col. 1</v>
      </c>
    </row>
    <row r="41" spans="1:9">
      <c r="A41" s="2">
        <f>A40+1</f>
        <v>11</v>
      </c>
      <c r="B41" s="2"/>
      <c r="C41" s="503" t="s">
        <v>2215</v>
      </c>
      <c r="E41" s="7">
        <f>'14-IncentivePlant'!E48</f>
        <v>707569233.3452605</v>
      </c>
      <c r="F41" s="98">
        <f>F27</f>
        <v>1</v>
      </c>
      <c r="G41" s="7">
        <f>(E41/1000000)*(F41*$G$17)</f>
        <v>6041470.6056557745</v>
      </c>
      <c r="H41" s="46" t="str">
        <f>"14-IncentivePlant, L "&amp;'14-IncentivePlant'!A48&amp;", Col. 1"</f>
        <v>14-IncentivePlant, L 15, Col. 1</v>
      </c>
    </row>
    <row r="42" spans="1:9">
      <c r="A42" s="2">
        <f>A41+1</f>
        <v>12</v>
      </c>
      <c r="B42" s="2"/>
      <c r="C42" s="116"/>
      <c r="D42" s="97"/>
      <c r="H42" s="14"/>
    </row>
    <row r="43" spans="1:9">
      <c r="A43" s="2">
        <f>A42+1</f>
        <v>13</v>
      </c>
      <c r="B43" s="2"/>
      <c r="C43" s="189" t="s">
        <v>513</v>
      </c>
      <c r="H43" s="14"/>
    </row>
    <row r="44" spans="1:9">
      <c r="A44" s="2">
        <f>A43+1</f>
        <v>14</v>
      </c>
      <c r="F44" s="37" t="s">
        <v>78</v>
      </c>
      <c r="G44" s="7">
        <f>SUM(G39:G42)</f>
        <v>36662104.807146192</v>
      </c>
      <c r="H44" s="502" t="s">
        <v>1683</v>
      </c>
    </row>
    <row r="45" spans="1:9">
      <c r="H45" s="502" t="s">
        <v>1684</v>
      </c>
      <c r="I45" s="7"/>
    </row>
    <row r="46" spans="1:9">
      <c r="B46" s="1" t="s">
        <v>1473</v>
      </c>
      <c r="H46" s="14"/>
    </row>
    <row r="47" spans="1:9">
      <c r="A47" s="1"/>
      <c r="B47" s="1"/>
      <c r="C47" s="503" t="s">
        <v>1474</v>
      </c>
      <c r="H47" s="14"/>
    </row>
    <row r="48" spans="1:9">
      <c r="A48" s="1"/>
      <c r="B48" s="1"/>
      <c r="C48" s="503" t="s">
        <v>1517</v>
      </c>
      <c r="H48" s="14"/>
    </row>
    <row r="49" spans="1:9">
      <c r="A49" s="1"/>
      <c r="B49" s="1"/>
      <c r="C49" s="503" t="s">
        <v>1682</v>
      </c>
      <c r="H49" s="14"/>
    </row>
    <row r="50" spans="1:9">
      <c r="H50" s="14"/>
    </row>
    <row r="51" spans="1:9">
      <c r="E51" s="2" t="s">
        <v>0</v>
      </c>
      <c r="G51" s="2" t="s">
        <v>0</v>
      </c>
      <c r="H51" s="14"/>
    </row>
    <row r="52" spans="1:9">
      <c r="E52" s="2" t="s">
        <v>8</v>
      </c>
      <c r="F52" s="2" t="s">
        <v>277</v>
      </c>
      <c r="G52" s="2" t="s">
        <v>8</v>
      </c>
      <c r="H52" s="14"/>
    </row>
    <row r="53" spans="1:9">
      <c r="A53" s="51" t="s">
        <v>332</v>
      </c>
      <c r="B53" s="51"/>
      <c r="E53" s="3" t="s">
        <v>1005</v>
      </c>
      <c r="F53" s="3" t="s">
        <v>35</v>
      </c>
      <c r="G53" s="3" t="s">
        <v>278</v>
      </c>
      <c r="H53" s="125" t="s">
        <v>179</v>
      </c>
    </row>
    <row r="54" spans="1:9">
      <c r="A54" s="2">
        <f>A44+1</f>
        <v>15</v>
      </c>
      <c r="B54" s="2"/>
      <c r="C54" t="s">
        <v>227</v>
      </c>
      <c r="E54" s="7">
        <f>'14-IncentivePlant'!E60</f>
        <v>157348617.58608577</v>
      </c>
      <c r="F54" s="98">
        <f>F25</f>
        <v>0.75</v>
      </c>
      <c r="G54" s="7">
        <f>(E54/1000000)*(F54*$G$17)</f>
        <v>1007622.650040083</v>
      </c>
      <c r="H54" s="46" t="str">
        <f>"14-IncentivePlant, L "&amp;'14-IncentivePlant'!A60&amp;", Col. 1"</f>
        <v>14-IncentivePlant, L 19, Col. 1</v>
      </c>
    </row>
    <row r="55" spans="1:9">
      <c r="A55" s="2">
        <f>A54+1</f>
        <v>16</v>
      </c>
      <c r="B55" s="2"/>
      <c r="C55" t="s">
        <v>228</v>
      </c>
      <c r="E55" s="7">
        <f>'14-IncentivePlant'!E61</f>
        <v>2759257909.1346302</v>
      </c>
      <c r="F55" s="98">
        <f>F26</f>
        <v>1.25</v>
      </c>
      <c r="G55" s="7">
        <f>(E55/1000000)*(F55*$G$17)</f>
        <v>29449371.817382846</v>
      </c>
      <c r="H55" s="46" t="str">
        <f>"14-IncentivePlant, L "&amp;'14-IncentivePlant'!A61&amp;", Col. 1"</f>
        <v>14-IncentivePlant, L 20, Col. 1</v>
      </c>
    </row>
    <row r="56" spans="1:9">
      <c r="A56" s="2">
        <f>A55+1</f>
        <v>17</v>
      </c>
      <c r="B56" s="2"/>
      <c r="C56" s="503" t="s">
        <v>2215</v>
      </c>
      <c r="E56" s="7">
        <f>'14-IncentivePlant'!E62</f>
        <v>717950117.86039782</v>
      </c>
      <c r="F56" s="98">
        <f>F27</f>
        <v>1</v>
      </c>
      <c r="G56" s="7">
        <f>(E56/1000000)*(F56*$G$17)</f>
        <v>6130106.1846257644</v>
      </c>
      <c r="H56" s="46" t="str">
        <f>"14-IncentivePlant, L "&amp;'14-IncentivePlant'!A62&amp;", Col. 1"</f>
        <v>14-IncentivePlant, L 21, Col. 1</v>
      </c>
    </row>
    <row r="57" spans="1:9">
      <c r="A57" s="2">
        <f>A56+1</f>
        <v>18</v>
      </c>
      <c r="B57" s="2"/>
      <c r="C57" s="116"/>
      <c r="D57" s="97"/>
    </row>
    <row r="58" spans="1:9">
      <c r="A58" s="2">
        <f>A57+1</f>
        <v>19</v>
      </c>
      <c r="B58" s="2"/>
      <c r="C58" s="189" t="s">
        <v>513</v>
      </c>
    </row>
    <row r="59" spans="1:9">
      <c r="A59" s="2">
        <f>A58+1</f>
        <v>20</v>
      </c>
      <c r="F59" s="501" t="s">
        <v>1475</v>
      </c>
      <c r="G59" s="7">
        <f>SUM(G54:G57)</f>
        <v>36587100.652048692</v>
      </c>
      <c r="H59" s="507" t="s">
        <v>1683</v>
      </c>
    </row>
    <row r="60" spans="1:9">
      <c r="H60" s="507" t="s">
        <v>1684</v>
      </c>
      <c r="I60" s="7"/>
    </row>
    <row r="61" spans="1:9">
      <c r="B61" s="1" t="s">
        <v>1532</v>
      </c>
    </row>
    <row r="63" spans="1:9">
      <c r="C63" s="1" t="s">
        <v>1533</v>
      </c>
    </row>
    <row r="65" spans="1:7">
      <c r="E65" s="530" t="s">
        <v>10</v>
      </c>
    </row>
    <row r="66" spans="1:7">
      <c r="C66" s="530" t="s">
        <v>8</v>
      </c>
      <c r="E66" s="530" t="s">
        <v>301</v>
      </c>
    </row>
    <row r="67" spans="1:7">
      <c r="A67" s="51" t="s">
        <v>332</v>
      </c>
      <c r="C67" s="3" t="s">
        <v>226</v>
      </c>
      <c r="E67" s="3" t="s">
        <v>3</v>
      </c>
      <c r="F67" s="3" t="s">
        <v>179</v>
      </c>
    </row>
    <row r="68" spans="1:7">
      <c r="A68" s="530">
        <f>A59+1</f>
        <v>21</v>
      </c>
      <c r="C68" t="s">
        <v>227</v>
      </c>
      <c r="E68" s="7">
        <f>'14-IncentivePlant'!G60</f>
        <v>157348617.58608577</v>
      </c>
      <c r="F68" s="502" t="str">
        <f>"14-IncentivePlant, L "&amp;'14-IncentivePlant'!A60&amp;", Col. 3"</f>
        <v>14-IncentivePlant, L 19, Col. 3</v>
      </c>
      <c r="G68" s="14"/>
    </row>
    <row r="69" spans="1:7">
      <c r="A69" s="530">
        <f t="shared" ref="A69:A71" si="0">A68+1</f>
        <v>22</v>
      </c>
      <c r="C69" t="s">
        <v>228</v>
      </c>
      <c r="E69" s="7">
        <f>'14-IncentivePlant'!G61</f>
        <v>2564374116.7423224</v>
      </c>
      <c r="F69" s="502" t="str">
        <f>"14-IncentivePlant, L "&amp;'14-IncentivePlant'!A61&amp;", Col. 3"</f>
        <v>14-IncentivePlant, L 20, Col. 3</v>
      </c>
      <c r="G69" s="14"/>
    </row>
    <row r="70" spans="1:7">
      <c r="A70" s="530">
        <f t="shared" si="0"/>
        <v>23</v>
      </c>
      <c r="C70" s="503" t="s">
        <v>2215</v>
      </c>
      <c r="E70" s="7">
        <f>'14-IncentivePlant'!G62</f>
        <v>717950117.86039782</v>
      </c>
      <c r="F70" s="502" t="str">
        <f>"14-IncentivePlant, L "&amp;'14-IncentivePlant'!A62&amp;", Col. 3"</f>
        <v>14-IncentivePlant, L 21, Col. 3</v>
      </c>
      <c r="G70" s="14"/>
    </row>
    <row r="71" spans="1:7">
      <c r="A71" s="530">
        <f t="shared" si="0"/>
        <v>24</v>
      </c>
      <c r="C71" s="116"/>
      <c r="F71" s="502"/>
      <c r="G71" s="14"/>
    </row>
    <row r="72" spans="1:7">
      <c r="C72" s="531" t="s">
        <v>513</v>
      </c>
      <c r="F72" s="14"/>
      <c r="G72" s="14"/>
    </row>
    <row r="73" spans="1:7">
      <c r="C73" s="531"/>
      <c r="F73" s="14"/>
      <c r="G73" s="14"/>
    </row>
    <row r="74" spans="1:7">
      <c r="C74" s="1" t="s">
        <v>1534</v>
      </c>
      <c r="F74" s="14"/>
      <c r="G74" s="14"/>
    </row>
    <row r="75" spans="1:7">
      <c r="C75" s="1"/>
      <c r="F75" s="14"/>
      <c r="G75" s="14"/>
    </row>
    <row r="76" spans="1:7">
      <c r="E76" s="3" t="s">
        <v>363</v>
      </c>
      <c r="F76" s="125" t="s">
        <v>347</v>
      </c>
      <c r="G76" s="14"/>
    </row>
    <row r="77" spans="1:7">
      <c r="E77" s="3"/>
      <c r="F77" s="111" t="s">
        <v>1535</v>
      </c>
      <c r="G77" s="14"/>
    </row>
    <row r="78" spans="1:7">
      <c r="E78" s="530" t="s">
        <v>281</v>
      </c>
      <c r="F78" s="111" t="s">
        <v>281</v>
      </c>
      <c r="G78" s="14"/>
    </row>
    <row r="79" spans="1:7">
      <c r="C79" s="530" t="s">
        <v>8</v>
      </c>
      <c r="E79" s="530" t="s">
        <v>8</v>
      </c>
      <c r="F79" s="111" t="s">
        <v>8</v>
      </c>
      <c r="G79" s="14"/>
    </row>
    <row r="80" spans="1:7">
      <c r="A80" s="51" t="s">
        <v>332</v>
      </c>
      <c r="C80" s="3" t="s">
        <v>226</v>
      </c>
      <c r="E80" s="3" t="s">
        <v>278</v>
      </c>
      <c r="F80" s="125" t="s">
        <v>278</v>
      </c>
      <c r="G80" s="125" t="s">
        <v>179</v>
      </c>
    </row>
    <row r="81" spans="1:7">
      <c r="A81" s="530">
        <f>A71+1</f>
        <v>25</v>
      </c>
      <c r="C81" t="s">
        <v>227</v>
      </c>
      <c r="E81" s="7">
        <f>(E68/1000000)*(F54*$G$17)</f>
        <v>1007622.650040083</v>
      </c>
      <c r="F81" s="63">
        <f>E81*(1-$G$16)</f>
        <v>597056.7250547508</v>
      </c>
      <c r="G81" s="502" t="s">
        <v>212</v>
      </c>
    </row>
    <row r="82" spans="1:7">
      <c r="A82" s="530">
        <f t="shared" ref="A82:A86" si="1">A81+1</f>
        <v>26</v>
      </c>
      <c r="C82" t="s">
        <v>228</v>
      </c>
      <c r="E82" s="7">
        <f>(E69/1000000)*(F55*$G$17)</f>
        <v>27369390.368623428</v>
      </c>
      <c r="F82" s="63">
        <f>E82*(1-$G$16)</f>
        <v>16217458.569024127</v>
      </c>
      <c r="G82" s="502" t="s">
        <v>212</v>
      </c>
    </row>
    <row r="83" spans="1:7">
      <c r="A83" s="530">
        <f t="shared" si="1"/>
        <v>27</v>
      </c>
      <c r="C83" s="503" t="s">
        <v>2215</v>
      </c>
      <c r="E83" s="7">
        <f>(E70/1000000)*(F56*$G$17)</f>
        <v>6130106.1846257644</v>
      </c>
      <c r="F83" s="63">
        <f>E83*(1-$G$16)</f>
        <v>3632333.1186381509</v>
      </c>
      <c r="G83" s="502" t="s">
        <v>212</v>
      </c>
    </row>
    <row r="84" spans="1:7">
      <c r="A84" s="530">
        <f t="shared" si="1"/>
        <v>28</v>
      </c>
      <c r="C84" s="116"/>
      <c r="E84" s="7"/>
      <c r="F84" s="63"/>
      <c r="G84" s="502" t="s">
        <v>212</v>
      </c>
    </row>
    <row r="85" spans="1:7">
      <c r="A85" s="530">
        <f t="shared" si="1"/>
        <v>29</v>
      </c>
      <c r="C85" s="531" t="s">
        <v>513</v>
      </c>
      <c r="E85" s="7"/>
      <c r="F85" s="63"/>
      <c r="G85" s="14"/>
    </row>
    <row r="86" spans="1:7">
      <c r="A86" s="530">
        <f t="shared" si="1"/>
        <v>30</v>
      </c>
      <c r="E86" s="501" t="s">
        <v>4</v>
      </c>
      <c r="F86" s="63">
        <f>SUM(F81:F85)</f>
        <v>20446848.412717029</v>
      </c>
      <c r="G86" s="14"/>
    </row>
    <row r="87" spans="1:7">
      <c r="F87" s="14"/>
      <c r="G87" s="14"/>
    </row>
    <row r="88" spans="1:7">
      <c r="C88" s="1" t="s">
        <v>1536</v>
      </c>
      <c r="F88" s="14"/>
      <c r="G88" s="14"/>
    </row>
    <row r="89" spans="1:7">
      <c r="A89" s="51" t="s">
        <v>332</v>
      </c>
      <c r="F89" s="125" t="s">
        <v>175</v>
      </c>
      <c r="G89" s="125" t="s">
        <v>179</v>
      </c>
    </row>
    <row r="90" spans="1:7">
      <c r="A90" s="530">
        <f>A86+1</f>
        <v>31</v>
      </c>
      <c r="E90" s="501" t="s">
        <v>1537</v>
      </c>
      <c r="F90" s="63">
        <f>'4-TUTRR'!J29</f>
        <v>5543506369.9034834</v>
      </c>
      <c r="G90" s="502" t="str">
        <f>"4-TUTRR, Line "&amp;'4-TUTRR'!A29&amp;""</f>
        <v>4-TUTRR, Line 18</v>
      </c>
    </row>
    <row r="91" spans="1:7">
      <c r="A91" s="530">
        <f t="shared" ref="A91:A94" si="2">A90+1</f>
        <v>32</v>
      </c>
      <c r="E91" s="501" t="s">
        <v>1538</v>
      </c>
      <c r="F91" s="112">
        <f>'4-TUTRR'!J24</f>
        <v>271933898.42538464</v>
      </c>
      <c r="G91" s="502" t="str">
        <f>"4-TUTRR, Line "&amp;'4-TUTRR'!A24&amp;""</f>
        <v>4-TUTRR, Line 14</v>
      </c>
    </row>
    <row r="92" spans="1:7">
      <c r="A92" s="530">
        <f t="shared" si="2"/>
        <v>33</v>
      </c>
      <c r="E92" s="501" t="s">
        <v>1539</v>
      </c>
      <c r="F92" s="63">
        <f>F90-F91</f>
        <v>5271572471.4780989</v>
      </c>
      <c r="G92" s="114" t="str">
        <f>"Line "&amp;A90&amp;" - Line "&amp;A91&amp;""</f>
        <v>Line 31 - Line 32</v>
      </c>
    </row>
    <row r="93" spans="1:7">
      <c r="A93" s="530">
        <f t="shared" si="2"/>
        <v>34</v>
      </c>
      <c r="E93" s="501" t="s">
        <v>1540</v>
      </c>
      <c r="F93" s="67">
        <f>'1-BaseTRR'!K80</f>
        <v>0.50593112644971272</v>
      </c>
      <c r="G93" s="502" t="str">
        <f>"1-BaseTRR, Line "&amp;'1-BaseTRR'!A80&amp;""</f>
        <v>1-BaseTRR, Line 47</v>
      </c>
    </row>
    <row r="94" spans="1:7">
      <c r="A94" s="530">
        <f t="shared" si="2"/>
        <v>35</v>
      </c>
      <c r="E94" s="501" t="s">
        <v>1541</v>
      </c>
      <c r="F94" s="7">
        <f>F92*F93</f>
        <v>2667052598.6562104</v>
      </c>
      <c r="G94" s="16" t="str">
        <f>"Line "&amp;A92&amp;" * Line "&amp;A93&amp;""</f>
        <v>Line 33 * Line 34</v>
      </c>
    </row>
    <row r="96" spans="1:7">
      <c r="C96" s="1" t="s">
        <v>1542</v>
      </c>
    </row>
    <row r="97" spans="1:8">
      <c r="A97" s="51" t="s">
        <v>332</v>
      </c>
    </row>
    <row r="98" spans="1:8">
      <c r="A98" s="530">
        <f>A94+1</f>
        <v>36</v>
      </c>
      <c r="E98" s="501" t="s">
        <v>1543</v>
      </c>
      <c r="F98" s="42">
        <f>F86/F94</f>
        <v>7.6664586304068909E-3</v>
      </c>
      <c r="G98" s="114" t="str">
        <f>"Line "&amp;A86&amp;" / Line "&amp;A94&amp;""</f>
        <v>Line 30 / Line 35</v>
      </c>
      <c r="H98" s="14"/>
    </row>
    <row r="99" spans="1:8">
      <c r="A99" s="530">
        <f t="shared" ref="A99:A101" si="3">A98+1</f>
        <v>37</v>
      </c>
      <c r="E99" s="501" t="s">
        <v>1544</v>
      </c>
      <c r="G99" s="14"/>
      <c r="H99" s="14"/>
    </row>
    <row r="100" spans="1:8">
      <c r="A100" s="530">
        <f t="shared" si="3"/>
        <v>38</v>
      </c>
      <c r="E100" s="501" t="s">
        <v>1545</v>
      </c>
      <c r="F100" s="532">
        <f>'1-BaseTRR'!K85</f>
        <v>0.108</v>
      </c>
      <c r="G100" s="502" t="str">
        <f>"1-BaseTRR, Line "&amp;'1-BaseTRR'!A85&amp;""</f>
        <v>1-BaseTRR, Line 50</v>
      </c>
      <c r="H100" s="14"/>
    </row>
    <row r="101" spans="1:8">
      <c r="A101" s="530">
        <f t="shared" si="3"/>
        <v>39</v>
      </c>
      <c r="E101" s="501" t="s">
        <v>1546</v>
      </c>
      <c r="F101" s="42">
        <f>F98+F100</f>
        <v>0.11566645863040689</v>
      </c>
      <c r="G101" s="114" t="str">
        <f>"Line "&amp;A98&amp;" + Line "&amp;A100&amp;""</f>
        <v>Line 36 + Line 38</v>
      </c>
      <c r="H101" s="14"/>
    </row>
    <row r="103" spans="1:8">
      <c r="B103" s="1" t="s">
        <v>382</v>
      </c>
    </row>
    <row r="104" spans="1:8">
      <c r="B104" s="503" t="s">
        <v>536</v>
      </c>
    </row>
    <row r="105" spans="1:8">
      <c r="B105" s="503" t="s">
        <v>537</v>
      </c>
    </row>
    <row r="107" spans="1:8">
      <c r="B107" s="1" t="s">
        <v>232</v>
      </c>
    </row>
    <row r="108" spans="1:8">
      <c r="B108" s="503" t="str">
        <f>"1) Column 1: The True Up Incentive Adder for each Incentive Project equals the IREF on Line "&amp;A17&amp;","</f>
        <v>1) Column 1: The True Up Incentive Adder for each Incentive Project equals the IREF on Line 3,</v>
      </c>
    </row>
    <row r="109" spans="1:8">
      <c r="B109" s="503" t="str">
        <f>"times the applicable Multiplicative Factor on Lines "&amp;A54&amp;" to "&amp;A57&amp;", times the million $ of"</f>
        <v>times the applicable Multiplicative Factor on Lines 15 to 18, times the million $ of</v>
      </c>
    </row>
    <row r="110" spans="1:8">
      <c r="B110" s="503" t="str">
        <f>"TIP Net Plant In Service on Lines "&amp;A68&amp;" to "&amp;A71&amp;"."</f>
        <v>TIP Net Plant In Service on Lines 21 to 24.</v>
      </c>
    </row>
    <row r="111" spans="1:8">
      <c r="B111" s="503" t="s">
        <v>1547</v>
      </c>
    </row>
    <row r="112" spans="1:8">
      <c r="B112" s="503"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&amp;RExhibit SCE-4
TO2018 Formula Rate Spreadsheet</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90" zoomScaleNormal="90" workbookViewId="0"/>
  </sheetViews>
  <sheetFormatPr defaultColWidth="9.140625" defaultRowHeight="12.75"/>
  <cols>
    <col min="1" max="1" width="4.7109375" style="671" customWidth="1"/>
    <col min="2" max="2" width="6" style="671" customWidth="1"/>
    <col min="3" max="3" width="15.7109375" style="671" customWidth="1"/>
    <col min="4" max="4" width="9.140625" style="671" customWidth="1"/>
    <col min="5" max="6" width="14.7109375" style="671" customWidth="1"/>
    <col min="7" max="7" width="16" style="671" bestFit="1" customWidth="1"/>
    <col min="8" max="8" width="18.28515625" style="671" customWidth="1"/>
    <col min="9" max="10" width="15.7109375" style="671" customWidth="1"/>
    <col min="11" max="11" width="16.85546875" style="671" customWidth="1"/>
    <col min="12" max="16" width="15.7109375" style="671" customWidth="1"/>
    <col min="17" max="17" width="2.85546875" style="671" customWidth="1"/>
    <col min="18" max="21" width="18.7109375" style="671" customWidth="1"/>
    <col min="22" max="22" width="15.7109375" style="671" customWidth="1"/>
    <col min="23" max="23" width="20.85546875" style="671" bestFit="1" customWidth="1"/>
    <col min="24" max="40" width="15.7109375" style="671" customWidth="1"/>
    <col min="41" max="16384" width="9.140625" style="671"/>
  </cols>
  <sheetData>
    <row r="1" spans="1:40">
      <c r="A1" s="632" t="s">
        <v>1446</v>
      </c>
    </row>
    <row r="2" spans="1:40">
      <c r="F2" s="672" t="s">
        <v>353</v>
      </c>
      <c r="G2" s="672"/>
    </row>
    <row r="3" spans="1:40">
      <c r="B3" s="633" t="s">
        <v>1447</v>
      </c>
    </row>
    <row r="4" spans="1:40">
      <c r="B4" s="633" t="s">
        <v>1984</v>
      </c>
    </row>
    <row r="5" spans="1:40">
      <c r="B5" s="633" t="s">
        <v>1985</v>
      </c>
    </row>
    <row r="6" spans="1:40">
      <c r="B6" s="633"/>
    </row>
    <row r="7" spans="1:40">
      <c r="B7" s="632" t="s">
        <v>1986</v>
      </c>
      <c r="H7" s="633"/>
      <c r="I7" s="633"/>
    </row>
    <row r="8" spans="1:40">
      <c r="B8" s="633"/>
      <c r="E8" s="673" t="s">
        <v>363</v>
      </c>
      <c r="F8" s="673" t="s">
        <v>347</v>
      </c>
      <c r="G8" s="673" t="s">
        <v>348</v>
      </c>
      <c r="H8" s="673" t="s">
        <v>349</v>
      </c>
      <c r="I8" s="673" t="s">
        <v>350</v>
      </c>
      <c r="J8" s="673" t="s">
        <v>351</v>
      </c>
      <c r="K8" s="673" t="s">
        <v>352</v>
      </c>
      <c r="L8" s="673" t="s">
        <v>544</v>
      </c>
      <c r="M8" s="673" t="s">
        <v>961</v>
      </c>
      <c r="N8" s="673" t="s">
        <v>974</v>
      </c>
      <c r="O8" s="673" t="s">
        <v>977</v>
      </c>
      <c r="P8" s="673" t="s">
        <v>995</v>
      </c>
      <c r="T8" s="673"/>
      <c r="U8" s="673"/>
      <c r="X8" s="674"/>
      <c r="Y8" s="674"/>
      <c r="Z8" s="674"/>
      <c r="AA8" s="674"/>
      <c r="AB8" s="674"/>
      <c r="AC8" s="674"/>
      <c r="AD8" s="674"/>
      <c r="AE8" s="674"/>
      <c r="AF8" s="674"/>
      <c r="AG8" s="674"/>
      <c r="AH8" s="674"/>
      <c r="AI8" s="674"/>
      <c r="AJ8" s="674"/>
      <c r="AK8" s="674"/>
      <c r="AL8" s="674"/>
      <c r="AM8" s="674"/>
      <c r="AN8" s="674"/>
    </row>
    <row r="9" spans="1:40">
      <c r="B9" s="633"/>
      <c r="E9" s="675" t="s">
        <v>211</v>
      </c>
      <c r="F9" s="675" t="s">
        <v>211</v>
      </c>
      <c r="G9" s="675" t="s">
        <v>211</v>
      </c>
      <c r="H9" s="675" t="s">
        <v>211</v>
      </c>
      <c r="I9" s="675" t="s">
        <v>211</v>
      </c>
      <c r="J9" s="675" t="s">
        <v>211</v>
      </c>
      <c r="K9" s="675" t="s">
        <v>211</v>
      </c>
      <c r="L9" s="675" t="s">
        <v>211</v>
      </c>
      <c r="M9" s="675" t="s">
        <v>211</v>
      </c>
      <c r="N9" s="675" t="s">
        <v>211</v>
      </c>
      <c r="O9" s="675" t="s">
        <v>211</v>
      </c>
      <c r="P9" s="675" t="s">
        <v>211</v>
      </c>
      <c r="Q9" s="677"/>
    </row>
    <row r="10" spans="1:40">
      <c r="C10" s="678" t="s">
        <v>198</v>
      </c>
      <c r="E10" s="678" t="s">
        <v>1951</v>
      </c>
      <c r="F10" s="678"/>
      <c r="G10" s="678"/>
      <c r="H10" s="679"/>
      <c r="I10" s="679" t="s">
        <v>1936</v>
      </c>
      <c r="J10" s="679"/>
      <c r="K10" s="679"/>
      <c r="L10" s="679"/>
      <c r="M10" s="679"/>
      <c r="O10" s="678" t="s">
        <v>1951</v>
      </c>
      <c r="P10" s="678" t="s">
        <v>1987</v>
      </c>
      <c r="T10" s="679"/>
      <c r="U10" s="679"/>
      <c r="X10" s="679"/>
      <c r="Y10" s="679"/>
      <c r="Z10" s="679"/>
      <c r="AA10" s="679"/>
      <c r="AB10" s="679"/>
      <c r="AC10" s="679"/>
      <c r="AD10" s="679"/>
      <c r="AE10" s="679"/>
      <c r="AF10" s="679"/>
      <c r="AG10" s="679"/>
      <c r="AH10" s="679"/>
      <c r="AI10" s="679"/>
      <c r="AJ10" s="679"/>
      <c r="AK10" s="679"/>
      <c r="AL10" s="679"/>
      <c r="AM10" s="679"/>
      <c r="AN10" s="679"/>
    </row>
    <row r="11" spans="1:40">
      <c r="B11" s="632"/>
      <c r="C11" s="678" t="s">
        <v>199</v>
      </c>
      <c r="E11" s="678" t="s">
        <v>196</v>
      </c>
      <c r="F11" s="678" t="s">
        <v>1953</v>
      </c>
      <c r="G11" s="679" t="s">
        <v>1954</v>
      </c>
      <c r="H11" s="679" t="s">
        <v>1937</v>
      </c>
      <c r="I11" s="679" t="s">
        <v>1988</v>
      </c>
      <c r="J11" s="679"/>
      <c r="K11" s="679" t="s">
        <v>299</v>
      </c>
      <c r="L11" s="679" t="s">
        <v>1093</v>
      </c>
      <c r="M11" s="679" t="s">
        <v>299</v>
      </c>
      <c r="O11" s="679" t="s">
        <v>1634</v>
      </c>
      <c r="P11" s="679" t="s">
        <v>1634</v>
      </c>
      <c r="T11" s="679"/>
      <c r="U11" s="679"/>
      <c r="X11" s="679"/>
      <c r="Y11" s="679"/>
      <c r="Z11" s="679"/>
      <c r="AA11" s="679"/>
      <c r="AB11" s="679"/>
      <c r="AC11" s="679"/>
      <c r="AD11" s="679"/>
      <c r="AE11" s="679"/>
      <c r="AF11" s="679"/>
      <c r="AG11" s="679"/>
      <c r="AH11" s="679"/>
      <c r="AI11" s="679"/>
      <c r="AJ11" s="679"/>
      <c r="AK11" s="679"/>
      <c r="AL11" s="679"/>
      <c r="AM11" s="679"/>
      <c r="AN11" s="679"/>
    </row>
    <row r="12" spans="1:40">
      <c r="A12" s="680" t="s">
        <v>332</v>
      </c>
      <c r="C12" s="661" t="s">
        <v>192</v>
      </c>
      <c r="D12" s="661" t="s">
        <v>193</v>
      </c>
      <c r="E12" s="674" t="s">
        <v>1957</v>
      </c>
      <c r="F12" s="674" t="s">
        <v>1958</v>
      </c>
      <c r="G12" s="681" t="s">
        <v>1959</v>
      </c>
      <c r="H12" s="681" t="s">
        <v>1027</v>
      </c>
      <c r="I12" s="681" t="s">
        <v>1013</v>
      </c>
      <c r="J12" s="681" t="s">
        <v>1936</v>
      </c>
      <c r="K12" s="681" t="s">
        <v>465</v>
      </c>
      <c r="L12" s="681" t="s">
        <v>1942</v>
      </c>
      <c r="M12" s="681" t="s">
        <v>1337</v>
      </c>
      <c r="N12" s="681" t="s">
        <v>1005</v>
      </c>
      <c r="O12" s="681" t="s">
        <v>1013</v>
      </c>
      <c r="P12" s="681" t="s">
        <v>1013</v>
      </c>
      <c r="T12" s="681"/>
      <c r="U12" s="681"/>
      <c r="V12" s="681"/>
      <c r="W12" s="681"/>
      <c r="X12" s="681"/>
      <c r="Y12" s="681"/>
      <c r="Z12" s="681"/>
      <c r="AA12" s="681"/>
      <c r="AB12" s="681"/>
      <c r="AC12" s="681"/>
      <c r="AD12" s="681"/>
      <c r="AE12" s="681"/>
      <c r="AF12" s="681"/>
      <c r="AG12" s="681"/>
      <c r="AH12" s="681"/>
      <c r="AI12" s="681"/>
      <c r="AJ12" s="681"/>
      <c r="AK12" s="681"/>
      <c r="AL12" s="681"/>
      <c r="AM12" s="681"/>
      <c r="AN12" s="681"/>
    </row>
    <row r="13" spans="1:40">
      <c r="A13" s="678">
        <v>1</v>
      </c>
      <c r="C13" s="671" t="str">
        <f>C45</f>
        <v>January</v>
      </c>
      <c r="D13" s="964">
        <v>2017</v>
      </c>
      <c r="E13" s="630">
        <f t="shared" ref="E13:P13" si="0">E45+E76</f>
        <v>15497612.658711422</v>
      </c>
      <c r="F13" s="630">
        <f t="shared" si="0"/>
        <v>1042927.2716666665</v>
      </c>
      <c r="G13" s="630">
        <f t="shared" si="0"/>
        <v>1084101.4040283565</v>
      </c>
      <c r="H13" s="630">
        <f t="shared" si="0"/>
        <v>1230413.179745849</v>
      </c>
      <c r="I13" s="630">
        <f t="shared" si="0"/>
        <v>14149751.567077264</v>
      </c>
      <c r="J13" s="630">
        <f t="shared" si="0"/>
        <v>424492.54701231793</v>
      </c>
      <c r="K13" s="630">
        <f t="shared" si="0"/>
        <v>15775793.430006249</v>
      </c>
      <c r="L13" s="630">
        <f t="shared" si="0"/>
        <v>0</v>
      </c>
      <c r="M13" s="630">
        <f>M45+M76</f>
        <v>-1230413.179745849</v>
      </c>
      <c r="N13" s="630">
        <f t="shared" si="0"/>
        <v>17006206.609752096</v>
      </c>
      <c r="O13" s="630">
        <f t="shared" si="0"/>
        <v>42317.916666666672</v>
      </c>
      <c r="P13" s="630">
        <f t="shared" si="0"/>
        <v>43020.39408333334</v>
      </c>
      <c r="T13" s="682"/>
      <c r="U13" s="682"/>
      <c r="V13" s="683"/>
      <c r="W13" s="682"/>
      <c r="X13" s="684"/>
      <c r="Y13" s="515"/>
      <c r="Z13" s="682"/>
      <c r="AA13" s="682"/>
      <c r="AB13" s="682"/>
      <c r="AC13" s="682"/>
      <c r="AD13" s="682"/>
      <c r="AE13" s="682"/>
      <c r="AF13" s="682"/>
      <c r="AG13" s="682"/>
      <c r="AH13" s="682"/>
      <c r="AI13" s="682"/>
      <c r="AJ13" s="682"/>
      <c r="AK13" s="682"/>
      <c r="AL13" s="682"/>
      <c r="AM13" s="682"/>
      <c r="AN13" s="682"/>
    </row>
    <row r="14" spans="1:40">
      <c r="A14" s="678">
        <f>A13+1</f>
        <v>2</v>
      </c>
      <c r="C14" s="671" t="str">
        <f t="shared" ref="C14:C29" si="1">C46</f>
        <v>February</v>
      </c>
      <c r="D14" s="964">
        <v>2017</v>
      </c>
      <c r="E14" s="630">
        <f t="shared" ref="E14:P14" si="2">E46+E77</f>
        <v>33122977.708711341</v>
      </c>
      <c r="F14" s="630">
        <f t="shared" si="2"/>
        <v>16379140.581666589</v>
      </c>
      <c r="G14" s="630">
        <f t="shared" si="2"/>
        <v>1255787.7845283565</v>
      </c>
      <c r="H14" s="630">
        <f t="shared" si="2"/>
        <v>1323866.2837458488</v>
      </c>
      <c r="I14" s="630">
        <f t="shared" si="2"/>
        <v>15224462.263077261</v>
      </c>
      <c r="J14" s="630">
        <f t="shared" si="2"/>
        <v>456733.86789231782</v>
      </c>
      <c r="K14" s="630">
        <f t="shared" si="2"/>
        <v>49287426.507392414</v>
      </c>
      <c r="L14" s="630">
        <f t="shared" si="2"/>
        <v>35941.751718128478</v>
      </c>
      <c r="M14" s="630">
        <f t="shared" si="2"/>
        <v>-2518337.7117735692</v>
      </c>
      <c r="N14" s="630">
        <f t="shared" si="2"/>
        <v>51805764.219165981</v>
      </c>
      <c r="O14" s="630">
        <f t="shared" si="2"/>
        <v>84635.833333333343</v>
      </c>
      <c r="P14" s="630">
        <f t="shared" si="2"/>
        <v>86040.78816666668</v>
      </c>
      <c r="T14" s="682"/>
      <c r="U14" s="682"/>
      <c r="V14" s="683"/>
      <c r="W14" s="682"/>
      <c r="X14" s="684"/>
      <c r="Y14" s="515"/>
      <c r="Z14" s="682"/>
      <c r="AA14" s="682"/>
      <c r="AB14" s="682"/>
      <c r="AC14" s="682"/>
      <c r="AD14" s="682"/>
      <c r="AE14" s="682"/>
      <c r="AF14" s="682"/>
      <c r="AG14" s="682"/>
      <c r="AH14" s="682"/>
      <c r="AI14" s="682"/>
      <c r="AJ14" s="682"/>
      <c r="AK14" s="682"/>
      <c r="AL14" s="682"/>
      <c r="AM14" s="682"/>
      <c r="AN14" s="682"/>
    </row>
    <row r="15" spans="1:40">
      <c r="A15" s="678">
        <f t="shared" ref="A15:A37" si="3">A14+1</f>
        <v>3</v>
      </c>
      <c r="C15" s="671" t="str">
        <f t="shared" si="1"/>
        <v>March</v>
      </c>
      <c r="D15" s="964">
        <v>2017</v>
      </c>
      <c r="E15" s="630">
        <f t="shared" ref="E15:P15" si="4">E47+E78</f>
        <v>15769978.258711427</v>
      </c>
      <c r="F15" s="630">
        <f t="shared" si="4"/>
        <v>134080.62166666664</v>
      </c>
      <c r="G15" s="630">
        <f t="shared" si="4"/>
        <v>1172692.3227783572</v>
      </c>
      <c r="H15" s="630">
        <f t="shared" si="4"/>
        <v>1230413.1797458495</v>
      </c>
      <c r="I15" s="630">
        <f t="shared" si="4"/>
        <v>14149751.567077268</v>
      </c>
      <c r="J15" s="630">
        <f t="shared" si="4"/>
        <v>424492.54701231804</v>
      </c>
      <c r="K15" s="630">
        <f t="shared" si="4"/>
        <v>65424176.456148669</v>
      </c>
      <c r="L15" s="630">
        <f t="shared" si="4"/>
        <v>112290.79882503893</v>
      </c>
      <c r="M15" s="630">
        <f t="shared" si="4"/>
        <v>-3636460.0926943799</v>
      </c>
      <c r="N15" s="630">
        <f t="shared" si="4"/>
        <v>69060636.548843056</v>
      </c>
      <c r="O15" s="630">
        <f t="shared" si="4"/>
        <v>126953.75000000001</v>
      </c>
      <c r="P15" s="630">
        <f t="shared" si="4"/>
        <v>129061.18225000001</v>
      </c>
      <c r="T15" s="682"/>
      <c r="U15" s="682"/>
      <c r="V15" s="683"/>
      <c r="W15" s="682"/>
      <c r="X15" s="684"/>
      <c r="Y15" s="515"/>
      <c r="Z15" s="682"/>
      <c r="AA15" s="682"/>
      <c r="AB15" s="682"/>
      <c r="AC15" s="682"/>
      <c r="AD15" s="682"/>
      <c r="AE15" s="682"/>
      <c r="AF15" s="682"/>
      <c r="AG15" s="682"/>
      <c r="AH15" s="682"/>
      <c r="AI15" s="682"/>
      <c r="AJ15" s="682"/>
      <c r="AK15" s="682"/>
      <c r="AL15" s="682"/>
      <c r="AM15" s="682"/>
      <c r="AN15" s="682"/>
    </row>
    <row r="16" spans="1:40">
      <c r="A16" s="678">
        <f t="shared" si="3"/>
        <v>4</v>
      </c>
      <c r="C16" s="671" t="str">
        <f t="shared" si="1"/>
        <v>April</v>
      </c>
      <c r="D16" s="964">
        <v>2017</v>
      </c>
      <c r="E16" s="630">
        <f t="shared" ref="E16:P16" si="5">E48+E79</f>
        <v>65874663.193872698</v>
      </c>
      <c r="F16" s="630">
        <f t="shared" si="5"/>
        <v>43619049.146827951</v>
      </c>
      <c r="G16" s="630">
        <f t="shared" si="5"/>
        <v>1669171.0535283557</v>
      </c>
      <c r="H16" s="630">
        <f t="shared" si="5"/>
        <v>1380341.8817458481</v>
      </c>
      <c r="I16" s="630">
        <f t="shared" si="5"/>
        <v>15873931.640077252</v>
      </c>
      <c r="J16" s="630">
        <f t="shared" si="5"/>
        <v>476217.94920231751</v>
      </c>
      <c r="K16" s="630">
        <f t="shared" si="5"/>
        <v>132063886.77100618</v>
      </c>
      <c r="L16" s="630">
        <f t="shared" si="5"/>
        <v>149054.91232392431</v>
      </c>
      <c r="M16" s="630">
        <f t="shared" si="5"/>
        <v>-4867747.0621163035</v>
      </c>
      <c r="N16" s="630">
        <f t="shared" si="5"/>
        <v>136931633.83312249</v>
      </c>
      <c r="O16" s="630">
        <f t="shared" si="5"/>
        <v>169271.66666666669</v>
      </c>
      <c r="P16" s="630">
        <f t="shared" si="5"/>
        <v>172081.57633333336</v>
      </c>
      <c r="T16" s="682"/>
      <c r="U16" s="682"/>
      <c r="V16" s="683"/>
      <c r="W16" s="682"/>
      <c r="X16" s="684"/>
      <c r="Y16" s="515"/>
      <c r="Z16" s="682"/>
      <c r="AA16" s="682"/>
      <c r="AB16" s="682"/>
      <c r="AC16" s="682"/>
      <c r="AD16" s="682"/>
      <c r="AE16" s="682"/>
      <c r="AF16" s="682"/>
      <c r="AG16" s="682"/>
      <c r="AH16" s="682"/>
      <c r="AI16" s="682"/>
      <c r="AJ16" s="682"/>
      <c r="AK16" s="682"/>
      <c r="AL16" s="682"/>
      <c r="AM16" s="682"/>
      <c r="AN16" s="682"/>
    </row>
    <row r="17" spans="1:40">
      <c r="A17" s="678">
        <f t="shared" si="3"/>
        <v>5</v>
      </c>
      <c r="C17" s="671" t="str">
        <f t="shared" si="1"/>
        <v>May</v>
      </c>
      <c r="D17" s="964">
        <v>2017</v>
      </c>
      <c r="E17" s="630">
        <f t="shared" ref="E17:P17" si="6">E49+E80</f>
        <v>15378119.758711427</v>
      </c>
      <c r="F17" s="630">
        <f t="shared" si="6"/>
        <v>134080.62166666664</v>
      </c>
      <c r="G17" s="630">
        <f t="shared" si="6"/>
        <v>1143302.935278357</v>
      </c>
      <c r="H17" s="630">
        <f t="shared" si="6"/>
        <v>1230413.1797458495</v>
      </c>
      <c r="I17" s="630">
        <f t="shared" si="6"/>
        <v>14149751.567077268</v>
      </c>
      <c r="J17" s="630">
        <f t="shared" si="6"/>
        <v>424492.54701231804</v>
      </c>
      <c r="K17" s="630">
        <f t="shared" si="6"/>
        <v>147779388.83226243</v>
      </c>
      <c r="L17" s="630">
        <f t="shared" si="6"/>
        <v>300879.15706517064</v>
      </c>
      <c r="M17" s="630">
        <f t="shared" si="6"/>
        <v>-5797281.0847969819</v>
      </c>
      <c r="N17" s="630">
        <f t="shared" si="6"/>
        <v>153576669.91705942</v>
      </c>
      <c r="O17" s="630">
        <f t="shared" si="6"/>
        <v>211589.58333333334</v>
      </c>
      <c r="P17" s="630">
        <f t="shared" si="6"/>
        <v>215101.97041666668</v>
      </c>
      <c r="T17" s="682"/>
      <c r="U17" s="682"/>
      <c r="V17" s="683"/>
      <c r="W17" s="682"/>
      <c r="X17" s="684"/>
      <c r="Y17" s="515"/>
      <c r="Z17" s="682"/>
      <c r="AA17" s="682"/>
      <c r="AB17" s="682"/>
      <c r="AC17" s="682"/>
      <c r="AD17" s="682"/>
      <c r="AE17" s="682"/>
      <c r="AF17" s="682"/>
      <c r="AG17" s="682"/>
      <c r="AH17" s="682"/>
      <c r="AI17" s="682"/>
      <c r="AJ17" s="682"/>
      <c r="AK17" s="682"/>
      <c r="AL17" s="682"/>
      <c r="AM17" s="682"/>
      <c r="AN17" s="682"/>
    </row>
    <row r="18" spans="1:40">
      <c r="A18" s="678">
        <f t="shared" si="3"/>
        <v>6</v>
      </c>
      <c r="C18" s="671" t="str">
        <f t="shared" si="1"/>
        <v xml:space="preserve">June </v>
      </c>
      <c r="D18" s="964">
        <v>2017</v>
      </c>
      <c r="E18" s="630">
        <f t="shared" ref="E18:P18" si="7">E50+E81</f>
        <v>55757840.498711437</v>
      </c>
      <c r="F18" s="630">
        <f t="shared" si="7"/>
        <v>30553074.081666693</v>
      </c>
      <c r="G18" s="630">
        <f t="shared" si="7"/>
        <v>1890357.4812783559</v>
      </c>
      <c r="H18" s="630">
        <f t="shared" si="7"/>
        <v>1435692.2557458484</v>
      </c>
      <c r="I18" s="630">
        <f t="shared" si="7"/>
        <v>16510460.941077257</v>
      </c>
      <c r="J18" s="630">
        <f t="shared" si="7"/>
        <v>495313.8282323177</v>
      </c>
      <c r="K18" s="630">
        <f t="shared" si="7"/>
        <v>204487208.38473871</v>
      </c>
      <c r="L18" s="630">
        <f t="shared" si="7"/>
        <v>336683.547869189</v>
      </c>
      <c r="M18" s="630">
        <f t="shared" si="7"/>
        <v>-6896289.7926736418</v>
      </c>
      <c r="N18" s="630">
        <f t="shared" si="7"/>
        <v>211383498.17741233</v>
      </c>
      <c r="O18" s="630">
        <f t="shared" si="7"/>
        <v>253907.5</v>
      </c>
      <c r="P18" s="630">
        <f t="shared" si="7"/>
        <v>258122.36450000003</v>
      </c>
      <c r="T18" s="682"/>
      <c r="U18" s="682"/>
      <c r="V18" s="683"/>
      <c r="W18" s="682"/>
      <c r="X18" s="684"/>
      <c r="Y18" s="515"/>
      <c r="Z18" s="682"/>
      <c r="AA18" s="682"/>
      <c r="AB18" s="682"/>
      <c r="AC18" s="682"/>
      <c r="AD18" s="682"/>
      <c r="AE18" s="682"/>
      <c r="AF18" s="682"/>
      <c r="AG18" s="682"/>
      <c r="AH18" s="682"/>
      <c r="AI18" s="682"/>
      <c r="AJ18" s="682"/>
      <c r="AK18" s="682"/>
      <c r="AL18" s="682"/>
      <c r="AM18" s="682"/>
      <c r="AN18" s="682"/>
    </row>
    <row r="19" spans="1:40">
      <c r="A19" s="678">
        <f t="shared" si="3"/>
        <v>7</v>
      </c>
      <c r="C19" s="671" t="str">
        <f t="shared" si="1"/>
        <v>July</v>
      </c>
      <c r="D19" s="964">
        <v>2017</v>
      </c>
      <c r="E19" s="630">
        <f t="shared" ref="E19:P19" si="8">E51+E82</f>
        <v>16596483.022044744</v>
      </c>
      <c r="F19" s="630">
        <f t="shared" si="8"/>
        <v>134080.62166666664</v>
      </c>
      <c r="G19" s="630">
        <f t="shared" si="8"/>
        <v>1234680.1800283559</v>
      </c>
      <c r="H19" s="630">
        <f t="shared" si="8"/>
        <v>1230413.1797458483</v>
      </c>
      <c r="I19" s="630">
        <f t="shared" si="8"/>
        <v>14149751.567077253</v>
      </c>
      <c r="J19" s="630">
        <f t="shared" si="8"/>
        <v>424492.54701231758</v>
      </c>
      <c r="K19" s="630">
        <f t="shared" si="8"/>
        <v>221512450.95407829</v>
      </c>
      <c r="L19" s="630">
        <f t="shared" si="8"/>
        <v>465880.11600850231</v>
      </c>
      <c r="M19" s="630">
        <f t="shared" si="8"/>
        <v>-7660822.8564109886</v>
      </c>
      <c r="N19" s="630">
        <f t="shared" si="8"/>
        <v>229173273.81048927</v>
      </c>
      <c r="O19" s="630">
        <f t="shared" si="8"/>
        <v>296225.41666666669</v>
      </c>
      <c r="P19" s="630">
        <f t="shared" si="8"/>
        <v>301142.75858333334</v>
      </c>
      <c r="T19" s="682"/>
      <c r="U19" s="682"/>
      <c r="V19" s="683"/>
      <c r="W19" s="682"/>
      <c r="X19" s="684"/>
      <c r="Y19" s="515"/>
      <c r="Z19" s="682"/>
      <c r="AA19" s="682"/>
      <c r="AB19" s="682"/>
      <c r="AC19" s="682"/>
      <c r="AD19" s="682"/>
      <c r="AE19" s="682"/>
      <c r="AF19" s="682"/>
      <c r="AG19" s="682"/>
      <c r="AH19" s="682"/>
      <c r="AI19" s="682"/>
      <c r="AJ19" s="682"/>
      <c r="AK19" s="682"/>
      <c r="AL19" s="682"/>
      <c r="AM19" s="682"/>
      <c r="AN19" s="682"/>
    </row>
    <row r="20" spans="1:40">
      <c r="A20" s="678">
        <f t="shared" si="3"/>
        <v>8</v>
      </c>
      <c r="C20" s="671" t="str">
        <f t="shared" si="1"/>
        <v>August</v>
      </c>
      <c r="D20" s="964">
        <v>2017</v>
      </c>
      <c r="E20" s="630">
        <f t="shared" ref="E20:P20" si="9">E52+E83</f>
        <v>15925483.022044746</v>
      </c>
      <c r="F20" s="630">
        <f t="shared" si="9"/>
        <v>134080.62166666664</v>
      </c>
      <c r="G20" s="630">
        <f t="shared" si="9"/>
        <v>1184355.1800283559</v>
      </c>
      <c r="H20" s="630">
        <f t="shared" si="9"/>
        <v>1230413.1797458483</v>
      </c>
      <c r="I20" s="630">
        <f t="shared" si="9"/>
        <v>14149751.567077253</v>
      </c>
      <c r="J20" s="630">
        <f t="shared" si="9"/>
        <v>424492.54701231758</v>
      </c>
      <c r="K20" s="630">
        <f t="shared" si="9"/>
        <v>237816368.52341786</v>
      </c>
      <c r="L20" s="630">
        <f t="shared" si="9"/>
        <v>504668.46881516511</v>
      </c>
      <c r="M20" s="630">
        <f t="shared" si="9"/>
        <v>-8386567.5673416713</v>
      </c>
      <c r="N20" s="630">
        <f t="shared" si="9"/>
        <v>246202936.09075955</v>
      </c>
      <c r="O20" s="630">
        <f t="shared" si="9"/>
        <v>338543.33333333337</v>
      </c>
      <c r="P20" s="630">
        <f t="shared" si="9"/>
        <v>344163.15266666672</v>
      </c>
      <c r="T20" s="682"/>
      <c r="U20" s="682"/>
      <c r="V20" s="683"/>
      <c r="W20" s="682"/>
      <c r="X20" s="684"/>
      <c r="Y20" s="515"/>
      <c r="Z20" s="682"/>
      <c r="AA20" s="682"/>
      <c r="AB20" s="682"/>
      <c r="AC20" s="682"/>
      <c r="AD20" s="682"/>
      <c r="AE20" s="682"/>
      <c r="AF20" s="682"/>
      <c r="AG20" s="682"/>
      <c r="AH20" s="682"/>
      <c r="AI20" s="682"/>
      <c r="AJ20" s="682"/>
      <c r="AK20" s="682"/>
      <c r="AL20" s="682"/>
      <c r="AM20" s="682"/>
      <c r="AN20" s="682"/>
    </row>
    <row r="21" spans="1:40">
      <c r="A21" s="678">
        <f t="shared" si="3"/>
        <v>9</v>
      </c>
      <c r="C21" s="671" t="str">
        <f t="shared" si="1"/>
        <v>September</v>
      </c>
      <c r="D21" s="964">
        <v>2017</v>
      </c>
      <c r="E21" s="630">
        <f t="shared" ref="E21:P21" si="10">E53+E84</f>
        <v>16239686.142044745</v>
      </c>
      <c r="F21" s="630">
        <f t="shared" si="10"/>
        <v>134080.62166666664</v>
      </c>
      <c r="G21" s="630">
        <f t="shared" si="10"/>
        <v>1207920.4140283559</v>
      </c>
      <c r="H21" s="630">
        <f t="shared" si="10"/>
        <v>1230413.1797458483</v>
      </c>
      <c r="I21" s="630">
        <f t="shared" si="10"/>
        <v>14149751.567077253</v>
      </c>
      <c r="J21" s="630">
        <f t="shared" si="10"/>
        <v>424492.54701231758</v>
      </c>
      <c r="K21" s="630">
        <f t="shared" si="10"/>
        <v>254458054.44675744</v>
      </c>
      <c r="L21" s="630">
        <f t="shared" si="10"/>
        <v>541813.43777726218</v>
      </c>
      <c r="M21" s="630">
        <f t="shared" si="10"/>
        <v>-9075167.3093102593</v>
      </c>
      <c r="N21" s="630">
        <f t="shared" si="10"/>
        <v>263533221.75606769</v>
      </c>
      <c r="O21" s="630">
        <f t="shared" si="10"/>
        <v>380861.25000000006</v>
      </c>
      <c r="P21" s="630">
        <f t="shared" si="10"/>
        <v>387183.5467500001</v>
      </c>
      <c r="T21" s="682"/>
      <c r="U21" s="682"/>
      <c r="V21" s="683"/>
      <c r="W21" s="682"/>
      <c r="X21" s="684"/>
      <c r="Y21" s="515"/>
      <c r="Z21" s="682"/>
      <c r="AA21" s="682"/>
      <c r="AB21" s="682"/>
      <c r="AC21" s="682"/>
      <c r="AD21" s="682"/>
      <c r="AE21" s="682"/>
      <c r="AF21" s="682"/>
      <c r="AG21" s="682"/>
      <c r="AH21" s="682"/>
      <c r="AI21" s="682"/>
      <c r="AJ21" s="682"/>
      <c r="AK21" s="682"/>
      <c r="AL21" s="682"/>
      <c r="AM21" s="682"/>
      <c r="AN21" s="682"/>
    </row>
    <row r="22" spans="1:40">
      <c r="A22" s="678">
        <f t="shared" si="3"/>
        <v>10</v>
      </c>
      <c r="C22" s="671" t="str">
        <f t="shared" si="1"/>
        <v xml:space="preserve">October </v>
      </c>
      <c r="D22" s="964">
        <v>2017</v>
      </c>
      <c r="E22" s="630">
        <f t="shared" ref="E22:P22" si="11">E54+E85</f>
        <v>15613483.022044746</v>
      </c>
      <c r="F22" s="630">
        <f t="shared" si="11"/>
        <v>134080.62166666664</v>
      </c>
      <c r="G22" s="630">
        <f t="shared" si="11"/>
        <v>1160955.1800283559</v>
      </c>
      <c r="H22" s="630">
        <f t="shared" si="11"/>
        <v>1230413.1797458483</v>
      </c>
      <c r="I22" s="630">
        <f t="shared" si="11"/>
        <v>14149751.567077253</v>
      </c>
      <c r="J22" s="630">
        <f t="shared" si="11"/>
        <v>424492.54701231758</v>
      </c>
      <c r="K22" s="630">
        <f t="shared" si="11"/>
        <v>270426572.01609707</v>
      </c>
      <c r="L22" s="630">
        <f t="shared" si="11"/>
        <v>579727.93927485868</v>
      </c>
      <c r="M22" s="630">
        <f t="shared" si="11"/>
        <v>-9725852.5497812517</v>
      </c>
      <c r="N22" s="630">
        <f t="shared" si="11"/>
        <v>280152424.56587827</v>
      </c>
      <c r="O22" s="630">
        <f t="shared" si="11"/>
        <v>423179.16666666674</v>
      </c>
      <c r="P22" s="630">
        <f t="shared" si="11"/>
        <v>430203.94083333341</v>
      </c>
      <c r="T22" s="682"/>
      <c r="U22" s="682"/>
      <c r="V22" s="683"/>
      <c r="W22" s="682"/>
      <c r="X22" s="684"/>
      <c r="Y22" s="515"/>
      <c r="Z22" s="682"/>
      <c r="AA22" s="682"/>
      <c r="AB22" s="682"/>
      <c r="AC22" s="682"/>
      <c r="AD22" s="682"/>
      <c r="AE22" s="682"/>
      <c r="AF22" s="682"/>
      <c r="AG22" s="682"/>
      <c r="AH22" s="682"/>
      <c r="AI22" s="682"/>
      <c r="AJ22" s="682"/>
      <c r="AK22" s="682"/>
      <c r="AL22" s="682"/>
      <c r="AM22" s="682"/>
      <c r="AN22" s="682"/>
    </row>
    <row r="23" spans="1:40">
      <c r="A23" s="678">
        <f t="shared" si="3"/>
        <v>11</v>
      </c>
      <c r="C23" s="671" t="str">
        <f t="shared" si="1"/>
        <v>November</v>
      </c>
      <c r="D23" s="964">
        <v>2017</v>
      </c>
      <c r="E23" s="630">
        <f t="shared" ref="E23:P23" si="12">E55+E86</f>
        <v>54219052.862044744</v>
      </c>
      <c r="F23" s="630">
        <f t="shared" si="12"/>
        <v>14896038.621666666</v>
      </c>
      <c r="G23" s="630">
        <f t="shared" si="12"/>
        <v>2949226.0680283555</v>
      </c>
      <c r="H23" s="630">
        <f t="shared" si="12"/>
        <v>3308388.1797458478</v>
      </c>
      <c r="I23" s="630">
        <f t="shared" si="12"/>
        <v>38046464.067077249</v>
      </c>
      <c r="J23" s="630">
        <f t="shared" si="12"/>
        <v>1141393.9220123175</v>
      </c>
      <c r="K23" s="630">
        <f t="shared" si="12"/>
        <v>325427856.68843663</v>
      </c>
      <c r="L23" s="630">
        <f t="shared" si="12"/>
        <v>616108.7714865763</v>
      </c>
      <c r="M23" s="630">
        <f t="shared" si="12"/>
        <v>-12418131.958040522</v>
      </c>
      <c r="N23" s="630">
        <f t="shared" si="12"/>
        <v>337845988.64647716</v>
      </c>
      <c r="O23" s="630">
        <f t="shared" si="12"/>
        <v>465497.08333333343</v>
      </c>
      <c r="P23" s="630">
        <f t="shared" si="12"/>
        <v>473224.33491666679</v>
      </c>
      <c r="T23" s="682"/>
      <c r="U23" s="682"/>
      <c r="V23" s="683"/>
      <c r="W23" s="682"/>
      <c r="X23" s="684"/>
      <c r="Y23" s="515"/>
      <c r="Z23" s="682"/>
      <c r="AA23" s="682"/>
      <c r="AB23" s="682"/>
      <c r="AC23" s="682"/>
      <c r="AD23" s="682"/>
      <c r="AE23" s="682"/>
      <c r="AF23" s="682"/>
      <c r="AG23" s="682"/>
      <c r="AH23" s="682"/>
      <c r="AI23" s="682"/>
      <c r="AJ23" s="682"/>
      <c r="AK23" s="682"/>
      <c r="AL23" s="682"/>
      <c r="AM23" s="682"/>
      <c r="AN23" s="682"/>
    </row>
    <row r="24" spans="1:40">
      <c r="A24" s="678">
        <f t="shared" si="3"/>
        <v>12</v>
      </c>
      <c r="C24" s="671" t="str">
        <f t="shared" si="1"/>
        <v>December</v>
      </c>
      <c r="D24" s="964">
        <v>2017</v>
      </c>
      <c r="E24" s="630">
        <f t="shared" ref="E24:P24" si="13">E56+E87</f>
        <v>152043882.69788381</v>
      </c>
      <c r="F24" s="630">
        <f t="shared" si="13"/>
        <v>52539995.965839475</v>
      </c>
      <c r="G24" s="630">
        <f t="shared" si="13"/>
        <v>7462791.5049033258</v>
      </c>
      <c r="H24" s="630">
        <f t="shared" si="13"/>
        <v>8152014.9420091463</v>
      </c>
      <c r="I24" s="630">
        <f t="shared" si="13"/>
        <v>93748171.833105177</v>
      </c>
      <c r="J24" s="630">
        <f t="shared" si="13"/>
        <v>2812445.154993155</v>
      </c>
      <c r="K24" s="630">
        <f t="shared" si="13"/>
        <v>479594961.10420775</v>
      </c>
      <c r="L24" s="630">
        <f t="shared" si="13"/>
        <v>741417.36700300185</v>
      </c>
      <c r="M24" s="630">
        <f t="shared" si="13"/>
        <v>-19828729.533046667</v>
      </c>
      <c r="N24" s="630">
        <f t="shared" si="13"/>
        <v>499423690.63725442</v>
      </c>
      <c r="O24" s="630">
        <f t="shared" si="13"/>
        <v>507815.00000000012</v>
      </c>
      <c r="P24" s="630">
        <f t="shared" si="13"/>
        <v>516244.72900000011</v>
      </c>
      <c r="T24" s="682"/>
      <c r="U24" s="682"/>
      <c r="V24" s="683"/>
      <c r="W24" s="682"/>
      <c r="X24" s="684"/>
      <c r="Y24" s="515"/>
      <c r="Z24" s="682"/>
      <c r="AA24" s="682"/>
      <c r="AB24" s="682"/>
      <c r="AC24" s="682"/>
      <c r="AD24" s="682"/>
      <c r="AE24" s="682"/>
      <c r="AF24" s="682"/>
      <c r="AG24" s="682"/>
      <c r="AH24" s="682"/>
      <c r="AI24" s="682"/>
      <c r="AJ24" s="682"/>
      <c r="AK24" s="682"/>
      <c r="AL24" s="682"/>
      <c r="AM24" s="682"/>
      <c r="AN24" s="682"/>
    </row>
    <row r="25" spans="1:40">
      <c r="A25" s="678">
        <f t="shared" si="3"/>
        <v>13</v>
      </c>
      <c r="C25" s="671" t="str">
        <f t="shared" si="1"/>
        <v>January</v>
      </c>
      <c r="D25" s="964">
        <v>2018</v>
      </c>
      <c r="E25" s="630">
        <f t="shared" ref="E25:P25" si="14">E57+E88</f>
        <v>19600304.337940633</v>
      </c>
      <c r="F25" s="630">
        <f t="shared" si="14"/>
        <v>0</v>
      </c>
      <c r="G25" s="630">
        <f t="shared" si="14"/>
        <v>1470022.8253455474</v>
      </c>
      <c r="H25" s="630">
        <f t="shared" si="14"/>
        <v>1685626.1730628945</v>
      </c>
      <c r="I25" s="630">
        <f t="shared" si="14"/>
        <v>19384700.990223285</v>
      </c>
      <c r="J25" s="630">
        <f t="shared" si="14"/>
        <v>581541.02970669849</v>
      </c>
      <c r="K25" s="630">
        <f t="shared" si="14"/>
        <v>499561203.12413776</v>
      </c>
      <c r="L25" s="630">
        <f t="shared" si="14"/>
        <v>1092653.9507348312</v>
      </c>
      <c r="M25" s="630">
        <f t="shared" si="14"/>
        <v>-20421701.75537473</v>
      </c>
      <c r="N25" s="630">
        <f t="shared" si="14"/>
        <v>519982904.87951249</v>
      </c>
      <c r="O25" s="630">
        <f t="shared" si="14"/>
        <v>507815.00000000012</v>
      </c>
      <c r="P25" s="630">
        <f t="shared" si="14"/>
        <v>516244.72900000011</v>
      </c>
      <c r="T25" s="682"/>
      <c r="U25" s="682"/>
      <c r="V25" s="683"/>
      <c r="W25" s="682"/>
      <c r="X25" s="684"/>
      <c r="Y25" s="515"/>
      <c r="Z25" s="682"/>
      <c r="AA25" s="682"/>
      <c r="AB25" s="682"/>
      <c r="AC25" s="682"/>
      <c r="AD25" s="682"/>
      <c r="AE25" s="682"/>
      <c r="AF25" s="682"/>
      <c r="AG25" s="682"/>
      <c r="AH25" s="682"/>
      <c r="AI25" s="682"/>
      <c r="AJ25" s="682"/>
      <c r="AK25" s="682"/>
      <c r="AL25" s="682"/>
      <c r="AM25" s="682"/>
      <c r="AN25" s="682"/>
    </row>
    <row r="26" spans="1:40">
      <c r="A26" s="678">
        <f t="shared" si="3"/>
        <v>14</v>
      </c>
      <c r="C26" s="671" t="str">
        <f t="shared" si="1"/>
        <v>February</v>
      </c>
      <c r="D26" s="964">
        <v>2018</v>
      </c>
      <c r="E26" s="630">
        <f t="shared" ref="E26:P26" si="15">E58+E89</f>
        <v>19600304.337940633</v>
      </c>
      <c r="F26" s="630">
        <f t="shared" si="15"/>
        <v>0</v>
      </c>
      <c r="G26" s="630">
        <f t="shared" si="15"/>
        <v>1470022.8253455474</v>
      </c>
      <c r="H26" s="630">
        <f t="shared" si="15"/>
        <v>1685626.1730628945</v>
      </c>
      <c r="I26" s="630">
        <f t="shared" si="15"/>
        <v>19384700.990223285</v>
      </c>
      <c r="J26" s="630">
        <f t="shared" si="15"/>
        <v>581541.02970669849</v>
      </c>
      <c r="K26" s="630">
        <f t="shared" si="15"/>
        <v>519527445.14406776</v>
      </c>
      <c r="L26" s="630">
        <f t="shared" si="15"/>
        <v>1138142.7381361318</v>
      </c>
      <c r="M26" s="630">
        <f t="shared" si="15"/>
        <v>-20969185.190301493</v>
      </c>
      <c r="N26" s="630">
        <f t="shared" si="15"/>
        <v>540496630.33436918</v>
      </c>
      <c r="O26" s="630">
        <f t="shared" si="15"/>
        <v>507815.00000000012</v>
      </c>
      <c r="P26" s="630">
        <f t="shared" si="15"/>
        <v>516244.72900000011</v>
      </c>
      <c r="T26" s="682"/>
      <c r="U26" s="682"/>
      <c r="V26" s="683"/>
      <c r="W26" s="682"/>
      <c r="X26" s="684"/>
      <c r="Y26" s="515"/>
      <c r="Z26" s="682"/>
      <c r="AA26" s="682"/>
      <c r="AB26" s="682"/>
      <c r="AC26" s="682"/>
      <c r="AD26" s="682"/>
      <c r="AE26" s="682"/>
      <c r="AF26" s="682"/>
      <c r="AG26" s="682"/>
      <c r="AH26" s="682"/>
      <c r="AI26" s="682"/>
      <c r="AJ26" s="682"/>
      <c r="AK26" s="682"/>
      <c r="AL26" s="682"/>
      <c r="AM26" s="682"/>
      <c r="AN26" s="682"/>
    </row>
    <row r="27" spans="1:40">
      <c r="A27" s="678">
        <f t="shared" si="3"/>
        <v>15</v>
      </c>
      <c r="C27" s="671" t="str">
        <f t="shared" si="1"/>
        <v>March</v>
      </c>
      <c r="D27" s="964">
        <v>2018</v>
      </c>
      <c r="E27" s="630">
        <f t="shared" ref="E27:P27" si="16">E59+E90</f>
        <v>19600304.337940633</v>
      </c>
      <c r="F27" s="630">
        <f t="shared" si="16"/>
        <v>0</v>
      </c>
      <c r="G27" s="630">
        <f t="shared" si="16"/>
        <v>1470022.8253455474</v>
      </c>
      <c r="H27" s="630">
        <f t="shared" si="16"/>
        <v>1685626.1730628945</v>
      </c>
      <c r="I27" s="630">
        <f t="shared" si="16"/>
        <v>19384700.990223285</v>
      </c>
      <c r="J27" s="630">
        <f t="shared" si="16"/>
        <v>581541.02970669849</v>
      </c>
      <c r="K27" s="630">
        <f t="shared" si="16"/>
        <v>539493687.16399777</v>
      </c>
      <c r="L27" s="630">
        <f t="shared" si="16"/>
        <v>1183631.5255374324</v>
      </c>
      <c r="M27" s="630">
        <f t="shared" si="16"/>
        <v>-21471179.837826952</v>
      </c>
      <c r="N27" s="630">
        <f t="shared" si="16"/>
        <v>560964867.00182462</v>
      </c>
      <c r="O27" s="630">
        <f t="shared" si="16"/>
        <v>507815.00000000012</v>
      </c>
      <c r="P27" s="630">
        <f t="shared" si="16"/>
        <v>516244.72900000011</v>
      </c>
      <c r="T27" s="682"/>
      <c r="U27" s="682"/>
      <c r="V27" s="683"/>
      <c r="W27" s="682"/>
      <c r="X27" s="684"/>
      <c r="Y27" s="515"/>
      <c r="Z27" s="682"/>
      <c r="AA27" s="682"/>
      <c r="AB27" s="682"/>
      <c r="AC27" s="682"/>
      <c r="AD27" s="682"/>
      <c r="AE27" s="682"/>
      <c r="AF27" s="682"/>
      <c r="AG27" s="682"/>
      <c r="AH27" s="682"/>
      <c r="AI27" s="682"/>
      <c r="AJ27" s="682"/>
      <c r="AK27" s="682"/>
      <c r="AL27" s="682"/>
      <c r="AM27" s="682"/>
      <c r="AN27" s="682"/>
    </row>
    <row r="28" spans="1:40">
      <c r="A28" s="678">
        <f t="shared" si="3"/>
        <v>16</v>
      </c>
      <c r="C28" s="671" t="str">
        <f t="shared" si="1"/>
        <v>April</v>
      </c>
      <c r="D28" s="964">
        <v>2018</v>
      </c>
      <c r="E28" s="630">
        <f t="shared" ref="E28:P28" si="17">E60+E91</f>
        <v>19600304.337940633</v>
      </c>
      <c r="F28" s="630">
        <f t="shared" si="17"/>
        <v>0</v>
      </c>
      <c r="G28" s="630">
        <f t="shared" si="17"/>
        <v>1470022.8253455474</v>
      </c>
      <c r="H28" s="630">
        <f t="shared" si="17"/>
        <v>1685626.1730628945</v>
      </c>
      <c r="I28" s="630">
        <f t="shared" si="17"/>
        <v>19384700.990223285</v>
      </c>
      <c r="J28" s="630">
        <f t="shared" si="17"/>
        <v>581541.02970669849</v>
      </c>
      <c r="K28" s="630">
        <f t="shared" si="17"/>
        <v>559459929.18392777</v>
      </c>
      <c r="L28" s="630">
        <f t="shared" si="17"/>
        <v>1229120.312938733</v>
      </c>
      <c r="M28" s="630">
        <f t="shared" si="17"/>
        <v>-21927685.697951116</v>
      </c>
      <c r="N28" s="630">
        <f t="shared" si="17"/>
        <v>581387614.88187885</v>
      </c>
      <c r="O28" s="630">
        <f t="shared" si="17"/>
        <v>507815.00000000012</v>
      </c>
      <c r="P28" s="630">
        <f t="shared" si="17"/>
        <v>516244.72900000011</v>
      </c>
      <c r="T28" s="682"/>
      <c r="U28" s="682"/>
      <c r="V28" s="683"/>
      <c r="W28" s="682"/>
      <c r="X28" s="684"/>
      <c r="Y28" s="515"/>
      <c r="Z28" s="682"/>
      <c r="AA28" s="682"/>
      <c r="AB28" s="682"/>
      <c r="AC28" s="682"/>
      <c r="AD28" s="682"/>
      <c r="AE28" s="682"/>
      <c r="AF28" s="682"/>
      <c r="AG28" s="682"/>
      <c r="AH28" s="682"/>
      <c r="AI28" s="682"/>
      <c r="AJ28" s="682"/>
      <c r="AK28" s="682"/>
      <c r="AL28" s="682"/>
      <c r="AM28" s="682"/>
      <c r="AN28" s="682"/>
    </row>
    <row r="29" spans="1:40">
      <c r="A29" s="678">
        <f t="shared" si="3"/>
        <v>17</v>
      </c>
      <c r="C29" s="671" t="str">
        <f t="shared" si="1"/>
        <v>May</v>
      </c>
      <c r="D29" s="964">
        <v>2018</v>
      </c>
      <c r="E29" s="630">
        <f t="shared" ref="E29:P29" si="18">E61+E92</f>
        <v>19600304.337940633</v>
      </c>
      <c r="F29" s="630">
        <f t="shared" si="18"/>
        <v>0</v>
      </c>
      <c r="G29" s="630">
        <f t="shared" si="18"/>
        <v>1470022.8253455474</v>
      </c>
      <c r="H29" s="630">
        <f t="shared" si="18"/>
        <v>1685626.1730628945</v>
      </c>
      <c r="I29" s="630">
        <f t="shared" si="18"/>
        <v>19384700.990223285</v>
      </c>
      <c r="J29" s="630">
        <f t="shared" si="18"/>
        <v>581541.02970669849</v>
      </c>
      <c r="K29" s="630">
        <f t="shared" si="18"/>
        <v>579426171.20385778</v>
      </c>
      <c r="L29" s="630">
        <f t="shared" si="18"/>
        <v>1274609.1003400334</v>
      </c>
      <c r="M29" s="630">
        <f t="shared" si="18"/>
        <v>-22338702.770673975</v>
      </c>
      <c r="N29" s="630">
        <f t="shared" si="18"/>
        <v>601764873.97453165</v>
      </c>
      <c r="O29" s="630">
        <f t="shared" si="18"/>
        <v>507815.00000000012</v>
      </c>
      <c r="P29" s="630">
        <f t="shared" si="18"/>
        <v>516244.72900000011</v>
      </c>
      <c r="T29" s="682"/>
      <c r="U29" s="682"/>
      <c r="V29" s="683"/>
      <c r="W29" s="682"/>
      <c r="X29" s="684"/>
      <c r="Y29" s="515"/>
      <c r="Z29" s="682"/>
      <c r="AA29" s="682"/>
      <c r="AB29" s="682"/>
      <c r="AC29" s="682"/>
      <c r="AD29" s="682"/>
      <c r="AE29" s="682"/>
      <c r="AF29" s="682"/>
      <c r="AG29" s="682"/>
      <c r="AH29" s="682"/>
      <c r="AI29" s="682"/>
      <c r="AJ29" s="682"/>
      <c r="AK29" s="682"/>
      <c r="AL29" s="682"/>
      <c r="AM29" s="682"/>
      <c r="AN29" s="682"/>
    </row>
    <row r="30" spans="1:40">
      <c r="A30" s="678">
        <f t="shared" si="3"/>
        <v>18</v>
      </c>
      <c r="C30" s="671" t="str">
        <f t="shared" ref="C30:C33" si="19">C62</f>
        <v xml:space="preserve">June </v>
      </c>
      <c r="D30" s="964">
        <v>2018</v>
      </c>
      <c r="E30" s="630">
        <f t="shared" ref="E30:P30" si="20">E62+E93</f>
        <v>71448147.500040591</v>
      </c>
      <c r="F30" s="630">
        <f t="shared" si="20"/>
        <v>17086758.800000001</v>
      </c>
      <c r="G30" s="630">
        <f t="shared" si="20"/>
        <v>4077104.1525030443</v>
      </c>
      <c r="H30" s="630">
        <f t="shared" si="20"/>
        <v>4675079.4282034915</v>
      </c>
      <c r="I30" s="630">
        <f t="shared" si="20"/>
        <v>53763413.424340144</v>
      </c>
      <c r="J30" s="630">
        <f t="shared" si="20"/>
        <v>1612902.4027302042</v>
      </c>
      <c r="K30" s="630">
        <f t="shared" si="20"/>
        <v>651889245.83092809</v>
      </c>
      <c r="L30" s="630">
        <f t="shared" si="20"/>
        <v>1320097.887741334</v>
      </c>
      <c r="M30" s="630">
        <f t="shared" si="20"/>
        <v>-25693684.311136134</v>
      </c>
      <c r="N30" s="630">
        <f t="shared" si="20"/>
        <v>677582930.14206409</v>
      </c>
      <c r="O30" s="630">
        <f t="shared" si="20"/>
        <v>507815.00000000012</v>
      </c>
      <c r="P30" s="630">
        <f t="shared" si="20"/>
        <v>516244.72900000011</v>
      </c>
      <c r="T30" s="682"/>
      <c r="U30" s="682"/>
      <c r="V30" s="683"/>
      <c r="W30" s="682"/>
      <c r="X30" s="684"/>
      <c r="Y30" s="515"/>
      <c r="Z30" s="682"/>
      <c r="AA30" s="682"/>
      <c r="AB30" s="682"/>
      <c r="AC30" s="682"/>
      <c r="AD30" s="682"/>
      <c r="AE30" s="682"/>
      <c r="AF30" s="682"/>
      <c r="AG30" s="682"/>
      <c r="AH30" s="682"/>
      <c r="AI30" s="682"/>
      <c r="AJ30" s="682"/>
      <c r="AK30" s="682"/>
      <c r="AL30" s="682"/>
      <c r="AM30" s="682"/>
      <c r="AN30" s="682"/>
    </row>
    <row r="31" spans="1:40">
      <c r="A31" s="678">
        <f t="shared" si="3"/>
        <v>19</v>
      </c>
      <c r="C31" s="671" t="str">
        <f t="shared" si="19"/>
        <v>July</v>
      </c>
      <c r="D31" s="964">
        <v>2018</v>
      </c>
      <c r="E31" s="630">
        <f t="shared" ref="E31:P31" si="21">E63+E94</f>
        <v>19600304.337940574</v>
      </c>
      <c r="F31" s="630">
        <f t="shared" si="21"/>
        <v>0</v>
      </c>
      <c r="G31" s="630">
        <f t="shared" si="21"/>
        <v>1470022.825345543</v>
      </c>
      <c r="H31" s="630">
        <f t="shared" si="21"/>
        <v>1685626.1730628894</v>
      </c>
      <c r="I31" s="630">
        <f t="shared" si="21"/>
        <v>19384700.990223225</v>
      </c>
      <c r="J31" s="630">
        <f t="shared" si="21"/>
        <v>581541.02970669675</v>
      </c>
      <c r="K31" s="630">
        <f t="shared" si="21"/>
        <v>671855487.85085797</v>
      </c>
      <c r="L31" s="630">
        <f t="shared" si="21"/>
        <v>1485189.4153740807</v>
      </c>
      <c r="M31" s="630">
        <f t="shared" si="21"/>
        <v>-25894121.068824943</v>
      </c>
      <c r="N31" s="630">
        <f t="shared" si="21"/>
        <v>697749608.91968286</v>
      </c>
      <c r="O31" s="630">
        <f t="shared" si="21"/>
        <v>507815.00000000012</v>
      </c>
      <c r="P31" s="630">
        <f t="shared" si="21"/>
        <v>516244.72900000011</v>
      </c>
      <c r="T31" s="682"/>
      <c r="U31" s="682"/>
      <c r="V31" s="683"/>
      <c r="W31" s="682"/>
      <c r="X31" s="684"/>
      <c r="Y31" s="515"/>
      <c r="Z31" s="682"/>
      <c r="AA31" s="682"/>
      <c r="AB31" s="682"/>
      <c r="AC31" s="682"/>
      <c r="AD31" s="682"/>
      <c r="AE31" s="682"/>
      <c r="AF31" s="682"/>
      <c r="AG31" s="682"/>
      <c r="AH31" s="682"/>
      <c r="AI31" s="682"/>
      <c r="AJ31" s="682"/>
      <c r="AK31" s="682"/>
      <c r="AL31" s="682"/>
      <c r="AM31" s="682"/>
      <c r="AN31" s="682"/>
    </row>
    <row r="32" spans="1:40">
      <c r="A32" s="678">
        <f t="shared" si="3"/>
        <v>20</v>
      </c>
      <c r="C32" s="671" t="str">
        <f t="shared" si="19"/>
        <v>August</v>
      </c>
      <c r="D32" s="964">
        <v>2018</v>
      </c>
      <c r="E32" s="630">
        <f t="shared" ref="E32:P32" si="22">E64+E95</f>
        <v>19600304.337940693</v>
      </c>
      <c r="F32" s="630">
        <f t="shared" si="22"/>
        <v>0</v>
      </c>
      <c r="G32" s="630">
        <f t="shared" si="22"/>
        <v>1470022.8253455518</v>
      </c>
      <c r="H32" s="630">
        <f t="shared" si="22"/>
        <v>1685626.1730628998</v>
      </c>
      <c r="I32" s="630">
        <f t="shared" si="22"/>
        <v>19384700.990223348</v>
      </c>
      <c r="J32" s="630">
        <f t="shared" si="22"/>
        <v>581541.02970670047</v>
      </c>
      <c r="K32" s="630">
        <f t="shared" si="22"/>
        <v>691821729.8707881</v>
      </c>
      <c r="L32" s="630">
        <f t="shared" si="22"/>
        <v>1530678.2027753808</v>
      </c>
      <c r="M32" s="630">
        <f t="shared" si="22"/>
        <v>-26049069.039112464</v>
      </c>
      <c r="N32" s="630">
        <f t="shared" si="22"/>
        <v>717870798.90990043</v>
      </c>
      <c r="O32" s="630">
        <f t="shared" si="22"/>
        <v>507815.00000000012</v>
      </c>
      <c r="P32" s="630">
        <f t="shared" si="22"/>
        <v>516244.72900000011</v>
      </c>
      <c r="T32" s="682"/>
      <c r="U32" s="682"/>
      <c r="V32" s="683"/>
      <c r="W32" s="682"/>
      <c r="X32" s="684"/>
      <c r="Y32" s="515"/>
      <c r="Z32" s="682"/>
      <c r="AA32" s="682"/>
      <c r="AB32" s="682"/>
      <c r="AC32" s="682"/>
      <c r="AD32" s="682"/>
      <c r="AE32" s="682"/>
      <c r="AF32" s="682"/>
      <c r="AG32" s="682"/>
      <c r="AH32" s="682"/>
      <c r="AI32" s="682"/>
      <c r="AJ32" s="682"/>
      <c r="AK32" s="682"/>
      <c r="AL32" s="682"/>
      <c r="AM32" s="682"/>
      <c r="AN32" s="682"/>
    </row>
    <row r="33" spans="1:40">
      <c r="A33" s="678">
        <f t="shared" si="3"/>
        <v>21</v>
      </c>
      <c r="C33" s="671" t="str">
        <f t="shared" si="19"/>
        <v>September</v>
      </c>
      <c r="D33" s="964">
        <v>2018</v>
      </c>
      <c r="E33" s="630">
        <f t="shared" ref="E33:P33" si="23">E65+E96</f>
        <v>19600304.337940693</v>
      </c>
      <c r="F33" s="630">
        <f t="shared" si="23"/>
        <v>0</v>
      </c>
      <c r="G33" s="630">
        <f t="shared" si="23"/>
        <v>1470022.8253455518</v>
      </c>
      <c r="H33" s="630">
        <f t="shared" si="23"/>
        <v>1685626.1730628998</v>
      </c>
      <c r="I33" s="630">
        <f t="shared" si="23"/>
        <v>19384700.990223348</v>
      </c>
      <c r="J33" s="630">
        <f t="shared" si="23"/>
        <v>581541.02970670047</v>
      </c>
      <c r="K33" s="646">
        <f t="shared" si="23"/>
        <v>711787971.89071822</v>
      </c>
      <c r="L33" s="646">
        <f t="shared" si="23"/>
        <v>1576166.9901766817</v>
      </c>
      <c r="M33" s="646">
        <f t="shared" si="23"/>
        <v>-26158528.22199868</v>
      </c>
      <c r="N33" s="646">
        <f t="shared" si="23"/>
        <v>737946500.11271691</v>
      </c>
      <c r="O33" s="646">
        <f t="shared" si="23"/>
        <v>507815.00000000012</v>
      </c>
      <c r="P33" s="646">
        <f t="shared" si="23"/>
        <v>516244.72900000011</v>
      </c>
      <c r="T33" s="682"/>
      <c r="U33" s="682"/>
      <c r="V33" s="683"/>
      <c r="W33" s="682"/>
      <c r="X33" s="684"/>
      <c r="Y33" s="515"/>
      <c r="Z33" s="682"/>
      <c r="AA33" s="682"/>
      <c r="AB33" s="682"/>
      <c r="AC33" s="682"/>
      <c r="AD33" s="682"/>
      <c r="AE33" s="682"/>
      <c r="AF33" s="682"/>
      <c r="AG33" s="682"/>
      <c r="AH33" s="682"/>
      <c r="AI33" s="682"/>
      <c r="AJ33" s="682"/>
      <c r="AK33" s="682"/>
      <c r="AL33" s="682"/>
      <c r="AM33" s="682"/>
      <c r="AN33" s="682"/>
    </row>
    <row r="34" spans="1:40">
      <c r="A34" s="679">
        <f t="shared" si="3"/>
        <v>22</v>
      </c>
      <c r="C34" s="671" t="str">
        <f t="shared" ref="C34" si="24">C66</f>
        <v>October</v>
      </c>
      <c r="D34" s="964">
        <v>2018</v>
      </c>
      <c r="E34" s="630">
        <f t="shared" ref="E34:P34" si="25">E66+E97</f>
        <v>19600304.337940574</v>
      </c>
      <c r="F34" s="630">
        <f t="shared" si="25"/>
        <v>0</v>
      </c>
      <c r="G34" s="630">
        <f t="shared" si="25"/>
        <v>1470022.825345543</v>
      </c>
      <c r="H34" s="630">
        <f t="shared" si="25"/>
        <v>1685626.1730628894</v>
      </c>
      <c r="I34" s="630">
        <f t="shared" si="25"/>
        <v>19384700.990223225</v>
      </c>
      <c r="J34" s="630">
        <f t="shared" si="25"/>
        <v>581541.02970669675</v>
      </c>
      <c r="K34" s="646">
        <f t="shared" si="25"/>
        <v>731754213.91064811</v>
      </c>
      <c r="L34" s="646">
        <f t="shared" si="25"/>
        <v>1621655.7775779825</v>
      </c>
      <c r="M34" s="646">
        <f t="shared" si="25"/>
        <v>-26222498.61748359</v>
      </c>
      <c r="N34" s="646">
        <f t="shared" si="25"/>
        <v>757976712.52813172</v>
      </c>
      <c r="O34" s="646">
        <f t="shared" si="25"/>
        <v>507815.00000000012</v>
      </c>
      <c r="P34" s="646">
        <f t="shared" si="25"/>
        <v>516244.72900000011</v>
      </c>
      <c r="T34" s="682"/>
      <c r="U34" s="682"/>
      <c r="V34" s="683"/>
      <c r="W34" s="682"/>
      <c r="X34" s="684"/>
      <c r="Y34" s="515"/>
      <c r="Z34" s="682"/>
      <c r="AA34" s="682"/>
      <c r="AB34" s="682"/>
      <c r="AC34" s="682"/>
      <c r="AD34" s="682"/>
      <c r="AE34" s="682"/>
      <c r="AF34" s="682"/>
      <c r="AG34" s="682"/>
      <c r="AH34" s="682"/>
      <c r="AI34" s="682"/>
      <c r="AJ34" s="682"/>
      <c r="AK34" s="682"/>
      <c r="AL34" s="682"/>
      <c r="AM34" s="682"/>
      <c r="AN34" s="682"/>
    </row>
    <row r="35" spans="1:40">
      <c r="A35" s="679">
        <f t="shared" si="3"/>
        <v>23</v>
      </c>
      <c r="C35" s="671" t="str">
        <f t="shared" ref="C35" si="26">C67</f>
        <v>November</v>
      </c>
      <c r="D35" s="964">
        <v>2018</v>
      </c>
      <c r="E35" s="630">
        <f t="shared" ref="E35:P35" si="27">E67+E98</f>
        <v>19600304.337940693</v>
      </c>
      <c r="F35" s="630">
        <f t="shared" si="27"/>
        <v>0</v>
      </c>
      <c r="G35" s="630">
        <f t="shared" si="27"/>
        <v>1470022.8253455518</v>
      </c>
      <c r="H35" s="630">
        <f t="shared" si="27"/>
        <v>1685626.1730628998</v>
      </c>
      <c r="I35" s="630">
        <f t="shared" si="27"/>
        <v>19384700.990223348</v>
      </c>
      <c r="J35" s="630">
        <f t="shared" si="27"/>
        <v>581541.02970670047</v>
      </c>
      <c r="K35" s="646">
        <f t="shared" si="27"/>
        <v>751720455.93057823</v>
      </c>
      <c r="L35" s="646">
        <f t="shared" si="27"/>
        <v>1667144.5649792827</v>
      </c>
      <c r="M35" s="646">
        <f t="shared" si="27"/>
        <v>-26240980.225567203</v>
      </c>
      <c r="N35" s="646">
        <f t="shared" si="27"/>
        <v>777961436.15614545</v>
      </c>
      <c r="O35" s="646">
        <f t="shared" si="27"/>
        <v>507815.00000000012</v>
      </c>
      <c r="P35" s="646">
        <f t="shared" si="27"/>
        <v>516244.72900000011</v>
      </c>
      <c r="T35" s="682"/>
      <c r="U35" s="682"/>
      <c r="V35" s="683"/>
      <c r="W35" s="682"/>
      <c r="X35" s="684"/>
      <c r="Y35" s="515"/>
      <c r="Z35" s="682"/>
      <c r="AA35" s="682"/>
      <c r="AB35" s="682"/>
      <c r="AC35" s="682"/>
      <c r="AD35" s="682"/>
      <c r="AE35" s="682"/>
      <c r="AF35" s="682"/>
      <c r="AG35" s="682"/>
      <c r="AH35" s="682"/>
      <c r="AI35" s="682"/>
      <c r="AJ35" s="682"/>
      <c r="AK35" s="682"/>
      <c r="AL35" s="682"/>
      <c r="AM35" s="682"/>
      <c r="AN35" s="682"/>
    </row>
    <row r="36" spans="1:40">
      <c r="A36" s="679">
        <f t="shared" si="3"/>
        <v>24</v>
      </c>
      <c r="C36" s="671" t="str">
        <f t="shared" ref="C36" si="28">C68</f>
        <v>December</v>
      </c>
      <c r="D36" s="964">
        <v>2018</v>
      </c>
      <c r="E36" s="630">
        <f t="shared" ref="E36:P36" si="29">E68+E99</f>
        <v>103959611.96518886</v>
      </c>
      <c r="F36" s="630">
        <f t="shared" si="29"/>
        <v>5717664.2363000019</v>
      </c>
      <c r="G36" s="630">
        <f t="shared" si="29"/>
        <v>7368146.0796666639</v>
      </c>
      <c r="H36" s="630">
        <f t="shared" si="29"/>
        <v>8448807.5046844408</v>
      </c>
      <c r="I36" s="630">
        <f t="shared" si="29"/>
        <v>97161286.303871065</v>
      </c>
      <c r="J36" s="630">
        <f t="shared" si="29"/>
        <v>2914838.5891161319</v>
      </c>
      <c r="K36" s="685">
        <f t="shared" si="29"/>
        <v>857514245.05986536</v>
      </c>
      <c r="L36" s="646">
        <f t="shared" si="29"/>
        <v>1712633.3523805835</v>
      </c>
      <c r="M36" s="646">
        <f t="shared" si="29"/>
        <v>-32977154.377871059</v>
      </c>
      <c r="N36" s="685">
        <f t="shared" si="29"/>
        <v>890491399.43773627</v>
      </c>
      <c r="O36" s="646">
        <f t="shared" si="29"/>
        <v>507815.00000000012</v>
      </c>
      <c r="P36" s="685">
        <f t="shared" si="29"/>
        <v>516244.72900000011</v>
      </c>
      <c r="T36" s="682"/>
      <c r="U36" s="682"/>
      <c r="V36" s="683"/>
      <c r="W36" s="682"/>
      <c r="X36" s="684"/>
      <c r="Y36" s="515"/>
      <c r="Z36" s="682"/>
      <c r="AA36" s="682"/>
      <c r="AB36" s="682"/>
      <c r="AC36" s="682"/>
      <c r="AD36" s="682"/>
      <c r="AE36" s="682"/>
      <c r="AF36" s="682"/>
      <c r="AG36" s="682"/>
      <c r="AH36" s="682"/>
      <c r="AI36" s="682"/>
      <c r="AJ36" s="682"/>
      <c r="AK36" s="682"/>
      <c r="AL36" s="682"/>
      <c r="AM36" s="682"/>
      <c r="AN36" s="682"/>
    </row>
    <row r="37" spans="1:40" s="632" customFormat="1">
      <c r="A37" s="679">
        <f t="shared" si="3"/>
        <v>25</v>
      </c>
      <c r="D37" s="715" t="s">
        <v>1635</v>
      </c>
      <c r="K37" s="1005">
        <f>AVERAGE(K24:K36)</f>
        <v>634262057.48219848</v>
      </c>
      <c r="M37" s="716"/>
      <c r="N37" s="716">
        <f>AVERAGE(N24:N36)</f>
        <v>658584612.91659606</v>
      </c>
      <c r="O37" s="716"/>
      <c r="P37" s="716">
        <f>AVERAGE(P24:P36)</f>
        <v>516244.72900000022</v>
      </c>
      <c r="Q37" s="717"/>
      <c r="T37" s="696"/>
      <c r="U37" s="696"/>
    </row>
    <row r="38" spans="1:40">
      <c r="A38" s="678"/>
      <c r="T38" s="630"/>
      <c r="U38" s="630"/>
      <c r="Z38" s="630"/>
    </row>
    <row r="39" spans="1:40">
      <c r="A39" s="678"/>
      <c r="B39" s="632" t="s">
        <v>1989</v>
      </c>
      <c r="G39" s="678"/>
      <c r="K39" s="515"/>
      <c r="M39" s="515"/>
      <c r="N39" s="515"/>
      <c r="O39" s="515"/>
      <c r="P39" s="515"/>
    </row>
    <row r="40" spans="1:40">
      <c r="A40" s="678"/>
      <c r="B40" s="632"/>
      <c r="E40" s="674" t="s">
        <v>363</v>
      </c>
      <c r="F40" s="674" t="s">
        <v>347</v>
      </c>
      <c r="G40" s="674" t="s">
        <v>348</v>
      </c>
      <c r="H40" s="674" t="s">
        <v>349</v>
      </c>
      <c r="I40" s="674" t="s">
        <v>350</v>
      </c>
      <c r="J40" s="674" t="s">
        <v>351</v>
      </c>
      <c r="K40" s="718" t="s">
        <v>352</v>
      </c>
      <c r="L40" s="674" t="s">
        <v>544</v>
      </c>
      <c r="M40" s="718" t="s">
        <v>961</v>
      </c>
      <c r="N40" s="718" t="s">
        <v>974</v>
      </c>
      <c r="O40" s="718" t="s">
        <v>977</v>
      </c>
      <c r="P40" s="718" t="s">
        <v>995</v>
      </c>
    </row>
    <row r="41" spans="1:40" ht="25.5">
      <c r="A41" s="678"/>
      <c r="B41" s="632"/>
      <c r="E41" s="719" t="s">
        <v>2110</v>
      </c>
      <c r="F41" s="719" t="s">
        <v>2111</v>
      </c>
      <c r="G41" s="719" t="s">
        <v>2112</v>
      </c>
      <c r="H41" s="720" t="s">
        <v>1990</v>
      </c>
      <c r="I41" s="720" t="s">
        <v>1990</v>
      </c>
      <c r="J41" s="677" t="s">
        <v>1990</v>
      </c>
      <c r="K41" s="721" t="s">
        <v>1991</v>
      </c>
      <c r="L41" s="722" t="s">
        <v>2113</v>
      </c>
      <c r="M41" s="723" t="s">
        <v>2775</v>
      </c>
      <c r="N41" s="692" t="s">
        <v>1933</v>
      </c>
      <c r="O41" s="692"/>
      <c r="P41" s="723" t="s">
        <v>2114</v>
      </c>
    </row>
    <row r="42" spans="1:40">
      <c r="A42" s="678"/>
      <c r="C42" s="678" t="str">
        <f>C10</f>
        <v>Forecast</v>
      </c>
      <c r="E42" s="678" t="str">
        <f>E10</f>
        <v>Unloaded</v>
      </c>
      <c r="F42" s="678"/>
      <c r="G42" s="678"/>
      <c r="I42" s="679" t="str">
        <f>I10</f>
        <v>AFUDC</v>
      </c>
      <c r="J42" s="679"/>
      <c r="K42" s="679"/>
      <c r="L42" s="679"/>
      <c r="M42" s="679"/>
      <c r="N42" s="679"/>
      <c r="O42" s="678" t="str">
        <f t="shared" ref="O42:P44" si="30">O10</f>
        <v>Unloaded</v>
      </c>
      <c r="P42" s="678" t="str">
        <f t="shared" si="30"/>
        <v>Loaded</v>
      </c>
    </row>
    <row r="43" spans="1:40">
      <c r="A43" s="678"/>
      <c r="B43" s="632"/>
      <c r="C43" s="678" t="str">
        <f>C11</f>
        <v>Period</v>
      </c>
      <c r="E43" s="678" t="str">
        <f>E11</f>
        <v>Total</v>
      </c>
      <c r="F43" s="678" t="str">
        <f t="shared" ref="F43:H44" si="31">F11</f>
        <v>Prior Period</v>
      </c>
      <c r="G43" s="679" t="str">
        <f t="shared" si="31"/>
        <v>Over Heads</v>
      </c>
      <c r="H43" s="679" t="str">
        <f t="shared" si="31"/>
        <v xml:space="preserve">Cost of </v>
      </c>
      <c r="I43" s="679" t="str">
        <f>I11</f>
        <v>Eligible Plant</v>
      </c>
      <c r="J43" s="679"/>
      <c r="K43" s="679" t="str">
        <f>K11</f>
        <v>Incremental</v>
      </c>
      <c r="L43" s="679" t="str">
        <f>L11</f>
        <v>Depreciation</v>
      </c>
      <c r="M43" s="679"/>
      <c r="N43" s="679"/>
      <c r="O43" s="679" t="str">
        <f t="shared" si="30"/>
        <v>Low Voltage</v>
      </c>
      <c r="P43" s="679" t="str">
        <f t="shared" si="30"/>
        <v>Low Voltage</v>
      </c>
    </row>
    <row r="44" spans="1:40">
      <c r="A44" s="680" t="s">
        <v>332</v>
      </c>
      <c r="C44" s="661" t="str">
        <f t="shared" ref="C44:D44" si="32">C12</f>
        <v>Month</v>
      </c>
      <c r="D44" s="661" t="str">
        <f t="shared" si="32"/>
        <v>Year</v>
      </c>
      <c r="E44" s="674" t="str">
        <f>E12</f>
        <v>Plant Adds</v>
      </c>
      <c r="F44" s="674" t="str">
        <f t="shared" si="31"/>
        <v>CWIP Closed</v>
      </c>
      <c r="G44" s="681" t="str">
        <f t="shared" si="31"/>
        <v>Closed to PIS</v>
      </c>
      <c r="H44" s="681" t="str">
        <f t="shared" si="31"/>
        <v>Removal</v>
      </c>
      <c r="I44" s="681" t="str">
        <f>I12</f>
        <v>Additions</v>
      </c>
      <c r="J44" s="681" t="str">
        <f>J12</f>
        <v>AFUDC</v>
      </c>
      <c r="K44" s="681" t="str">
        <f>K12</f>
        <v>Gross Plant</v>
      </c>
      <c r="L44" s="681" t="str">
        <f>L12</f>
        <v>Accrual</v>
      </c>
      <c r="M44" s="681" t="str">
        <f>M12</f>
        <v>Reserve</v>
      </c>
      <c r="N44" s="681" t="str">
        <f>N12</f>
        <v>Net Plant</v>
      </c>
      <c r="O44" s="681" t="str">
        <f t="shared" si="30"/>
        <v>Additions</v>
      </c>
      <c r="P44" s="681" t="str">
        <f t="shared" si="30"/>
        <v>Additions</v>
      </c>
      <c r="T44" s="681"/>
      <c r="U44" s="681"/>
      <c r="V44" s="681"/>
      <c r="W44" s="681"/>
      <c r="X44" s="681"/>
      <c r="Y44" s="681"/>
    </row>
    <row r="45" spans="1:40">
      <c r="A45" s="678">
        <f>A37+1</f>
        <v>26</v>
      </c>
      <c r="C45" s="662" t="s">
        <v>181</v>
      </c>
      <c r="D45" s="964">
        <v>2017</v>
      </c>
      <c r="E45" s="689">
        <f>'10-CWIP'!G55</f>
        <v>1056402.04</v>
      </c>
      <c r="F45" s="689">
        <f>'10-CWIP'!H55</f>
        <v>908846.64999999991</v>
      </c>
      <c r="G45" s="689">
        <f>'10-CWIP'!I55</f>
        <v>11066.654250000007</v>
      </c>
      <c r="H45" s="724">
        <v>0</v>
      </c>
      <c r="I45" s="682">
        <v>0</v>
      </c>
      <c r="J45" s="725">
        <v>0</v>
      </c>
      <c r="K45" s="630">
        <f>0+E45+G45</f>
        <v>1067468.6942499999</v>
      </c>
      <c r="L45" s="630">
        <v>0</v>
      </c>
      <c r="M45" s="630">
        <f>L45- H45</f>
        <v>0</v>
      </c>
      <c r="N45" s="630">
        <f t="shared" ref="N45:N65" si="33">K45-M45</f>
        <v>1067468.6942499999</v>
      </c>
      <c r="O45" s="726">
        <v>0</v>
      </c>
      <c r="P45" s="725">
        <f t="shared" ref="P45:P68" si="34">O45*(1-$E$107)*(1+$E$103+$E$111)</f>
        <v>0</v>
      </c>
      <c r="S45" s="630"/>
      <c r="T45" s="688"/>
      <c r="U45" s="684"/>
      <c r="V45" s="515"/>
      <c r="W45" s="688"/>
      <c r="X45" s="684"/>
      <c r="Y45" s="515"/>
    </row>
    <row r="46" spans="1:40">
      <c r="A46" s="678">
        <f t="shared" ref="A46:A99" si="35">A45+1</f>
        <v>27</v>
      </c>
      <c r="C46" s="665" t="s">
        <v>182</v>
      </c>
      <c r="D46" s="964">
        <v>2017</v>
      </c>
      <c r="E46" s="689">
        <f>'10-CWIP'!G56</f>
        <v>1350043.13</v>
      </c>
      <c r="F46" s="689">
        <f>'10-CWIP'!H56</f>
        <v>0</v>
      </c>
      <c r="G46" s="689">
        <f>'10-CWIP'!I56</f>
        <v>101253.23474999999</v>
      </c>
      <c r="H46" s="724">
        <v>0</v>
      </c>
      <c r="I46" s="682">
        <v>0</v>
      </c>
      <c r="J46" s="725">
        <v>0</v>
      </c>
      <c r="K46" s="630">
        <f>K45+E46+G46</f>
        <v>2518765.0589999994</v>
      </c>
      <c r="L46" s="630">
        <f t="shared" ref="L46:L68" si="36">K45*$E$133/12</f>
        <v>2431.9977911623246</v>
      </c>
      <c r="M46" s="630">
        <f>(M45+L46)-H46</f>
        <v>2431.9977911623246</v>
      </c>
      <c r="N46" s="630">
        <f t="shared" si="33"/>
        <v>2516333.0612088372</v>
      </c>
      <c r="O46" s="726">
        <v>0</v>
      </c>
      <c r="P46" s="725">
        <f t="shared" si="34"/>
        <v>0</v>
      </c>
      <c r="S46" s="630"/>
      <c r="T46" s="688"/>
      <c r="U46" s="684"/>
      <c r="V46" s="515"/>
      <c r="W46" s="688"/>
      <c r="X46" s="684"/>
      <c r="Y46" s="515"/>
    </row>
    <row r="47" spans="1:40">
      <c r="A47" s="678">
        <f t="shared" si="35"/>
        <v>28</v>
      </c>
      <c r="C47" s="665" t="s">
        <v>195</v>
      </c>
      <c r="D47" s="964">
        <v>2017</v>
      </c>
      <c r="E47" s="689">
        <f>'10-CWIP'!G57</f>
        <v>1328767.6400000004</v>
      </c>
      <c r="F47" s="689">
        <f>'10-CWIP'!H57</f>
        <v>0</v>
      </c>
      <c r="G47" s="689">
        <f>'10-CWIP'!I57</f>
        <v>99657.573000000033</v>
      </c>
      <c r="H47" s="724">
        <v>0</v>
      </c>
      <c r="I47" s="682">
        <v>0</v>
      </c>
      <c r="J47" s="725">
        <v>0</v>
      </c>
      <c r="K47" s="630">
        <f t="shared" ref="K47:K65" si="37">K46+E47+G47</f>
        <v>3947190.2719999999</v>
      </c>
      <c r="L47" s="630">
        <f t="shared" si="36"/>
        <v>5738.4643624126975</v>
      </c>
      <c r="M47" s="630">
        <f t="shared" ref="M47:M68" si="38">(M46+L47)-H47</f>
        <v>8170.4621535750221</v>
      </c>
      <c r="N47" s="630">
        <f t="shared" si="33"/>
        <v>3939019.809846425</v>
      </c>
      <c r="O47" s="726">
        <v>0</v>
      </c>
      <c r="P47" s="725">
        <f t="shared" si="34"/>
        <v>0</v>
      </c>
      <c r="S47" s="630"/>
      <c r="T47" s="688"/>
      <c r="U47" s="684"/>
      <c r="V47" s="515"/>
      <c r="W47" s="688"/>
      <c r="X47" s="684"/>
      <c r="Y47" s="515"/>
    </row>
    <row r="48" spans="1:40">
      <c r="A48" s="678">
        <f t="shared" si="35"/>
        <v>29</v>
      </c>
      <c r="C48" s="662" t="s">
        <v>183</v>
      </c>
      <c r="D48" s="964">
        <v>2017</v>
      </c>
      <c r="E48" s="689">
        <f>'10-CWIP'!G58</f>
        <v>32542039.549999997</v>
      </c>
      <c r="F48" s="689">
        <f>'10-CWIP'!H58</f>
        <v>26336912.5</v>
      </c>
      <c r="G48" s="689">
        <f>'10-CWIP'!I58</f>
        <v>465384.52874999976</v>
      </c>
      <c r="H48" s="724">
        <v>0</v>
      </c>
      <c r="I48" s="682">
        <v>0</v>
      </c>
      <c r="J48" s="725">
        <v>0</v>
      </c>
      <c r="K48" s="630">
        <f t="shared" si="37"/>
        <v>36954614.350749999</v>
      </c>
      <c r="L48" s="630">
        <f t="shared" si="36"/>
        <v>8992.8239343318946</v>
      </c>
      <c r="M48" s="630">
        <f t="shared" si="38"/>
        <v>17163.286087906916</v>
      </c>
      <c r="N48" s="630">
        <f t="shared" si="33"/>
        <v>36937451.064662091</v>
      </c>
      <c r="O48" s="726">
        <v>0</v>
      </c>
      <c r="P48" s="725">
        <f t="shared" si="34"/>
        <v>0</v>
      </c>
      <c r="S48" s="630"/>
      <c r="T48" s="688"/>
      <c r="U48" s="684"/>
      <c r="V48" s="515"/>
      <c r="W48" s="688"/>
      <c r="X48" s="684"/>
      <c r="Y48" s="515"/>
    </row>
    <row r="49" spans="1:25">
      <c r="A49" s="678">
        <f t="shared" si="35"/>
        <v>30</v>
      </c>
      <c r="C49" s="665" t="s">
        <v>184</v>
      </c>
      <c r="D49" s="964">
        <v>2017</v>
      </c>
      <c r="E49" s="689">
        <f>'10-CWIP'!G59</f>
        <v>936909.14</v>
      </c>
      <c r="F49" s="689">
        <f>'10-CWIP'!H59</f>
        <v>0</v>
      </c>
      <c r="G49" s="689">
        <f>'10-CWIP'!I59</f>
        <v>70268.185499999992</v>
      </c>
      <c r="H49" s="724">
        <v>0</v>
      </c>
      <c r="I49" s="682">
        <v>0</v>
      </c>
      <c r="J49" s="725">
        <v>0</v>
      </c>
      <c r="K49" s="630">
        <f t="shared" si="37"/>
        <v>37961791.676250003</v>
      </c>
      <c r="L49" s="630">
        <f t="shared" si="36"/>
        <v>84193.139300843279</v>
      </c>
      <c r="M49" s="630">
        <f t="shared" si="38"/>
        <v>101356.4253887502</v>
      </c>
      <c r="N49" s="630">
        <f t="shared" si="33"/>
        <v>37860435.25086125</v>
      </c>
      <c r="O49" s="726">
        <v>0</v>
      </c>
      <c r="P49" s="725">
        <f t="shared" si="34"/>
        <v>0</v>
      </c>
      <c r="S49" s="630"/>
      <c r="T49" s="688"/>
      <c r="U49" s="684"/>
      <c r="V49" s="515"/>
      <c r="W49" s="688"/>
      <c r="X49" s="684"/>
      <c r="Y49" s="515"/>
    </row>
    <row r="50" spans="1:25">
      <c r="A50" s="678">
        <f t="shared" si="35"/>
        <v>31</v>
      </c>
      <c r="C50" s="665" t="s">
        <v>185</v>
      </c>
      <c r="D50" s="964">
        <v>2017</v>
      </c>
      <c r="E50" s="689">
        <f>'10-CWIP'!G60</f>
        <v>23124445.829999998</v>
      </c>
      <c r="F50" s="689">
        <f>'10-CWIP'!H60</f>
        <v>14613775.410000002</v>
      </c>
      <c r="G50" s="689">
        <f>'10-CWIP'!I60</f>
        <v>638300.28149999981</v>
      </c>
      <c r="H50" s="724">
        <v>0</v>
      </c>
      <c r="I50" s="682">
        <v>0</v>
      </c>
      <c r="J50" s="725">
        <v>0</v>
      </c>
      <c r="K50" s="630">
        <f t="shared" si="37"/>
        <v>61724537.787749998</v>
      </c>
      <c r="L50" s="630">
        <f t="shared" si="36"/>
        <v>86487.776177895459</v>
      </c>
      <c r="M50" s="630">
        <f t="shared" si="38"/>
        <v>187844.20156664564</v>
      </c>
      <c r="N50" s="630">
        <f t="shared" si="33"/>
        <v>61536693.586183354</v>
      </c>
      <c r="O50" s="726">
        <v>0</v>
      </c>
      <c r="P50" s="725">
        <f t="shared" si="34"/>
        <v>0</v>
      </c>
      <c r="S50" s="630"/>
      <c r="T50" s="688"/>
      <c r="U50" s="684"/>
      <c r="V50" s="515"/>
      <c r="W50" s="688"/>
      <c r="X50" s="684"/>
      <c r="Y50" s="515"/>
    </row>
    <row r="51" spans="1:25">
      <c r="A51" s="678">
        <f t="shared" si="35"/>
        <v>32</v>
      </c>
      <c r="C51" s="662" t="s">
        <v>186</v>
      </c>
      <c r="D51" s="964">
        <v>2017</v>
      </c>
      <c r="E51" s="689">
        <f>'10-CWIP'!G61</f>
        <v>2155272.4033333333</v>
      </c>
      <c r="F51" s="689">
        <f>'10-CWIP'!H61</f>
        <v>0</v>
      </c>
      <c r="G51" s="689">
        <f>'10-CWIP'!I61</f>
        <v>161645.43025</v>
      </c>
      <c r="H51" s="724">
        <v>0</v>
      </c>
      <c r="I51" s="682">
        <v>0</v>
      </c>
      <c r="J51" s="725">
        <v>0</v>
      </c>
      <c r="K51" s="630">
        <f t="shared" si="37"/>
        <v>64041455.621333331</v>
      </c>
      <c r="L51" s="630">
        <f t="shared" si="36"/>
        <v>140626.08146629817</v>
      </c>
      <c r="M51" s="630">
        <f t="shared" si="38"/>
        <v>328470.28303294384</v>
      </c>
      <c r="N51" s="630">
        <f t="shared" si="33"/>
        <v>63712985.338300385</v>
      </c>
      <c r="O51" s="726">
        <v>0</v>
      </c>
      <c r="P51" s="725">
        <f t="shared" si="34"/>
        <v>0</v>
      </c>
      <c r="S51" s="630"/>
      <c r="T51" s="688"/>
      <c r="U51" s="684"/>
      <c r="V51" s="515"/>
      <c r="W51" s="688"/>
      <c r="X51" s="684"/>
      <c r="Y51" s="515"/>
    </row>
    <row r="52" spans="1:25">
      <c r="A52" s="678">
        <f t="shared" si="35"/>
        <v>33</v>
      </c>
      <c r="C52" s="665" t="s">
        <v>187</v>
      </c>
      <c r="D52" s="964">
        <v>2017</v>
      </c>
      <c r="E52" s="689">
        <f>'10-CWIP'!G62</f>
        <v>1484272.4033333336</v>
      </c>
      <c r="F52" s="689">
        <f>'10-CWIP'!H62</f>
        <v>0</v>
      </c>
      <c r="G52" s="689">
        <f>'10-CWIP'!I62</f>
        <v>111320.43025</v>
      </c>
      <c r="H52" s="724">
        <v>0</v>
      </c>
      <c r="I52" s="682">
        <v>0</v>
      </c>
      <c r="J52" s="725">
        <v>0</v>
      </c>
      <c r="K52" s="630">
        <f t="shared" si="37"/>
        <v>65637048.454916663</v>
      </c>
      <c r="L52" s="630">
        <f t="shared" si="36"/>
        <v>145904.6803459948</v>
      </c>
      <c r="M52" s="630">
        <f t="shared" si="38"/>
        <v>474374.96337893861</v>
      </c>
      <c r="N52" s="630">
        <f t="shared" si="33"/>
        <v>65162673.491537727</v>
      </c>
      <c r="O52" s="726">
        <v>0</v>
      </c>
      <c r="P52" s="725">
        <f t="shared" si="34"/>
        <v>0</v>
      </c>
      <c r="S52" s="630"/>
      <c r="T52" s="688"/>
      <c r="U52" s="684"/>
      <c r="V52" s="515"/>
      <c r="W52" s="688"/>
      <c r="X52" s="684"/>
      <c r="Y52" s="515"/>
    </row>
    <row r="53" spans="1:25">
      <c r="A53" s="678">
        <f t="shared" si="35"/>
        <v>34</v>
      </c>
      <c r="C53" s="665" t="s">
        <v>188</v>
      </c>
      <c r="D53" s="964">
        <v>2017</v>
      </c>
      <c r="E53" s="689">
        <f>'10-CWIP'!G63</f>
        <v>1798475.5233333337</v>
      </c>
      <c r="F53" s="689">
        <f>'10-CWIP'!H63</f>
        <v>0</v>
      </c>
      <c r="G53" s="689">
        <f>'10-CWIP'!I63</f>
        <v>134885.66425</v>
      </c>
      <c r="H53" s="724">
        <v>0</v>
      </c>
      <c r="I53" s="682">
        <v>0</v>
      </c>
      <c r="J53" s="725">
        <v>0</v>
      </c>
      <c r="K53" s="630">
        <f t="shared" si="37"/>
        <v>67570409.642499998</v>
      </c>
      <c r="L53" s="630">
        <f t="shared" si="36"/>
        <v>149539.89538112565</v>
      </c>
      <c r="M53" s="630">
        <f t="shared" si="38"/>
        <v>623914.85876006423</v>
      </c>
      <c r="N53" s="630">
        <f t="shared" si="33"/>
        <v>66946494.783739932</v>
      </c>
      <c r="O53" s="726">
        <v>0</v>
      </c>
      <c r="P53" s="725">
        <f t="shared" si="34"/>
        <v>0</v>
      </c>
      <c r="S53" s="630"/>
      <c r="T53" s="688"/>
      <c r="U53" s="684"/>
      <c r="V53" s="515"/>
      <c r="W53" s="688"/>
      <c r="X53" s="684"/>
      <c r="Y53" s="515"/>
    </row>
    <row r="54" spans="1:25">
      <c r="A54" s="678">
        <f t="shared" si="35"/>
        <v>35</v>
      </c>
      <c r="C54" s="662" t="s">
        <v>189</v>
      </c>
      <c r="D54" s="964">
        <v>2017</v>
      </c>
      <c r="E54" s="689">
        <f>'10-CWIP'!G64</f>
        <v>1172272.4033333336</v>
      </c>
      <c r="F54" s="689">
        <f>'10-CWIP'!H64</f>
        <v>0</v>
      </c>
      <c r="G54" s="689">
        <f>'10-CWIP'!I64</f>
        <v>87920.430250000005</v>
      </c>
      <c r="H54" s="724">
        <v>0</v>
      </c>
      <c r="I54" s="682">
        <v>0</v>
      </c>
      <c r="J54" s="725">
        <v>0</v>
      </c>
      <c r="K54" s="630">
        <f t="shared" si="37"/>
        <v>68830602.476083338</v>
      </c>
      <c r="L54" s="630">
        <f t="shared" si="36"/>
        <v>153944.64295175599</v>
      </c>
      <c r="M54" s="630">
        <f t="shared" si="38"/>
        <v>777859.50171182025</v>
      </c>
      <c r="N54" s="630">
        <f t="shared" si="33"/>
        <v>68052742.974371523</v>
      </c>
      <c r="O54" s="726">
        <v>0</v>
      </c>
      <c r="P54" s="725">
        <f t="shared" si="34"/>
        <v>0</v>
      </c>
      <c r="S54" s="630"/>
      <c r="T54" s="688"/>
      <c r="U54" s="684"/>
      <c r="V54" s="515"/>
      <c r="W54" s="688"/>
      <c r="X54" s="684"/>
      <c r="Y54" s="515"/>
    </row>
    <row r="55" spans="1:25">
      <c r="A55" s="678">
        <f t="shared" si="35"/>
        <v>36</v>
      </c>
      <c r="C55" s="662" t="s">
        <v>190</v>
      </c>
      <c r="D55" s="964">
        <v>2017</v>
      </c>
      <c r="E55" s="689">
        <f>'10-CWIP'!G65</f>
        <v>853384.24333333329</v>
      </c>
      <c r="F55" s="689">
        <f>'10-CWIP'!H65</f>
        <v>0</v>
      </c>
      <c r="G55" s="689">
        <f>'10-CWIP'!I65</f>
        <v>64003.818249999997</v>
      </c>
      <c r="H55" s="724">
        <v>0</v>
      </c>
      <c r="I55" s="682">
        <v>0</v>
      </c>
      <c r="J55" s="725">
        <v>0</v>
      </c>
      <c r="K55" s="630">
        <f t="shared" si="37"/>
        <v>69747990.537666678</v>
      </c>
      <c r="L55" s="630">
        <f t="shared" si="36"/>
        <v>156815.72123650755</v>
      </c>
      <c r="M55" s="630">
        <f t="shared" si="38"/>
        <v>934675.22294832778</v>
      </c>
      <c r="N55" s="630">
        <f t="shared" si="33"/>
        <v>68813315.314718351</v>
      </c>
      <c r="O55" s="726">
        <v>0</v>
      </c>
      <c r="P55" s="725">
        <f t="shared" si="34"/>
        <v>0</v>
      </c>
      <c r="S55" s="630"/>
      <c r="T55" s="688"/>
      <c r="U55" s="684"/>
      <c r="V55" s="515"/>
      <c r="W55" s="688"/>
      <c r="X55" s="684"/>
      <c r="Y55" s="515"/>
    </row>
    <row r="56" spans="1:25">
      <c r="A56" s="678">
        <f t="shared" si="35"/>
        <v>37</v>
      </c>
      <c r="C56" s="662" t="s">
        <v>180</v>
      </c>
      <c r="D56" s="964">
        <v>2017</v>
      </c>
      <c r="E56" s="689">
        <f>'10-CWIP'!G66</f>
        <v>4713015.3133333335</v>
      </c>
      <c r="F56" s="689">
        <f>'10-CWIP'!H66</f>
        <v>0</v>
      </c>
      <c r="G56" s="689">
        <f>'10-CWIP'!I66</f>
        <v>353476.14849999995</v>
      </c>
      <c r="H56" s="724">
        <v>0</v>
      </c>
      <c r="I56" s="682">
        <v>0</v>
      </c>
      <c r="J56" s="725">
        <v>0</v>
      </c>
      <c r="K56" s="630">
        <f t="shared" si="37"/>
        <v>74814481.999500006</v>
      </c>
      <c r="L56" s="630">
        <f t="shared" si="36"/>
        <v>158905.79259075641</v>
      </c>
      <c r="M56" s="630">
        <f t="shared" si="38"/>
        <v>1093581.0155390841</v>
      </c>
      <c r="N56" s="630">
        <f t="shared" si="33"/>
        <v>73720900.983960927</v>
      </c>
      <c r="O56" s="726">
        <v>0</v>
      </c>
      <c r="P56" s="725">
        <f t="shared" si="34"/>
        <v>0</v>
      </c>
      <c r="S56" s="630"/>
      <c r="T56" s="688"/>
      <c r="U56" s="684"/>
      <c r="V56" s="515"/>
      <c r="W56" s="688"/>
      <c r="X56" s="684"/>
      <c r="Y56" s="515"/>
    </row>
    <row r="57" spans="1:25">
      <c r="A57" s="678">
        <f t="shared" si="35"/>
        <v>38</v>
      </c>
      <c r="C57" s="662" t="s">
        <v>181</v>
      </c>
      <c r="D57" s="964">
        <v>2018</v>
      </c>
      <c r="E57" s="689">
        <f>'10-CWIP'!G67</f>
        <v>0</v>
      </c>
      <c r="F57" s="689">
        <f>'10-CWIP'!H67</f>
        <v>0</v>
      </c>
      <c r="G57" s="689">
        <f>'10-CWIP'!I67</f>
        <v>0</v>
      </c>
      <c r="H57" s="724">
        <v>0</v>
      </c>
      <c r="I57" s="682">
        <v>0</v>
      </c>
      <c r="J57" s="725">
        <v>0</v>
      </c>
      <c r="K57" s="630">
        <f t="shared" si="37"/>
        <v>74814481.999500006</v>
      </c>
      <c r="L57" s="630">
        <f t="shared" si="36"/>
        <v>170448.70350748228</v>
      </c>
      <c r="M57" s="630">
        <f t="shared" si="38"/>
        <v>1264029.7190465664</v>
      </c>
      <c r="N57" s="630">
        <f t="shared" si="33"/>
        <v>73550452.280453444</v>
      </c>
      <c r="O57" s="726">
        <v>0</v>
      </c>
      <c r="P57" s="725">
        <f t="shared" si="34"/>
        <v>0</v>
      </c>
      <c r="S57" s="630"/>
      <c r="T57" s="688"/>
      <c r="U57" s="684"/>
      <c r="V57" s="515"/>
      <c r="W57" s="688"/>
      <c r="X57" s="684"/>
      <c r="Y57" s="515"/>
    </row>
    <row r="58" spans="1:25">
      <c r="A58" s="678">
        <f t="shared" si="35"/>
        <v>39</v>
      </c>
      <c r="C58" s="665" t="s">
        <v>182</v>
      </c>
      <c r="D58" s="964">
        <v>2018</v>
      </c>
      <c r="E58" s="689">
        <f>'10-CWIP'!G68</f>
        <v>0</v>
      </c>
      <c r="F58" s="689">
        <f>'10-CWIP'!H68</f>
        <v>0</v>
      </c>
      <c r="G58" s="689">
        <f>'10-CWIP'!I68</f>
        <v>0</v>
      </c>
      <c r="H58" s="724">
        <v>0</v>
      </c>
      <c r="I58" s="682">
        <v>0</v>
      </c>
      <c r="J58" s="725">
        <v>0</v>
      </c>
      <c r="K58" s="630">
        <f t="shared" si="37"/>
        <v>74814481.999500006</v>
      </c>
      <c r="L58" s="630">
        <f t="shared" si="36"/>
        <v>170448.70350748228</v>
      </c>
      <c r="M58" s="630">
        <f t="shared" si="38"/>
        <v>1434478.4225540487</v>
      </c>
      <c r="N58" s="630">
        <f t="shared" si="33"/>
        <v>73380003.576945961</v>
      </c>
      <c r="O58" s="726">
        <v>0</v>
      </c>
      <c r="P58" s="725">
        <f t="shared" si="34"/>
        <v>0</v>
      </c>
      <c r="S58" s="630"/>
      <c r="T58" s="688"/>
      <c r="U58" s="684"/>
      <c r="V58" s="515"/>
      <c r="W58" s="688"/>
      <c r="X58" s="684"/>
      <c r="Y58" s="515"/>
    </row>
    <row r="59" spans="1:25">
      <c r="A59" s="678">
        <f t="shared" si="35"/>
        <v>40</v>
      </c>
      <c r="C59" s="665" t="s">
        <v>195</v>
      </c>
      <c r="D59" s="964">
        <v>2018</v>
      </c>
      <c r="E59" s="689">
        <f>'10-CWIP'!G69</f>
        <v>0</v>
      </c>
      <c r="F59" s="689">
        <f>'10-CWIP'!H69</f>
        <v>0</v>
      </c>
      <c r="G59" s="689">
        <f>'10-CWIP'!I69</f>
        <v>0</v>
      </c>
      <c r="H59" s="724">
        <v>0</v>
      </c>
      <c r="I59" s="682">
        <v>0</v>
      </c>
      <c r="J59" s="725">
        <v>0</v>
      </c>
      <c r="K59" s="630">
        <f t="shared" si="37"/>
        <v>74814481.999500006</v>
      </c>
      <c r="L59" s="630">
        <f t="shared" si="36"/>
        <v>170448.70350748228</v>
      </c>
      <c r="M59" s="630">
        <f t="shared" si="38"/>
        <v>1604927.126061531</v>
      </c>
      <c r="N59" s="630">
        <f t="shared" si="33"/>
        <v>73209554.873438478</v>
      </c>
      <c r="O59" s="726">
        <v>0</v>
      </c>
      <c r="P59" s="725">
        <f t="shared" si="34"/>
        <v>0</v>
      </c>
      <c r="S59" s="630"/>
      <c r="T59" s="688"/>
      <c r="U59" s="684"/>
      <c r="V59" s="515"/>
      <c r="W59" s="688"/>
      <c r="X59" s="684"/>
      <c r="Y59" s="515"/>
    </row>
    <row r="60" spans="1:25">
      <c r="A60" s="678">
        <f t="shared" si="35"/>
        <v>41</v>
      </c>
      <c r="C60" s="662" t="s">
        <v>183</v>
      </c>
      <c r="D60" s="964">
        <v>2018</v>
      </c>
      <c r="E60" s="689">
        <f>'10-CWIP'!G70</f>
        <v>0</v>
      </c>
      <c r="F60" s="689">
        <f>'10-CWIP'!H70</f>
        <v>0</v>
      </c>
      <c r="G60" s="689">
        <f>'10-CWIP'!I70</f>
        <v>0</v>
      </c>
      <c r="H60" s="724">
        <v>0</v>
      </c>
      <c r="I60" s="682">
        <v>0</v>
      </c>
      <c r="J60" s="725">
        <v>0</v>
      </c>
      <c r="K60" s="630">
        <f t="shared" si="37"/>
        <v>74814481.999500006</v>
      </c>
      <c r="L60" s="630">
        <f t="shared" si="36"/>
        <v>170448.70350748228</v>
      </c>
      <c r="M60" s="630">
        <f t="shared" si="38"/>
        <v>1775375.8295690133</v>
      </c>
      <c r="N60" s="630">
        <f t="shared" si="33"/>
        <v>73039106.169930995</v>
      </c>
      <c r="O60" s="726">
        <v>0</v>
      </c>
      <c r="P60" s="725">
        <f t="shared" si="34"/>
        <v>0</v>
      </c>
      <c r="S60" s="630"/>
      <c r="T60" s="688"/>
      <c r="U60" s="684"/>
      <c r="V60" s="515"/>
      <c r="W60" s="688"/>
      <c r="X60" s="684"/>
      <c r="Y60" s="515"/>
    </row>
    <row r="61" spans="1:25">
      <c r="A61" s="678">
        <f t="shared" si="35"/>
        <v>42</v>
      </c>
      <c r="C61" s="665" t="s">
        <v>184</v>
      </c>
      <c r="D61" s="964">
        <v>2018</v>
      </c>
      <c r="E61" s="689">
        <f>'10-CWIP'!G71</f>
        <v>0</v>
      </c>
      <c r="F61" s="689">
        <f>'10-CWIP'!H71</f>
        <v>0</v>
      </c>
      <c r="G61" s="689">
        <f>'10-CWIP'!I71</f>
        <v>0</v>
      </c>
      <c r="H61" s="724">
        <v>0</v>
      </c>
      <c r="I61" s="682">
        <v>0</v>
      </c>
      <c r="J61" s="725">
        <v>0</v>
      </c>
      <c r="K61" s="630">
        <f t="shared" si="37"/>
        <v>74814481.999500006</v>
      </c>
      <c r="L61" s="630">
        <f t="shared" si="36"/>
        <v>170448.70350748228</v>
      </c>
      <c r="M61" s="630">
        <f t="shared" si="38"/>
        <v>1945824.5330764956</v>
      </c>
      <c r="N61" s="630">
        <f t="shared" si="33"/>
        <v>72868657.466423512</v>
      </c>
      <c r="O61" s="726">
        <v>0</v>
      </c>
      <c r="P61" s="725">
        <f t="shared" si="34"/>
        <v>0</v>
      </c>
      <c r="S61" s="630"/>
      <c r="T61" s="688"/>
      <c r="U61" s="684"/>
      <c r="V61" s="515"/>
      <c r="W61" s="688"/>
      <c r="X61" s="684"/>
      <c r="Y61" s="515"/>
    </row>
    <row r="62" spans="1:25">
      <c r="A62" s="678">
        <f t="shared" si="35"/>
        <v>43</v>
      </c>
      <c r="C62" s="665" t="s">
        <v>185</v>
      </c>
      <c r="D62" s="964">
        <v>2018</v>
      </c>
      <c r="E62" s="689">
        <f>'10-CWIP'!G72</f>
        <v>0</v>
      </c>
      <c r="F62" s="689">
        <f>'10-CWIP'!H72</f>
        <v>0</v>
      </c>
      <c r="G62" s="689">
        <f>'10-CWIP'!I72</f>
        <v>0</v>
      </c>
      <c r="H62" s="724">
        <v>0</v>
      </c>
      <c r="I62" s="682">
        <v>0</v>
      </c>
      <c r="J62" s="725">
        <v>0</v>
      </c>
      <c r="K62" s="630">
        <f t="shared" si="37"/>
        <v>74814481.999500006</v>
      </c>
      <c r="L62" s="630">
        <f t="shared" si="36"/>
        <v>170448.70350748228</v>
      </c>
      <c r="M62" s="630">
        <f t="shared" si="38"/>
        <v>2116273.2365839779</v>
      </c>
      <c r="N62" s="630">
        <f t="shared" si="33"/>
        <v>72698208.762916028</v>
      </c>
      <c r="O62" s="726">
        <v>0</v>
      </c>
      <c r="P62" s="725">
        <f t="shared" si="34"/>
        <v>0</v>
      </c>
      <c r="S62" s="630"/>
      <c r="T62" s="688"/>
      <c r="U62" s="684"/>
      <c r="V62" s="515"/>
      <c r="W62" s="688"/>
      <c r="X62" s="684"/>
      <c r="Y62" s="515"/>
    </row>
    <row r="63" spans="1:25">
      <c r="A63" s="678">
        <f t="shared" si="35"/>
        <v>44</v>
      </c>
      <c r="C63" s="662" t="s">
        <v>186</v>
      </c>
      <c r="D63" s="964">
        <v>2018</v>
      </c>
      <c r="E63" s="689">
        <f>'10-CWIP'!G73</f>
        <v>0</v>
      </c>
      <c r="F63" s="689">
        <f>'10-CWIP'!H73</f>
        <v>0</v>
      </c>
      <c r="G63" s="689">
        <f>'10-CWIP'!I73</f>
        <v>0</v>
      </c>
      <c r="H63" s="724">
        <v>0</v>
      </c>
      <c r="I63" s="682">
        <v>0</v>
      </c>
      <c r="J63" s="725">
        <v>0</v>
      </c>
      <c r="K63" s="630">
        <f t="shared" si="37"/>
        <v>74814481.999500006</v>
      </c>
      <c r="L63" s="630">
        <f t="shared" si="36"/>
        <v>170448.70350748228</v>
      </c>
      <c r="M63" s="630">
        <f t="shared" si="38"/>
        <v>2286721.94009146</v>
      </c>
      <c r="N63" s="630">
        <f t="shared" si="33"/>
        <v>72527760.059408545</v>
      </c>
      <c r="O63" s="726">
        <v>0</v>
      </c>
      <c r="P63" s="725">
        <f t="shared" si="34"/>
        <v>0</v>
      </c>
      <c r="S63" s="630"/>
      <c r="T63" s="688"/>
      <c r="U63" s="684"/>
      <c r="V63" s="515"/>
      <c r="W63" s="688"/>
      <c r="X63" s="684"/>
      <c r="Y63" s="515"/>
    </row>
    <row r="64" spans="1:25">
      <c r="A64" s="678">
        <f t="shared" si="35"/>
        <v>45</v>
      </c>
      <c r="C64" s="665" t="s">
        <v>187</v>
      </c>
      <c r="D64" s="964">
        <v>2018</v>
      </c>
      <c r="E64" s="689">
        <f>'10-CWIP'!G74</f>
        <v>0</v>
      </c>
      <c r="F64" s="689">
        <f>'10-CWIP'!H74</f>
        <v>0</v>
      </c>
      <c r="G64" s="689">
        <f>'10-CWIP'!I74</f>
        <v>0</v>
      </c>
      <c r="H64" s="724">
        <v>0</v>
      </c>
      <c r="I64" s="682">
        <v>0</v>
      </c>
      <c r="J64" s="725">
        <v>0</v>
      </c>
      <c r="K64" s="630">
        <f t="shared" si="37"/>
        <v>74814481.999500006</v>
      </c>
      <c r="L64" s="630">
        <f t="shared" si="36"/>
        <v>170448.70350748228</v>
      </c>
      <c r="M64" s="630">
        <f t="shared" si="38"/>
        <v>2457170.6435989421</v>
      </c>
      <c r="N64" s="630">
        <f t="shared" si="33"/>
        <v>72357311.355901062</v>
      </c>
      <c r="O64" s="726">
        <v>0</v>
      </c>
      <c r="P64" s="725">
        <f t="shared" si="34"/>
        <v>0</v>
      </c>
      <c r="S64" s="630"/>
      <c r="T64" s="688"/>
      <c r="U64" s="684"/>
      <c r="V64" s="515"/>
      <c r="W64" s="688"/>
      <c r="X64" s="684"/>
      <c r="Y64" s="515"/>
    </row>
    <row r="65" spans="1:25">
      <c r="A65" s="678">
        <f t="shared" si="35"/>
        <v>46</v>
      </c>
      <c r="C65" s="665" t="s">
        <v>188</v>
      </c>
      <c r="D65" s="964">
        <v>2018</v>
      </c>
      <c r="E65" s="689">
        <f>'10-CWIP'!G75</f>
        <v>0</v>
      </c>
      <c r="F65" s="689">
        <f>'10-CWIP'!H75</f>
        <v>0</v>
      </c>
      <c r="G65" s="689">
        <f>'10-CWIP'!I75</f>
        <v>0</v>
      </c>
      <c r="H65" s="724">
        <v>0</v>
      </c>
      <c r="I65" s="682">
        <v>0</v>
      </c>
      <c r="J65" s="725">
        <v>0</v>
      </c>
      <c r="K65" s="630">
        <f t="shared" si="37"/>
        <v>74814481.999500006</v>
      </c>
      <c r="L65" s="630">
        <f t="shared" si="36"/>
        <v>170448.70350748228</v>
      </c>
      <c r="M65" s="630">
        <f t="shared" si="38"/>
        <v>2627619.3471064242</v>
      </c>
      <c r="N65" s="630">
        <f t="shared" si="33"/>
        <v>72186862.652393579</v>
      </c>
      <c r="O65" s="726">
        <v>0</v>
      </c>
      <c r="P65" s="725">
        <f t="shared" si="34"/>
        <v>0</v>
      </c>
      <c r="S65" s="630"/>
      <c r="T65" s="688"/>
      <c r="U65" s="684"/>
      <c r="V65" s="515"/>
      <c r="W65" s="688"/>
      <c r="X65" s="684"/>
      <c r="Y65" s="515"/>
    </row>
    <row r="66" spans="1:25">
      <c r="A66" s="679">
        <f t="shared" si="35"/>
        <v>47</v>
      </c>
      <c r="C66" s="665" t="s">
        <v>191</v>
      </c>
      <c r="D66" s="964">
        <v>2018</v>
      </c>
      <c r="E66" s="689">
        <f>'10-CWIP'!G76</f>
        <v>0</v>
      </c>
      <c r="F66" s="689">
        <f>'10-CWIP'!H76</f>
        <v>0</v>
      </c>
      <c r="G66" s="689">
        <f>'10-CWIP'!I76</f>
        <v>0</v>
      </c>
      <c r="H66" s="724">
        <v>0</v>
      </c>
      <c r="I66" s="682">
        <v>0</v>
      </c>
      <c r="J66" s="725">
        <v>0</v>
      </c>
      <c r="K66" s="630">
        <f t="shared" ref="K66:K68" si="39">K65+E66+G66</f>
        <v>74814481.999500006</v>
      </c>
      <c r="L66" s="630">
        <f t="shared" si="36"/>
        <v>170448.70350748228</v>
      </c>
      <c r="M66" s="630">
        <f t="shared" si="38"/>
        <v>2798068.0506139062</v>
      </c>
      <c r="N66" s="630">
        <f t="shared" ref="N66:N68" si="40">K66-M66</f>
        <v>72016413.948886096</v>
      </c>
      <c r="O66" s="726">
        <v>0</v>
      </c>
      <c r="P66" s="725">
        <f t="shared" si="34"/>
        <v>0</v>
      </c>
      <c r="S66" s="630"/>
      <c r="T66" s="688"/>
      <c r="U66" s="684"/>
      <c r="V66" s="515"/>
      <c r="W66" s="688"/>
      <c r="X66" s="684"/>
      <c r="Y66" s="515"/>
    </row>
    <row r="67" spans="1:25">
      <c r="A67" s="679">
        <f t="shared" si="35"/>
        <v>48</v>
      </c>
      <c r="C67" s="665" t="s">
        <v>190</v>
      </c>
      <c r="D67" s="964">
        <v>2018</v>
      </c>
      <c r="E67" s="689">
        <f>'10-CWIP'!G77</f>
        <v>0</v>
      </c>
      <c r="F67" s="689">
        <f>'10-CWIP'!H77</f>
        <v>0</v>
      </c>
      <c r="G67" s="689">
        <f>'10-CWIP'!I77</f>
        <v>0</v>
      </c>
      <c r="H67" s="724">
        <v>0</v>
      </c>
      <c r="I67" s="682">
        <v>0</v>
      </c>
      <c r="J67" s="725">
        <v>0</v>
      </c>
      <c r="K67" s="630">
        <f t="shared" si="39"/>
        <v>74814481.999500006</v>
      </c>
      <c r="L67" s="630">
        <f t="shared" si="36"/>
        <v>170448.70350748228</v>
      </c>
      <c r="M67" s="630">
        <f t="shared" si="38"/>
        <v>2968516.7541213883</v>
      </c>
      <c r="N67" s="630">
        <f t="shared" si="40"/>
        <v>71845965.245378613</v>
      </c>
      <c r="O67" s="726">
        <v>0</v>
      </c>
      <c r="P67" s="725">
        <f t="shared" si="34"/>
        <v>0</v>
      </c>
      <c r="S67" s="630"/>
      <c r="T67" s="688"/>
      <c r="U67" s="684"/>
      <c r="V67" s="515"/>
      <c r="W67" s="688"/>
      <c r="X67" s="684"/>
      <c r="Y67" s="515"/>
    </row>
    <row r="68" spans="1:25">
      <c r="A68" s="679">
        <f t="shared" si="35"/>
        <v>49</v>
      </c>
      <c r="C68" s="665" t="s">
        <v>180</v>
      </c>
      <c r="D68" s="964">
        <v>2018</v>
      </c>
      <c r="E68" s="689">
        <f>'10-CWIP'!G78</f>
        <v>0</v>
      </c>
      <c r="F68" s="689">
        <f>'10-CWIP'!H78</f>
        <v>0</v>
      </c>
      <c r="G68" s="689">
        <f>'10-CWIP'!I78</f>
        <v>0</v>
      </c>
      <c r="H68" s="724">
        <v>0</v>
      </c>
      <c r="I68" s="682">
        <v>0</v>
      </c>
      <c r="J68" s="725">
        <v>0</v>
      </c>
      <c r="K68" s="630">
        <f t="shared" si="39"/>
        <v>74814481.999500006</v>
      </c>
      <c r="L68" s="630">
        <f t="shared" si="36"/>
        <v>170448.70350748228</v>
      </c>
      <c r="M68" s="630">
        <f t="shared" si="38"/>
        <v>3138965.4576288704</v>
      </c>
      <c r="N68" s="630">
        <f t="shared" si="40"/>
        <v>71675516.54187113</v>
      </c>
      <c r="O68" s="726">
        <v>0</v>
      </c>
      <c r="P68" s="725">
        <f t="shared" si="34"/>
        <v>0</v>
      </c>
      <c r="S68" s="630"/>
      <c r="T68" s="688"/>
      <c r="U68" s="684"/>
      <c r="V68" s="515"/>
      <c r="W68" s="688"/>
      <c r="X68" s="684"/>
      <c r="Y68" s="515"/>
    </row>
    <row r="69" spans="1:25">
      <c r="A69" s="678"/>
      <c r="D69" s="687"/>
      <c r="G69" s="630"/>
      <c r="M69" s="627"/>
      <c r="N69" s="682"/>
    </row>
    <row r="70" spans="1:25">
      <c r="A70" s="678"/>
      <c r="B70" s="632" t="s">
        <v>1992</v>
      </c>
      <c r="D70" s="687"/>
      <c r="G70" s="727"/>
      <c r="M70" s="627"/>
      <c r="N70" s="682"/>
    </row>
    <row r="71" spans="1:25">
      <c r="A71" s="678"/>
      <c r="E71" s="673" t="s">
        <v>363</v>
      </c>
      <c r="F71" s="673" t="s">
        <v>347</v>
      </c>
      <c r="G71" s="673" t="s">
        <v>348</v>
      </c>
      <c r="H71" s="673" t="s">
        <v>349</v>
      </c>
      <c r="I71" s="673" t="s">
        <v>350</v>
      </c>
      <c r="J71" s="673" t="s">
        <v>351</v>
      </c>
      <c r="K71" s="673" t="s">
        <v>352</v>
      </c>
      <c r="L71" s="673" t="s">
        <v>544</v>
      </c>
      <c r="M71" s="673" t="s">
        <v>961</v>
      </c>
      <c r="N71" s="673" t="s">
        <v>974</v>
      </c>
      <c r="O71" s="673" t="s">
        <v>977</v>
      </c>
      <c r="P71" s="673" t="s">
        <v>995</v>
      </c>
    </row>
    <row r="72" spans="1:25" ht="25.5">
      <c r="A72" s="678"/>
      <c r="E72" s="675"/>
      <c r="F72" s="675"/>
      <c r="G72" s="676" t="str">
        <f>"=(C"&amp;RIGHT(E71)&amp;"-C"&amp;RIGHT(F71)&amp;")*L"&amp;$A$103</f>
        <v>=(C1-C2)*L74</v>
      </c>
      <c r="H72" s="675" t="str">
        <f>"=(C"&amp;RIGHT(E71)&amp;"-C"&amp;RIGHT(F71)&amp;"+C"&amp;RIGHT(G71)&amp;")*L"&amp;$A$107</f>
        <v>=(C1-C2+C3)*L75</v>
      </c>
      <c r="I72" s="675" t="str">
        <f>"=C"&amp;RIGHT(E71)&amp;"-C"&amp;RIGHT(F71)&amp;"+C"&amp;RIGHT(G71)&amp;"-C"&amp;RIGHT(H71)</f>
        <v>=C1-C2+C3-C4</v>
      </c>
      <c r="J72" s="676" t="str">
        <f>"=C"&amp;RIGHT(I71)&amp;"*L"&amp;$A$111</f>
        <v>=C5*L76</v>
      </c>
      <c r="K72" s="721" t="s">
        <v>1993</v>
      </c>
      <c r="L72" s="722" t="s">
        <v>2113</v>
      </c>
      <c r="M72" s="723" t="s">
        <v>2775</v>
      </c>
      <c r="N72" s="675" t="str">
        <f>"=C"&amp;RIGHT(K71)&amp;"-C"&amp;RIGHT(M71)</f>
        <v>=C7-C9</v>
      </c>
      <c r="P72" s="723" t="s">
        <v>2114</v>
      </c>
    </row>
    <row r="73" spans="1:25">
      <c r="A73" s="678"/>
      <c r="C73" s="678" t="str">
        <f>C10</f>
        <v>Forecast</v>
      </c>
      <c r="E73" s="678" t="str">
        <f>E10</f>
        <v>Unloaded</v>
      </c>
      <c r="F73" s="678"/>
      <c r="G73" s="678"/>
      <c r="H73" s="679"/>
      <c r="I73" s="679" t="str">
        <f>I10</f>
        <v>AFUDC</v>
      </c>
      <c r="J73" s="679"/>
      <c r="K73" s="679"/>
      <c r="L73" s="679"/>
      <c r="M73" s="679"/>
      <c r="O73" s="678" t="str">
        <f>O10</f>
        <v>Unloaded</v>
      </c>
      <c r="P73" s="678" t="str">
        <f>P10</f>
        <v>Loaded</v>
      </c>
    </row>
    <row r="74" spans="1:25">
      <c r="A74" s="678"/>
      <c r="C74" s="678" t="str">
        <f>C11</f>
        <v>Period</v>
      </c>
      <c r="E74" s="678" t="str">
        <f>E11</f>
        <v>Total</v>
      </c>
      <c r="F74" s="678" t="str">
        <f t="shared" ref="F74:H75" si="41">F11</f>
        <v>Prior Period</v>
      </c>
      <c r="G74" s="679" t="str">
        <f t="shared" si="41"/>
        <v>Over Heads</v>
      </c>
      <c r="H74" s="679" t="str">
        <f t="shared" si="41"/>
        <v xml:space="preserve">Cost of </v>
      </c>
      <c r="I74" s="679" t="str">
        <f>I11</f>
        <v>Eligible Plant</v>
      </c>
      <c r="J74" s="679"/>
      <c r="K74" s="679" t="str">
        <f t="shared" ref="K74:M74" si="42">K11</f>
        <v>Incremental</v>
      </c>
      <c r="L74" s="679" t="str">
        <f t="shared" si="42"/>
        <v>Depreciation</v>
      </c>
      <c r="M74" s="679" t="str">
        <f t="shared" si="42"/>
        <v>Incremental</v>
      </c>
      <c r="O74" s="679" t="str">
        <f>O11</f>
        <v>Low Voltage</v>
      </c>
      <c r="P74" s="679" t="str">
        <f>P11</f>
        <v>Low Voltage</v>
      </c>
      <c r="Q74" s="678"/>
    </row>
    <row r="75" spans="1:25">
      <c r="A75" s="680" t="s">
        <v>332</v>
      </c>
      <c r="C75" s="661" t="str">
        <f>C12</f>
        <v>Month</v>
      </c>
      <c r="D75" s="661" t="str">
        <f>D12</f>
        <v>Year</v>
      </c>
      <c r="E75" s="674" t="str">
        <f>E12</f>
        <v>Plant Adds</v>
      </c>
      <c r="F75" s="674" t="str">
        <f t="shared" si="41"/>
        <v>CWIP Closed</v>
      </c>
      <c r="G75" s="681" t="str">
        <f t="shared" si="41"/>
        <v>Closed to PIS</v>
      </c>
      <c r="H75" s="681" t="str">
        <f t="shared" si="41"/>
        <v>Removal</v>
      </c>
      <c r="I75" s="681" t="str">
        <f>I12</f>
        <v>Additions</v>
      </c>
      <c r="J75" s="681" t="str">
        <f t="shared" ref="J75:P75" si="43">J12</f>
        <v>AFUDC</v>
      </c>
      <c r="K75" s="681" t="str">
        <f t="shared" si="43"/>
        <v>Gross Plant</v>
      </c>
      <c r="L75" s="681" t="str">
        <f t="shared" si="43"/>
        <v>Accrual</v>
      </c>
      <c r="M75" s="681" t="str">
        <f t="shared" si="43"/>
        <v>Reserve</v>
      </c>
      <c r="N75" s="681" t="str">
        <f t="shared" si="43"/>
        <v>Net Plant</v>
      </c>
      <c r="O75" s="681" t="str">
        <f t="shared" si="43"/>
        <v>Additions</v>
      </c>
      <c r="P75" s="681" t="str">
        <f t="shared" si="43"/>
        <v>Additions</v>
      </c>
      <c r="Q75" s="681"/>
      <c r="S75" s="728"/>
      <c r="T75" s="681"/>
      <c r="U75" s="681"/>
      <c r="V75" s="681"/>
      <c r="W75" s="681"/>
      <c r="X75" s="681"/>
      <c r="Y75" s="681"/>
    </row>
    <row r="76" spans="1:25">
      <c r="A76" s="678">
        <f>A68+1</f>
        <v>50</v>
      </c>
      <c r="C76" s="662" t="str">
        <f t="shared" ref="C76:C96" si="44">C45</f>
        <v>January</v>
      </c>
      <c r="D76" s="964">
        <v>2017</v>
      </c>
      <c r="E76" s="690">
        <v>14441210.618711423</v>
      </c>
      <c r="F76" s="690">
        <v>134080.62166666664</v>
      </c>
      <c r="G76" s="682">
        <f t="shared" ref="G76:G96" si="45">(E76-F76)*$E$103</f>
        <v>1073034.7497783566</v>
      </c>
      <c r="H76" s="630">
        <f t="shared" ref="H76:H96" si="46">(E76-F76+G76)*$E$107</f>
        <v>1230413.179745849</v>
      </c>
      <c r="I76" s="682">
        <f>E76-F76+G76-H76</f>
        <v>14149751.567077264</v>
      </c>
      <c r="J76" s="682">
        <f t="shared" ref="J76:J96" si="47">I76*$E$111</f>
        <v>424492.54701231793</v>
      </c>
      <c r="K76" s="630">
        <f>F76+I76+J76</f>
        <v>14708324.735756248</v>
      </c>
      <c r="L76" s="630">
        <v>0</v>
      </c>
      <c r="M76" s="630">
        <f>L76-H76</f>
        <v>-1230413.179745849</v>
      </c>
      <c r="N76" s="630">
        <f t="shared" ref="N76:N96" si="48">K76-M76</f>
        <v>15938737.915502097</v>
      </c>
      <c r="O76" s="726">
        <v>42317.916666666672</v>
      </c>
      <c r="P76" s="630">
        <f t="shared" ref="P76:P96" si="49">O76*(1-$E$107)*(1+$E$103+$E$111)</f>
        <v>43020.39408333334</v>
      </c>
      <c r="Q76" s="688"/>
      <c r="R76" s="684"/>
      <c r="S76" s="688"/>
      <c r="T76" s="688"/>
      <c r="U76" s="684"/>
      <c r="V76" s="515"/>
      <c r="W76" s="688"/>
      <c r="X76" s="684"/>
      <c r="Y76" s="515"/>
    </row>
    <row r="77" spans="1:25">
      <c r="A77" s="678">
        <f t="shared" si="35"/>
        <v>51</v>
      </c>
      <c r="C77" s="662" t="str">
        <f t="shared" si="44"/>
        <v>February</v>
      </c>
      <c r="D77" s="964">
        <v>2017</v>
      </c>
      <c r="E77" s="690">
        <v>31772934.578711342</v>
      </c>
      <c r="F77" s="690">
        <v>16379140.581666589</v>
      </c>
      <c r="G77" s="682">
        <f t="shared" si="45"/>
        <v>1154534.5497783564</v>
      </c>
      <c r="H77" s="630">
        <f t="shared" si="46"/>
        <v>1323866.2837458488</v>
      </c>
      <c r="I77" s="682">
        <f t="shared" ref="I77:I96" si="50">E77-F77+G77-H77</f>
        <v>15224462.263077261</v>
      </c>
      <c r="J77" s="682">
        <f t="shared" si="47"/>
        <v>456733.86789231782</v>
      </c>
      <c r="K77" s="630">
        <f>K76+J77+I77+F77</f>
        <v>46768661.448392414</v>
      </c>
      <c r="L77" s="630">
        <f t="shared" ref="L77:L96" si="51">K76*$E$133/12</f>
        <v>33509.753926966157</v>
      </c>
      <c r="M77" s="630">
        <f>(M76+L77)-H77</f>
        <v>-2520769.7095647315</v>
      </c>
      <c r="N77" s="630">
        <f t="shared" si="48"/>
        <v>49289431.157957144</v>
      </c>
      <c r="O77" s="726">
        <v>84635.833333333343</v>
      </c>
      <c r="P77" s="630">
        <f t="shared" si="49"/>
        <v>86040.78816666668</v>
      </c>
      <c r="Q77" s="688"/>
      <c r="R77" s="684"/>
      <c r="S77" s="688"/>
      <c r="T77" s="688"/>
      <c r="U77" s="684"/>
      <c r="V77" s="515"/>
      <c r="W77" s="688"/>
      <c r="X77" s="684"/>
      <c r="Y77" s="515"/>
    </row>
    <row r="78" spans="1:25">
      <c r="A78" s="678">
        <f t="shared" si="35"/>
        <v>52</v>
      </c>
      <c r="C78" s="662" t="str">
        <f t="shared" si="44"/>
        <v>March</v>
      </c>
      <c r="D78" s="964">
        <v>2017</v>
      </c>
      <c r="E78" s="690">
        <v>14441210.618711427</v>
      </c>
      <c r="F78" s="690">
        <v>134080.62166666664</v>
      </c>
      <c r="G78" s="682">
        <f t="shared" si="45"/>
        <v>1073034.7497783571</v>
      </c>
      <c r="H78" s="630">
        <f t="shared" si="46"/>
        <v>1230413.1797458495</v>
      </c>
      <c r="I78" s="682">
        <f t="shared" si="50"/>
        <v>14149751.567077268</v>
      </c>
      <c r="J78" s="682">
        <f t="shared" si="47"/>
        <v>424492.54701231804</v>
      </c>
      <c r="K78" s="630">
        <f t="shared" ref="K78:K96" si="52">K77+J78+I78+F78</f>
        <v>61476986.184148669</v>
      </c>
      <c r="L78" s="630">
        <f t="shared" si="51"/>
        <v>106552.33446262624</v>
      </c>
      <c r="M78" s="630">
        <f t="shared" ref="M78:M99" si="53">(M77+L78)-H78</f>
        <v>-3644630.5548479548</v>
      </c>
      <c r="N78" s="630">
        <f t="shared" si="48"/>
        <v>65121616.738996625</v>
      </c>
      <c r="O78" s="726">
        <v>126953.75000000001</v>
      </c>
      <c r="P78" s="630">
        <f t="shared" si="49"/>
        <v>129061.18225000001</v>
      </c>
      <c r="Q78" s="688"/>
      <c r="R78" s="684"/>
      <c r="S78" s="688"/>
      <c r="T78" s="688"/>
      <c r="U78" s="684"/>
      <c r="V78" s="515"/>
      <c r="W78" s="688"/>
      <c r="X78" s="684"/>
      <c r="Y78" s="515"/>
    </row>
    <row r="79" spans="1:25">
      <c r="A79" s="678">
        <f t="shared" si="35"/>
        <v>53</v>
      </c>
      <c r="C79" s="662" t="str">
        <f t="shared" si="44"/>
        <v>April</v>
      </c>
      <c r="D79" s="964">
        <v>2017</v>
      </c>
      <c r="E79" s="690">
        <v>33332623.643872701</v>
      </c>
      <c r="F79" s="690">
        <v>17282136.646827955</v>
      </c>
      <c r="G79" s="682">
        <f t="shared" si="45"/>
        <v>1203786.5247783558</v>
      </c>
      <c r="H79" s="630">
        <f t="shared" si="46"/>
        <v>1380341.8817458481</v>
      </c>
      <c r="I79" s="682">
        <f t="shared" si="50"/>
        <v>15873931.640077252</v>
      </c>
      <c r="J79" s="682">
        <f t="shared" si="47"/>
        <v>476217.94920231751</v>
      </c>
      <c r="K79" s="630">
        <f t="shared" si="52"/>
        <v>95109272.420256183</v>
      </c>
      <c r="L79" s="630">
        <f t="shared" si="51"/>
        <v>140062.08838959242</v>
      </c>
      <c r="M79" s="630">
        <f t="shared" si="53"/>
        <v>-4884910.3482042104</v>
      </c>
      <c r="N79" s="630">
        <f t="shared" si="48"/>
        <v>99994182.768460393</v>
      </c>
      <c r="O79" s="726">
        <v>169271.66666666669</v>
      </c>
      <c r="P79" s="630">
        <f t="shared" si="49"/>
        <v>172081.57633333336</v>
      </c>
      <c r="Q79" s="688"/>
      <c r="R79" s="684"/>
      <c r="S79" s="688"/>
      <c r="T79" s="688"/>
      <c r="U79" s="684"/>
      <c r="V79" s="515"/>
      <c r="W79" s="688"/>
      <c r="X79" s="684"/>
      <c r="Y79" s="515"/>
    </row>
    <row r="80" spans="1:25">
      <c r="A80" s="678">
        <f t="shared" si="35"/>
        <v>54</v>
      </c>
      <c r="C80" s="662" t="str">
        <f t="shared" si="44"/>
        <v>May</v>
      </c>
      <c r="D80" s="964">
        <v>2017</v>
      </c>
      <c r="E80" s="690">
        <v>14441210.618711427</v>
      </c>
      <c r="F80" s="690">
        <v>134080.62166666664</v>
      </c>
      <c r="G80" s="682">
        <f t="shared" si="45"/>
        <v>1073034.7497783571</v>
      </c>
      <c r="H80" s="630">
        <f t="shared" si="46"/>
        <v>1230413.1797458495</v>
      </c>
      <c r="I80" s="682">
        <f t="shared" si="50"/>
        <v>14149751.567077268</v>
      </c>
      <c r="J80" s="682">
        <f t="shared" si="47"/>
        <v>424492.54701231804</v>
      </c>
      <c r="K80" s="630">
        <f t="shared" si="52"/>
        <v>109817597.15601243</v>
      </c>
      <c r="L80" s="630">
        <f t="shared" si="51"/>
        <v>216686.01776432735</v>
      </c>
      <c r="M80" s="630">
        <f t="shared" si="53"/>
        <v>-5898637.5101857325</v>
      </c>
      <c r="N80" s="630">
        <f t="shared" si="48"/>
        <v>115716234.66619816</v>
      </c>
      <c r="O80" s="726">
        <v>211589.58333333334</v>
      </c>
      <c r="P80" s="630">
        <f t="shared" si="49"/>
        <v>215101.97041666668</v>
      </c>
      <c r="Q80" s="688"/>
      <c r="R80" s="684"/>
      <c r="S80" s="688"/>
      <c r="T80" s="688"/>
      <c r="U80" s="684"/>
      <c r="V80" s="515"/>
      <c r="W80" s="688"/>
      <c r="X80" s="684"/>
      <c r="Y80" s="515"/>
    </row>
    <row r="81" spans="1:25">
      <c r="A81" s="678">
        <f t="shared" si="35"/>
        <v>55</v>
      </c>
      <c r="C81" s="662" t="str">
        <f t="shared" si="44"/>
        <v xml:space="preserve">June </v>
      </c>
      <c r="D81" s="964">
        <v>2017</v>
      </c>
      <c r="E81" s="690">
        <v>32633394.668711439</v>
      </c>
      <c r="F81" s="690">
        <v>15939298.671666689</v>
      </c>
      <c r="G81" s="682">
        <f t="shared" si="45"/>
        <v>1252057.1997783561</v>
      </c>
      <c r="H81" s="630">
        <f t="shared" si="46"/>
        <v>1435692.2557458484</v>
      </c>
      <c r="I81" s="682">
        <f t="shared" si="50"/>
        <v>16510460.941077257</v>
      </c>
      <c r="J81" s="682">
        <f t="shared" si="47"/>
        <v>495313.8282323177</v>
      </c>
      <c r="K81" s="630">
        <f t="shared" si="52"/>
        <v>142762670.59698871</v>
      </c>
      <c r="L81" s="630">
        <f t="shared" si="51"/>
        <v>250195.77169129354</v>
      </c>
      <c r="M81" s="630">
        <f t="shared" si="53"/>
        <v>-7084133.9942402877</v>
      </c>
      <c r="N81" s="630">
        <f t="shared" si="48"/>
        <v>149846804.59122899</v>
      </c>
      <c r="O81" s="726">
        <v>253907.5</v>
      </c>
      <c r="P81" s="630">
        <f t="shared" si="49"/>
        <v>258122.36450000003</v>
      </c>
      <c r="Q81" s="688"/>
      <c r="R81" s="684"/>
      <c r="S81" s="688"/>
      <c r="T81" s="688"/>
      <c r="U81" s="684"/>
      <c r="V81" s="515"/>
      <c r="W81" s="688"/>
      <c r="X81" s="684"/>
      <c r="Y81" s="515"/>
    </row>
    <row r="82" spans="1:25">
      <c r="A82" s="678">
        <f t="shared" si="35"/>
        <v>56</v>
      </c>
      <c r="C82" s="662" t="str">
        <f t="shared" si="44"/>
        <v>July</v>
      </c>
      <c r="D82" s="964">
        <v>2017</v>
      </c>
      <c r="E82" s="690">
        <v>14441210.618711412</v>
      </c>
      <c r="F82" s="690">
        <v>134080.62166666664</v>
      </c>
      <c r="G82" s="682">
        <f t="shared" si="45"/>
        <v>1073034.7497783559</v>
      </c>
      <c r="H82" s="630">
        <f t="shared" si="46"/>
        <v>1230413.1797458483</v>
      </c>
      <c r="I82" s="682">
        <f t="shared" si="50"/>
        <v>14149751.567077253</v>
      </c>
      <c r="J82" s="682">
        <f t="shared" si="47"/>
        <v>424492.54701231758</v>
      </c>
      <c r="K82" s="630">
        <f t="shared" si="52"/>
        <v>157470995.33274496</v>
      </c>
      <c r="L82" s="630">
        <f t="shared" si="51"/>
        <v>325254.03454220417</v>
      </c>
      <c r="M82" s="630">
        <f t="shared" si="53"/>
        <v>-7989293.1394439321</v>
      </c>
      <c r="N82" s="630">
        <f t="shared" si="48"/>
        <v>165460288.47218889</v>
      </c>
      <c r="O82" s="726">
        <v>296225.41666666669</v>
      </c>
      <c r="P82" s="630">
        <f t="shared" si="49"/>
        <v>301142.75858333334</v>
      </c>
      <c r="Q82" s="688"/>
      <c r="R82" s="684"/>
      <c r="S82" s="688"/>
      <c r="T82" s="688"/>
      <c r="U82" s="684"/>
      <c r="V82" s="515"/>
      <c r="W82" s="688"/>
      <c r="X82" s="684"/>
      <c r="Y82" s="515"/>
    </row>
    <row r="83" spans="1:25">
      <c r="A83" s="678">
        <f t="shared" si="35"/>
        <v>57</v>
      </c>
      <c r="C83" s="662" t="str">
        <f t="shared" si="44"/>
        <v>August</v>
      </c>
      <c r="D83" s="964">
        <v>2017</v>
      </c>
      <c r="E83" s="690">
        <v>14441210.618711412</v>
      </c>
      <c r="F83" s="690">
        <v>134080.62166666664</v>
      </c>
      <c r="G83" s="682">
        <f t="shared" si="45"/>
        <v>1073034.7497783559</v>
      </c>
      <c r="H83" s="630">
        <f t="shared" si="46"/>
        <v>1230413.1797458483</v>
      </c>
      <c r="I83" s="682">
        <f t="shared" si="50"/>
        <v>14149751.567077253</v>
      </c>
      <c r="J83" s="682">
        <f t="shared" si="47"/>
        <v>424492.54701231758</v>
      </c>
      <c r="K83" s="630">
        <f t="shared" si="52"/>
        <v>172179320.0685012</v>
      </c>
      <c r="L83" s="630">
        <f t="shared" si="51"/>
        <v>358763.78846917028</v>
      </c>
      <c r="M83" s="630">
        <f t="shared" si="53"/>
        <v>-8860942.5307206102</v>
      </c>
      <c r="N83" s="630">
        <f t="shared" si="48"/>
        <v>181040262.59922183</v>
      </c>
      <c r="O83" s="726">
        <v>338543.33333333337</v>
      </c>
      <c r="P83" s="630">
        <f t="shared" si="49"/>
        <v>344163.15266666672</v>
      </c>
      <c r="Q83" s="688"/>
      <c r="R83" s="684"/>
      <c r="S83" s="688"/>
      <c r="T83" s="688"/>
      <c r="U83" s="684"/>
      <c r="V83" s="515"/>
      <c r="W83" s="688"/>
      <c r="X83" s="684"/>
      <c r="Y83" s="515"/>
    </row>
    <row r="84" spans="1:25">
      <c r="A84" s="678">
        <f t="shared" si="35"/>
        <v>58</v>
      </c>
      <c r="C84" s="662" t="str">
        <f t="shared" si="44"/>
        <v>September</v>
      </c>
      <c r="D84" s="964">
        <v>2017</v>
      </c>
      <c r="E84" s="690">
        <v>14441210.618711412</v>
      </c>
      <c r="F84" s="690">
        <v>134080.62166666664</v>
      </c>
      <c r="G84" s="682">
        <f t="shared" si="45"/>
        <v>1073034.7497783559</v>
      </c>
      <c r="H84" s="630">
        <f t="shared" si="46"/>
        <v>1230413.1797458483</v>
      </c>
      <c r="I84" s="682">
        <f t="shared" si="50"/>
        <v>14149751.567077253</v>
      </c>
      <c r="J84" s="682">
        <f t="shared" si="47"/>
        <v>424492.54701231758</v>
      </c>
      <c r="K84" s="630">
        <f t="shared" si="52"/>
        <v>186887644.80425745</v>
      </c>
      <c r="L84" s="630">
        <f t="shared" si="51"/>
        <v>392273.5423961365</v>
      </c>
      <c r="M84" s="630">
        <f t="shared" si="53"/>
        <v>-9699082.1680703238</v>
      </c>
      <c r="N84" s="630">
        <f t="shared" si="48"/>
        <v>196586726.97232777</v>
      </c>
      <c r="O84" s="726">
        <v>380861.25000000006</v>
      </c>
      <c r="P84" s="630">
        <f t="shared" si="49"/>
        <v>387183.5467500001</v>
      </c>
      <c r="Q84" s="688"/>
      <c r="R84" s="684"/>
      <c r="S84" s="688"/>
      <c r="T84" s="688"/>
      <c r="U84" s="684"/>
      <c r="V84" s="515"/>
      <c r="W84" s="688"/>
      <c r="X84" s="684"/>
      <c r="Y84" s="515"/>
    </row>
    <row r="85" spans="1:25">
      <c r="A85" s="678">
        <f t="shared" si="35"/>
        <v>59</v>
      </c>
      <c r="C85" s="662" t="str">
        <f t="shared" si="44"/>
        <v xml:space="preserve">October </v>
      </c>
      <c r="D85" s="964">
        <v>2017</v>
      </c>
      <c r="E85" s="690">
        <v>14441210.618711412</v>
      </c>
      <c r="F85" s="690">
        <v>134080.62166666664</v>
      </c>
      <c r="G85" s="682">
        <f t="shared" si="45"/>
        <v>1073034.7497783559</v>
      </c>
      <c r="H85" s="630">
        <f t="shared" si="46"/>
        <v>1230413.1797458483</v>
      </c>
      <c r="I85" s="682">
        <f t="shared" si="50"/>
        <v>14149751.567077253</v>
      </c>
      <c r="J85" s="682">
        <f t="shared" si="47"/>
        <v>424492.54701231758</v>
      </c>
      <c r="K85" s="630">
        <f t="shared" si="52"/>
        <v>201595969.5400137</v>
      </c>
      <c r="L85" s="630">
        <f t="shared" si="51"/>
        <v>425783.29632310267</v>
      </c>
      <c r="M85" s="630">
        <f t="shared" si="53"/>
        <v>-10503712.051493071</v>
      </c>
      <c r="N85" s="630">
        <f t="shared" si="48"/>
        <v>212099681.59150678</v>
      </c>
      <c r="O85" s="726">
        <v>423179.16666666674</v>
      </c>
      <c r="P85" s="630">
        <f t="shared" si="49"/>
        <v>430203.94083333341</v>
      </c>
      <c r="Q85" s="688"/>
      <c r="R85" s="684"/>
      <c r="S85" s="688"/>
      <c r="T85" s="688"/>
      <c r="U85" s="684"/>
      <c r="V85" s="515"/>
      <c r="W85" s="688"/>
      <c r="X85" s="684"/>
      <c r="Y85" s="515"/>
    </row>
    <row r="86" spans="1:25">
      <c r="A86" s="678">
        <f t="shared" si="35"/>
        <v>60</v>
      </c>
      <c r="C86" s="662" t="str">
        <f t="shared" si="44"/>
        <v>November</v>
      </c>
      <c r="D86" s="964">
        <v>2017</v>
      </c>
      <c r="E86" s="690">
        <v>53365668.618711412</v>
      </c>
      <c r="F86" s="690">
        <v>14896038.621666666</v>
      </c>
      <c r="G86" s="682">
        <f t="shared" si="45"/>
        <v>2885222.2497783555</v>
      </c>
      <c r="H86" s="630">
        <f t="shared" si="46"/>
        <v>3308388.1797458478</v>
      </c>
      <c r="I86" s="682">
        <f t="shared" si="50"/>
        <v>38046464.067077249</v>
      </c>
      <c r="J86" s="682">
        <f t="shared" si="47"/>
        <v>1141393.9220123175</v>
      </c>
      <c r="K86" s="630">
        <f t="shared" si="52"/>
        <v>255679866.15076995</v>
      </c>
      <c r="L86" s="630">
        <f t="shared" si="51"/>
        <v>459293.05025006877</v>
      </c>
      <c r="M86" s="630">
        <f t="shared" si="53"/>
        <v>-13352807.18098885</v>
      </c>
      <c r="N86" s="630">
        <f t="shared" si="48"/>
        <v>269032673.3317588</v>
      </c>
      <c r="O86" s="726">
        <v>465497.08333333343</v>
      </c>
      <c r="P86" s="630">
        <f t="shared" si="49"/>
        <v>473224.33491666679</v>
      </c>
      <c r="Q86" s="688"/>
      <c r="R86" s="684"/>
      <c r="S86" s="688"/>
      <c r="T86" s="688"/>
      <c r="U86" s="684"/>
      <c r="V86" s="515"/>
      <c r="W86" s="688"/>
      <c r="X86" s="684"/>
      <c r="Y86" s="515"/>
    </row>
    <row r="87" spans="1:25">
      <c r="A87" s="678">
        <f t="shared" si="35"/>
        <v>61</v>
      </c>
      <c r="C87" s="662" t="str">
        <f t="shared" si="44"/>
        <v>December</v>
      </c>
      <c r="D87" s="964">
        <v>2017</v>
      </c>
      <c r="E87" s="690">
        <v>147330867.38455048</v>
      </c>
      <c r="F87" s="690">
        <v>52539995.965839475</v>
      </c>
      <c r="G87" s="682">
        <f t="shared" si="45"/>
        <v>7109315.3564033257</v>
      </c>
      <c r="H87" s="630">
        <f t="shared" si="46"/>
        <v>8152014.9420091463</v>
      </c>
      <c r="I87" s="682">
        <f t="shared" si="50"/>
        <v>93748171.833105177</v>
      </c>
      <c r="J87" s="682">
        <f t="shared" si="47"/>
        <v>2812445.154993155</v>
      </c>
      <c r="K87" s="630">
        <f t="shared" si="52"/>
        <v>404780479.10470772</v>
      </c>
      <c r="L87" s="630">
        <f t="shared" si="51"/>
        <v>582511.57441224542</v>
      </c>
      <c r="M87" s="630">
        <f t="shared" si="53"/>
        <v>-20922310.54858575</v>
      </c>
      <c r="N87" s="630">
        <f t="shared" si="48"/>
        <v>425702789.65329349</v>
      </c>
      <c r="O87" s="726">
        <v>507815.00000000012</v>
      </c>
      <c r="P87" s="630">
        <f t="shared" si="49"/>
        <v>516244.72900000011</v>
      </c>
      <c r="Q87" s="688"/>
      <c r="R87" s="684"/>
      <c r="S87" s="688"/>
      <c r="T87" s="688"/>
      <c r="U87" s="684"/>
      <c r="V87" s="515"/>
      <c r="W87" s="688"/>
      <c r="X87" s="684"/>
      <c r="Y87" s="515"/>
    </row>
    <row r="88" spans="1:25">
      <c r="A88" s="678">
        <f t="shared" si="35"/>
        <v>62</v>
      </c>
      <c r="C88" s="662" t="str">
        <f t="shared" si="44"/>
        <v>January</v>
      </c>
      <c r="D88" s="964">
        <v>2018</v>
      </c>
      <c r="E88" s="690">
        <v>19600304.337940633</v>
      </c>
      <c r="F88" s="690">
        <v>0</v>
      </c>
      <c r="G88" s="682">
        <f t="shared" si="45"/>
        <v>1470022.8253455474</v>
      </c>
      <c r="H88" s="630">
        <f t="shared" si="46"/>
        <v>1685626.1730628945</v>
      </c>
      <c r="I88" s="682">
        <f t="shared" si="50"/>
        <v>19384700.990223285</v>
      </c>
      <c r="J88" s="682">
        <f t="shared" si="47"/>
        <v>581541.02970669849</v>
      </c>
      <c r="K88" s="630">
        <f t="shared" si="52"/>
        <v>424746721.12463772</v>
      </c>
      <c r="L88" s="630">
        <f t="shared" si="51"/>
        <v>922205.24722734897</v>
      </c>
      <c r="M88" s="630">
        <f t="shared" si="53"/>
        <v>-21685731.474421296</v>
      </c>
      <c r="N88" s="630">
        <f t="shared" si="48"/>
        <v>446432452.59905905</v>
      </c>
      <c r="O88" s="726">
        <v>507815.00000000012</v>
      </c>
      <c r="P88" s="630">
        <f t="shared" si="49"/>
        <v>516244.72900000011</v>
      </c>
      <c r="Q88" s="688"/>
      <c r="R88" s="684"/>
      <c r="S88" s="688"/>
      <c r="T88" s="688"/>
      <c r="U88" s="684"/>
      <c r="V88" s="515"/>
      <c r="W88" s="688"/>
      <c r="X88" s="684"/>
      <c r="Y88" s="515"/>
    </row>
    <row r="89" spans="1:25">
      <c r="A89" s="678">
        <f t="shared" si="35"/>
        <v>63</v>
      </c>
      <c r="C89" s="662" t="str">
        <f t="shared" si="44"/>
        <v>February</v>
      </c>
      <c r="D89" s="964">
        <v>2018</v>
      </c>
      <c r="E89" s="690">
        <v>19600304.337940633</v>
      </c>
      <c r="F89" s="690">
        <v>0</v>
      </c>
      <c r="G89" s="682">
        <f t="shared" si="45"/>
        <v>1470022.8253455474</v>
      </c>
      <c r="H89" s="630">
        <f t="shared" si="46"/>
        <v>1685626.1730628945</v>
      </c>
      <c r="I89" s="682">
        <f t="shared" si="50"/>
        <v>19384700.990223285</v>
      </c>
      <c r="J89" s="682">
        <f t="shared" si="47"/>
        <v>581541.02970669849</v>
      </c>
      <c r="K89" s="630">
        <f t="shared" si="52"/>
        <v>444712963.14456773</v>
      </c>
      <c r="L89" s="630">
        <f t="shared" si="51"/>
        <v>967694.03462864959</v>
      </c>
      <c r="M89" s="630">
        <f t="shared" si="53"/>
        <v>-22403663.612855542</v>
      </c>
      <c r="N89" s="630">
        <f t="shared" si="48"/>
        <v>467116626.75742328</v>
      </c>
      <c r="O89" s="726">
        <v>507815.00000000012</v>
      </c>
      <c r="P89" s="630">
        <f t="shared" si="49"/>
        <v>516244.72900000011</v>
      </c>
      <c r="Q89" s="688"/>
      <c r="R89" s="684"/>
      <c r="S89" s="688"/>
      <c r="T89" s="688"/>
      <c r="U89" s="684"/>
      <c r="V89" s="515"/>
      <c r="W89" s="688"/>
      <c r="X89" s="684"/>
      <c r="Y89" s="515"/>
    </row>
    <row r="90" spans="1:25">
      <c r="A90" s="678">
        <f t="shared" si="35"/>
        <v>64</v>
      </c>
      <c r="C90" s="662" t="str">
        <f t="shared" si="44"/>
        <v>March</v>
      </c>
      <c r="D90" s="964">
        <v>2018</v>
      </c>
      <c r="E90" s="690">
        <v>19600304.337940633</v>
      </c>
      <c r="F90" s="690">
        <v>0</v>
      </c>
      <c r="G90" s="682">
        <f t="shared" si="45"/>
        <v>1470022.8253455474</v>
      </c>
      <c r="H90" s="630">
        <f t="shared" si="46"/>
        <v>1685626.1730628945</v>
      </c>
      <c r="I90" s="682">
        <f t="shared" si="50"/>
        <v>19384700.990223285</v>
      </c>
      <c r="J90" s="682">
        <f t="shared" si="47"/>
        <v>581541.02970669849</v>
      </c>
      <c r="K90" s="630">
        <f t="shared" si="52"/>
        <v>464679205.16449773</v>
      </c>
      <c r="L90" s="630">
        <f t="shared" si="51"/>
        <v>1013182.8220299501</v>
      </c>
      <c r="M90" s="630">
        <f t="shared" si="53"/>
        <v>-23076106.963888485</v>
      </c>
      <c r="N90" s="630">
        <f t="shared" si="48"/>
        <v>487755312.1283862</v>
      </c>
      <c r="O90" s="726">
        <v>507815.00000000012</v>
      </c>
      <c r="P90" s="630">
        <f t="shared" si="49"/>
        <v>516244.72900000011</v>
      </c>
      <c r="Q90" s="688"/>
      <c r="R90" s="684"/>
      <c r="S90" s="688"/>
      <c r="T90" s="688"/>
      <c r="U90" s="684"/>
      <c r="V90" s="515"/>
      <c r="W90" s="688"/>
      <c r="X90" s="684"/>
      <c r="Y90" s="515"/>
    </row>
    <row r="91" spans="1:25">
      <c r="A91" s="678">
        <f t="shared" si="35"/>
        <v>65</v>
      </c>
      <c r="C91" s="662" t="str">
        <f t="shared" si="44"/>
        <v>April</v>
      </c>
      <c r="D91" s="964">
        <v>2018</v>
      </c>
      <c r="E91" s="690">
        <v>19600304.337940633</v>
      </c>
      <c r="F91" s="690">
        <v>0</v>
      </c>
      <c r="G91" s="682">
        <f t="shared" si="45"/>
        <v>1470022.8253455474</v>
      </c>
      <c r="H91" s="630">
        <f t="shared" si="46"/>
        <v>1685626.1730628945</v>
      </c>
      <c r="I91" s="682">
        <f t="shared" si="50"/>
        <v>19384700.990223285</v>
      </c>
      <c r="J91" s="682">
        <f t="shared" si="47"/>
        <v>581541.02970669849</v>
      </c>
      <c r="K91" s="630">
        <f t="shared" si="52"/>
        <v>484645447.18442774</v>
      </c>
      <c r="L91" s="630">
        <f t="shared" si="51"/>
        <v>1058671.6094312507</v>
      </c>
      <c r="M91" s="630">
        <f t="shared" si="53"/>
        <v>-23703061.527520128</v>
      </c>
      <c r="N91" s="630">
        <f t="shared" si="48"/>
        <v>508348508.71194786</v>
      </c>
      <c r="O91" s="726">
        <v>507815.00000000012</v>
      </c>
      <c r="P91" s="630">
        <f t="shared" si="49"/>
        <v>516244.72900000011</v>
      </c>
      <c r="Q91" s="688"/>
      <c r="R91" s="684"/>
      <c r="S91" s="688"/>
      <c r="T91" s="688"/>
      <c r="U91" s="684"/>
      <c r="V91" s="515"/>
      <c r="W91" s="688"/>
      <c r="X91" s="684"/>
      <c r="Y91" s="515"/>
    </row>
    <row r="92" spans="1:25">
      <c r="A92" s="678">
        <f t="shared" si="35"/>
        <v>66</v>
      </c>
      <c r="C92" s="662" t="str">
        <f t="shared" si="44"/>
        <v>May</v>
      </c>
      <c r="D92" s="964">
        <v>2018</v>
      </c>
      <c r="E92" s="690">
        <v>19600304.337940633</v>
      </c>
      <c r="F92" s="690">
        <v>0</v>
      </c>
      <c r="G92" s="682">
        <f t="shared" si="45"/>
        <v>1470022.8253455474</v>
      </c>
      <c r="H92" s="630">
        <f t="shared" si="46"/>
        <v>1685626.1730628945</v>
      </c>
      <c r="I92" s="682">
        <f t="shared" si="50"/>
        <v>19384700.990223285</v>
      </c>
      <c r="J92" s="682">
        <f t="shared" si="47"/>
        <v>581541.02970669849</v>
      </c>
      <c r="K92" s="630">
        <f t="shared" si="52"/>
        <v>504611689.20435774</v>
      </c>
      <c r="L92" s="630">
        <f t="shared" si="51"/>
        <v>1104160.3968325511</v>
      </c>
      <c r="M92" s="630">
        <f t="shared" si="53"/>
        <v>-24284527.30375047</v>
      </c>
      <c r="N92" s="630">
        <f t="shared" si="48"/>
        <v>528896216.5081082</v>
      </c>
      <c r="O92" s="726">
        <v>507815.00000000012</v>
      </c>
      <c r="P92" s="630">
        <f t="shared" si="49"/>
        <v>516244.72900000011</v>
      </c>
      <c r="Q92" s="688"/>
      <c r="R92" s="684"/>
      <c r="S92" s="688"/>
      <c r="T92" s="688"/>
      <c r="U92" s="684"/>
      <c r="V92" s="515"/>
      <c r="W92" s="688"/>
      <c r="X92" s="684"/>
      <c r="Y92" s="515"/>
    </row>
    <row r="93" spans="1:25">
      <c r="A93" s="678">
        <f t="shared" si="35"/>
        <v>67</v>
      </c>
      <c r="C93" s="662" t="str">
        <f t="shared" si="44"/>
        <v xml:space="preserve">June </v>
      </c>
      <c r="D93" s="964">
        <v>2018</v>
      </c>
      <c r="E93" s="690">
        <v>71448147.500040591</v>
      </c>
      <c r="F93" s="690">
        <v>17086758.800000001</v>
      </c>
      <c r="G93" s="682">
        <f t="shared" si="45"/>
        <v>4077104.1525030443</v>
      </c>
      <c r="H93" s="630">
        <f t="shared" si="46"/>
        <v>4675079.4282034915</v>
      </c>
      <c r="I93" s="682">
        <f t="shared" si="50"/>
        <v>53763413.424340144</v>
      </c>
      <c r="J93" s="682">
        <f t="shared" si="47"/>
        <v>1612902.4027302042</v>
      </c>
      <c r="K93" s="630">
        <f t="shared" si="52"/>
        <v>577074763.83142805</v>
      </c>
      <c r="L93" s="630">
        <f t="shared" si="51"/>
        <v>1149649.1842338517</v>
      </c>
      <c r="M93" s="630">
        <f t="shared" si="53"/>
        <v>-27809957.547720112</v>
      </c>
      <c r="N93" s="630">
        <f t="shared" si="48"/>
        <v>604884721.37914813</v>
      </c>
      <c r="O93" s="726">
        <v>507815.00000000012</v>
      </c>
      <c r="P93" s="630">
        <f t="shared" si="49"/>
        <v>516244.72900000011</v>
      </c>
      <c r="Q93" s="688"/>
      <c r="R93" s="684"/>
      <c r="S93" s="688"/>
      <c r="T93" s="688"/>
      <c r="U93" s="684"/>
      <c r="V93" s="515"/>
      <c r="W93" s="688"/>
      <c r="X93" s="684"/>
      <c r="Y93" s="515"/>
    </row>
    <row r="94" spans="1:25">
      <c r="A94" s="678">
        <f t="shared" si="35"/>
        <v>68</v>
      </c>
      <c r="C94" s="662" t="str">
        <f t="shared" si="44"/>
        <v>July</v>
      </c>
      <c r="D94" s="964">
        <v>2018</v>
      </c>
      <c r="E94" s="690">
        <v>19600304.337940574</v>
      </c>
      <c r="F94" s="690">
        <v>0</v>
      </c>
      <c r="G94" s="682">
        <f t="shared" si="45"/>
        <v>1470022.825345543</v>
      </c>
      <c r="H94" s="630">
        <f t="shared" si="46"/>
        <v>1685626.1730628894</v>
      </c>
      <c r="I94" s="682">
        <f t="shared" si="50"/>
        <v>19384700.990223225</v>
      </c>
      <c r="J94" s="682">
        <f t="shared" si="47"/>
        <v>581541.02970669675</v>
      </c>
      <c r="K94" s="630">
        <f t="shared" si="52"/>
        <v>597041005.85135794</v>
      </c>
      <c r="L94" s="630">
        <f t="shared" si="51"/>
        <v>1314740.7118665983</v>
      </c>
      <c r="M94" s="630">
        <f t="shared" si="53"/>
        <v>-28180843.008916404</v>
      </c>
      <c r="N94" s="630">
        <f t="shared" si="48"/>
        <v>625221848.86027431</v>
      </c>
      <c r="O94" s="726">
        <v>507815.00000000012</v>
      </c>
      <c r="P94" s="630">
        <f t="shared" si="49"/>
        <v>516244.72900000011</v>
      </c>
      <c r="Q94" s="688"/>
      <c r="R94" s="684"/>
      <c r="S94" s="688"/>
      <c r="T94" s="688"/>
      <c r="U94" s="684"/>
      <c r="V94" s="515"/>
      <c r="W94" s="688"/>
      <c r="X94" s="684"/>
      <c r="Y94" s="515"/>
    </row>
    <row r="95" spans="1:25">
      <c r="A95" s="678">
        <f t="shared" si="35"/>
        <v>69</v>
      </c>
      <c r="C95" s="662" t="str">
        <f t="shared" si="44"/>
        <v>August</v>
      </c>
      <c r="D95" s="964">
        <v>2018</v>
      </c>
      <c r="E95" s="690">
        <v>19600304.337940693</v>
      </c>
      <c r="F95" s="690">
        <v>0</v>
      </c>
      <c r="G95" s="682">
        <f t="shared" si="45"/>
        <v>1470022.8253455518</v>
      </c>
      <c r="H95" s="630">
        <f t="shared" si="46"/>
        <v>1685626.1730628998</v>
      </c>
      <c r="I95" s="682">
        <f t="shared" si="50"/>
        <v>19384700.990223348</v>
      </c>
      <c r="J95" s="682">
        <f t="shared" si="47"/>
        <v>581541.02970670047</v>
      </c>
      <c r="K95" s="630">
        <f t="shared" si="52"/>
        <v>617007247.87128806</v>
      </c>
      <c r="L95" s="630">
        <f t="shared" si="51"/>
        <v>1360229.4992678985</v>
      </c>
      <c r="M95" s="630">
        <f t="shared" si="53"/>
        <v>-28506239.682711404</v>
      </c>
      <c r="N95" s="630">
        <f t="shared" si="48"/>
        <v>645513487.55399942</v>
      </c>
      <c r="O95" s="726">
        <v>507815.00000000012</v>
      </c>
      <c r="P95" s="630">
        <f t="shared" si="49"/>
        <v>516244.72900000011</v>
      </c>
      <c r="Q95" s="688"/>
      <c r="R95" s="684"/>
      <c r="S95" s="688"/>
      <c r="T95" s="688"/>
      <c r="U95" s="684"/>
      <c r="V95" s="515"/>
      <c r="W95" s="688"/>
      <c r="X95" s="684"/>
      <c r="Y95" s="515"/>
    </row>
    <row r="96" spans="1:25">
      <c r="A96" s="678">
        <f t="shared" si="35"/>
        <v>70</v>
      </c>
      <c r="C96" s="662" t="str">
        <f t="shared" si="44"/>
        <v>September</v>
      </c>
      <c r="D96" s="964">
        <v>2018</v>
      </c>
      <c r="E96" s="690">
        <v>19600304.337940693</v>
      </c>
      <c r="F96" s="690">
        <v>0</v>
      </c>
      <c r="G96" s="682">
        <f t="shared" si="45"/>
        <v>1470022.8253455518</v>
      </c>
      <c r="H96" s="630">
        <f t="shared" si="46"/>
        <v>1685626.1730628998</v>
      </c>
      <c r="I96" s="682">
        <f t="shared" si="50"/>
        <v>19384700.990223348</v>
      </c>
      <c r="J96" s="682">
        <f t="shared" si="47"/>
        <v>581541.02970670047</v>
      </c>
      <c r="K96" s="630">
        <f t="shared" si="52"/>
        <v>636973489.89121819</v>
      </c>
      <c r="L96" s="630">
        <f t="shared" si="51"/>
        <v>1405718.2866691994</v>
      </c>
      <c r="M96" s="630">
        <f t="shared" si="53"/>
        <v>-28786147.569105104</v>
      </c>
      <c r="N96" s="630">
        <f t="shared" si="48"/>
        <v>665759637.46032333</v>
      </c>
      <c r="O96" s="726">
        <v>507815.00000000012</v>
      </c>
      <c r="P96" s="630">
        <f t="shared" si="49"/>
        <v>516244.72900000011</v>
      </c>
      <c r="Q96" s="688"/>
      <c r="R96" s="684"/>
      <c r="S96" s="688"/>
      <c r="T96" s="688"/>
      <c r="U96" s="684"/>
      <c r="V96" s="515"/>
      <c r="W96" s="688"/>
      <c r="X96" s="684"/>
      <c r="Y96" s="515"/>
    </row>
    <row r="97" spans="1:25">
      <c r="A97" s="679">
        <f t="shared" si="35"/>
        <v>71</v>
      </c>
      <c r="C97" s="662" t="str">
        <f t="shared" ref="C97:C99" si="54">C66</f>
        <v>October</v>
      </c>
      <c r="D97" s="964">
        <v>2018</v>
      </c>
      <c r="E97" s="690">
        <v>19600304.337940574</v>
      </c>
      <c r="F97" s="690">
        <v>0</v>
      </c>
      <c r="G97" s="682">
        <f t="shared" ref="G97:G99" si="55">(E97-F97)*$E$103</f>
        <v>1470022.825345543</v>
      </c>
      <c r="H97" s="630">
        <f t="shared" ref="H97:H99" si="56">(E97-F97+G97)*$E$107</f>
        <v>1685626.1730628894</v>
      </c>
      <c r="I97" s="682">
        <f t="shared" ref="I97:I99" si="57">E97-F97+G97-H97</f>
        <v>19384700.990223225</v>
      </c>
      <c r="J97" s="682">
        <f t="shared" ref="J97:J99" si="58">I97*$E$111</f>
        <v>581541.02970669675</v>
      </c>
      <c r="K97" s="630">
        <f t="shared" ref="K97:K99" si="59">K96+J97+I97+F97</f>
        <v>656939731.91114807</v>
      </c>
      <c r="L97" s="630">
        <f t="shared" ref="L97:L99" si="60">K96*$E$133/12</f>
        <v>1451207.0740705002</v>
      </c>
      <c r="M97" s="630">
        <f t="shared" si="53"/>
        <v>-29020566.668097496</v>
      </c>
      <c r="N97" s="630">
        <f t="shared" ref="N97:N99" si="61">K97-M97</f>
        <v>685960298.57924557</v>
      </c>
      <c r="O97" s="726">
        <v>507815.00000000012</v>
      </c>
      <c r="P97" s="630">
        <f t="shared" ref="P97:P99" si="62">O97*(1-$E$107)*(1+$E$103+$E$111)</f>
        <v>516244.72900000011</v>
      </c>
      <c r="Q97" s="688"/>
      <c r="R97" s="684"/>
      <c r="S97" s="688"/>
      <c r="T97" s="688"/>
      <c r="U97" s="684"/>
      <c r="V97" s="515"/>
      <c r="W97" s="688"/>
      <c r="X97" s="684"/>
      <c r="Y97" s="515"/>
    </row>
    <row r="98" spans="1:25">
      <c r="A98" s="679">
        <f t="shared" si="35"/>
        <v>72</v>
      </c>
      <c r="C98" s="662" t="str">
        <f t="shared" si="54"/>
        <v>November</v>
      </c>
      <c r="D98" s="964">
        <v>2018</v>
      </c>
      <c r="E98" s="690">
        <v>19600304.337940693</v>
      </c>
      <c r="F98" s="690">
        <v>0</v>
      </c>
      <c r="G98" s="682">
        <f t="shared" si="55"/>
        <v>1470022.8253455518</v>
      </c>
      <c r="H98" s="630">
        <f t="shared" si="56"/>
        <v>1685626.1730628998</v>
      </c>
      <c r="I98" s="682">
        <f t="shared" si="57"/>
        <v>19384700.990223348</v>
      </c>
      <c r="J98" s="682">
        <f t="shared" si="58"/>
        <v>581541.02970670047</v>
      </c>
      <c r="K98" s="630">
        <f t="shared" si="59"/>
        <v>676905973.9310782</v>
      </c>
      <c r="L98" s="630">
        <f t="shared" si="60"/>
        <v>1496695.8614718004</v>
      </c>
      <c r="M98" s="630">
        <f t="shared" si="53"/>
        <v>-29209496.979688592</v>
      </c>
      <c r="N98" s="630">
        <f t="shared" si="61"/>
        <v>706115470.91076684</v>
      </c>
      <c r="O98" s="726">
        <v>507815.00000000012</v>
      </c>
      <c r="P98" s="630">
        <f t="shared" si="62"/>
        <v>516244.72900000011</v>
      </c>
      <c r="Q98" s="688"/>
      <c r="R98" s="684"/>
      <c r="S98" s="688"/>
      <c r="T98" s="688"/>
      <c r="U98" s="684"/>
      <c r="V98" s="515"/>
      <c r="W98" s="688"/>
      <c r="X98" s="684"/>
      <c r="Y98" s="515"/>
    </row>
    <row r="99" spans="1:25">
      <c r="A99" s="679">
        <f t="shared" si="35"/>
        <v>73</v>
      </c>
      <c r="C99" s="662" t="str">
        <f t="shared" si="54"/>
        <v>December</v>
      </c>
      <c r="D99" s="964">
        <v>2018</v>
      </c>
      <c r="E99" s="690">
        <v>103959611.96518886</v>
      </c>
      <c r="F99" s="690">
        <v>5717664.2363000019</v>
      </c>
      <c r="G99" s="682">
        <f t="shared" si="55"/>
        <v>7368146.0796666639</v>
      </c>
      <c r="H99" s="630">
        <f t="shared" si="56"/>
        <v>8448807.5046844408</v>
      </c>
      <c r="I99" s="682">
        <f t="shared" si="57"/>
        <v>97161286.303871065</v>
      </c>
      <c r="J99" s="682">
        <f t="shared" si="58"/>
        <v>2914838.5891161319</v>
      </c>
      <c r="K99" s="630">
        <f t="shared" si="59"/>
        <v>782699763.06036532</v>
      </c>
      <c r="L99" s="630">
        <f t="shared" si="60"/>
        <v>1542184.6488731012</v>
      </c>
      <c r="M99" s="630">
        <f t="shared" si="53"/>
        <v>-36116119.835499927</v>
      </c>
      <c r="N99" s="630">
        <f t="shared" si="61"/>
        <v>818815882.8958652</v>
      </c>
      <c r="O99" s="726">
        <v>507815.00000000012</v>
      </c>
      <c r="P99" s="630">
        <f t="shared" si="62"/>
        <v>516244.72900000011</v>
      </c>
      <c r="Q99" s="688"/>
      <c r="R99" s="684"/>
      <c r="S99" s="688"/>
      <c r="T99" s="688"/>
      <c r="U99" s="684"/>
      <c r="V99" s="515"/>
      <c r="W99" s="688"/>
      <c r="X99" s="684"/>
      <c r="Y99" s="515"/>
    </row>
    <row r="100" spans="1:25">
      <c r="A100" s="678"/>
      <c r="O100" s="684"/>
    </row>
    <row r="101" spans="1:25">
      <c r="A101" s="678"/>
      <c r="B101" s="632" t="s">
        <v>1946</v>
      </c>
      <c r="G101" s="633"/>
    </row>
    <row r="102" spans="1:25">
      <c r="A102" s="680" t="s">
        <v>332</v>
      </c>
      <c r="B102" s="633"/>
      <c r="F102" s="729"/>
    </row>
    <row r="103" spans="1:25">
      <c r="A103" s="678">
        <f>A99+1</f>
        <v>74</v>
      </c>
      <c r="C103" s="691" t="s">
        <v>1938</v>
      </c>
      <c r="E103" s="692">
        <v>7.4999999999999997E-2</v>
      </c>
    </row>
    <row r="105" spans="1:25">
      <c r="A105" s="678"/>
      <c r="B105" s="632" t="s">
        <v>1948</v>
      </c>
    </row>
    <row r="106" spans="1:25">
      <c r="A106" s="680" t="s">
        <v>332</v>
      </c>
      <c r="F106" s="729"/>
    </row>
    <row r="107" spans="1:25">
      <c r="A107" s="678">
        <f>A103+1</f>
        <v>75</v>
      </c>
      <c r="B107" s="632"/>
      <c r="C107" s="629" t="s">
        <v>1939</v>
      </c>
      <c r="E107" s="692">
        <v>0.08</v>
      </c>
    </row>
    <row r="108" spans="1:25">
      <c r="A108" s="678"/>
      <c r="B108" s="633"/>
      <c r="C108" s="629"/>
    </row>
    <row r="109" spans="1:25">
      <c r="B109" s="632" t="s">
        <v>1949</v>
      </c>
    </row>
    <row r="110" spans="1:25">
      <c r="A110" s="680" t="s">
        <v>332</v>
      </c>
      <c r="B110" s="633"/>
      <c r="F110" s="729"/>
    </row>
    <row r="111" spans="1:25">
      <c r="A111" s="678">
        <f>A107+1</f>
        <v>76</v>
      </c>
      <c r="C111" s="629" t="s">
        <v>1940</v>
      </c>
      <c r="E111" s="692">
        <v>0.03</v>
      </c>
    </row>
    <row r="113" spans="1:9">
      <c r="B113" s="632" t="s">
        <v>1947</v>
      </c>
    </row>
    <row r="114" spans="1:9" s="674" customFormat="1">
      <c r="C114" s="686" t="s">
        <v>1994</v>
      </c>
      <c r="F114" s="693"/>
    </row>
    <row r="115" spans="1:9" s="678" customFormat="1">
      <c r="B115" s="674" t="s">
        <v>363</v>
      </c>
      <c r="C115" s="674" t="s">
        <v>347</v>
      </c>
      <c r="D115" s="674" t="s">
        <v>348</v>
      </c>
      <c r="E115" s="674" t="s">
        <v>349</v>
      </c>
      <c r="F115" s="674"/>
    </row>
    <row r="116" spans="1:9" s="674" customFormat="1">
      <c r="C116" s="678" t="s">
        <v>180</v>
      </c>
      <c r="D116" s="681"/>
      <c r="E116" s="1006" t="s">
        <v>1941</v>
      </c>
      <c r="F116" s="681"/>
    </row>
    <row r="117" spans="1:9">
      <c r="A117" s="678"/>
      <c r="B117" s="678"/>
      <c r="C117" s="678" t="str">
        <f>"Prior Year"</f>
        <v>Prior Year</v>
      </c>
      <c r="D117" s="679" t="s">
        <v>1942</v>
      </c>
      <c r="E117" s="679" t="s">
        <v>1358</v>
      </c>
      <c r="F117" s="679" t="s">
        <v>2074</v>
      </c>
    </row>
    <row r="118" spans="1:9">
      <c r="A118" s="674" t="s">
        <v>332</v>
      </c>
      <c r="B118" s="674" t="s">
        <v>1866</v>
      </c>
      <c r="C118" s="674" t="s">
        <v>1943</v>
      </c>
      <c r="D118" s="681" t="s">
        <v>13</v>
      </c>
      <c r="E118" s="681" t="s">
        <v>1942</v>
      </c>
      <c r="F118" s="125" t="s">
        <v>205</v>
      </c>
    </row>
    <row r="119" spans="1:9">
      <c r="A119" s="678">
        <f>A111+1</f>
        <v>77</v>
      </c>
      <c r="B119" s="678">
        <v>350.1</v>
      </c>
      <c r="C119" s="730">
        <f>'17-Depreciation'!C24</f>
        <v>86845703.104480594</v>
      </c>
      <c r="D119" s="1007">
        <f>'18-DepRates'!G6</f>
        <v>0</v>
      </c>
      <c r="E119" s="1008">
        <f>C119*D119</f>
        <v>0</v>
      </c>
      <c r="F119" s="1009" t="s">
        <v>2075</v>
      </c>
      <c r="H119" s="730"/>
      <c r="I119" s="728"/>
    </row>
    <row r="120" spans="1:9">
      <c r="A120" s="678">
        <f>A119+1</f>
        <v>78</v>
      </c>
      <c r="B120" s="678">
        <v>350.2</v>
      </c>
      <c r="C120" s="730">
        <f>'17-Depreciation'!D24</f>
        <v>165326927.2768119</v>
      </c>
      <c r="D120" s="1007">
        <f>'18-DepRates'!G7</f>
        <v>1.67E-2</v>
      </c>
      <c r="E120" s="1008">
        <f t="shared" ref="E120:E128" si="63">C120*D120</f>
        <v>2760959.6855227584</v>
      </c>
      <c r="F120" s="1009" t="s">
        <v>2076</v>
      </c>
      <c r="H120" s="730"/>
      <c r="I120" s="728"/>
    </row>
    <row r="121" spans="1:9">
      <c r="A121" s="678">
        <f t="shared" ref="A121:A133" si="64">A120+1</f>
        <v>79</v>
      </c>
      <c r="B121" s="678">
        <v>352</v>
      </c>
      <c r="C121" s="730">
        <f>'17-Depreciation'!E24</f>
        <v>531582610.71770966</v>
      </c>
      <c r="D121" s="1007">
        <f>'18-DepRates'!G8</f>
        <v>2.41E-2</v>
      </c>
      <c r="E121" s="1008">
        <f t="shared" si="63"/>
        <v>12811140.918296803</v>
      </c>
      <c r="F121" s="1009" t="s">
        <v>2077</v>
      </c>
      <c r="H121" s="730"/>
      <c r="I121" s="728"/>
    </row>
    <row r="122" spans="1:9">
      <c r="A122" s="678">
        <f t="shared" si="64"/>
        <v>80</v>
      </c>
      <c r="B122" s="678">
        <v>353</v>
      </c>
      <c r="C122" s="730">
        <f>'17-Depreciation'!F24</f>
        <v>3249175449.0339036</v>
      </c>
      <c r="D122" s="1007">
        <f>'18-DepRates'!G9</f>
        <v>2.8400000000000002E-2</v>
      </c>
      <c r="E122" s="1008">
        <f t="shared" si="63"/>
        <v>92276582.752562866</v>
      </c>
      <c r="F122" s="1009" t="s">
        <v>2078</v>
      </c>
      <c r="H122" s="730"/>
      <c r="I122" s="728"/>
    </row>
    <row r="123" spans="1:9">
      <c r="A123" s="678">
        <f t="shared" si="64"/>
        <v>81</v>
      </c>
      <c r="B123" s="678">
        <v>354</v>
      </c>
      <c r="C123" s="730">
        <f>'17-Depreciation'!G24</f>
        <v>2233991232.3950157</v>
      </c>
      <c r="D123" s="1007">
        <f>'18-DepRates'!G10</f>
        <v>2.7300000000000001E-2</v>
      </c>
      <c r="E123" s="1008">
        <f t="shared" si="63"/>
        <v>60987960.64438393</v>
      </c>
      <c r="F123" s="1009" t="s">
        <v>2079</v>
      </c>
      <c r="H123" s="730"/>
      <c r="I123" s="728"/>
    </row>
    <row r="124" spans="1:9">
      <c r="A124" s="678">
        <f t="shared" si="64"/>
        <v>82</v>
      </c>
      <c r="B124" s="678">
        <v>355</v>
      </c>
      <c r="C124" s="730">
        <f>'17-Depreciation'!H24</f>
        <v>324258227.67707634</v>
      </c>
      <c r="D124" s="1007">
        <f>'18-DepRates'!G11</f>
        <v>2.8400000000000002E-2</v>
      </c>
      <c r="E124" s="1008">
        <f t="shared" si="63"/>
        <v>9208933.666028969</v>
      </c>
      <c r="F124" s="1009" t="s">
        <v>2080</v>
      </c>
      <c r="H124" s="730"/>
      <c r="I124" s="728"/>
    </row>
    <row r="125" spans="1:9">
      <c r="A125" s="678">
        <f t="shared" si="64"/>
        <v>83</v>
      </c>
      <c r="B125" s="678">
        <v>356</v>
      </c>
      <c r="C125" s="730">
        <f>'17-Depreciation'!I24</f>
        <v>1235903789.8920355</v>
      </c>
      <c r="D125" s="1007">
        <f>'18-DepRates'!G12</f>
        <v>3.2399999999999998E-2</v>
      </c>
      <c r="E125" s="1008">
        <f t="shared" si="63"/>
        <v>40043282.792501949</v>
      </c>
      <c r="F125" s="1009" t="s">
        <v>2081</v>
      </c>
      <c r="H125" s="730"/>
      <c r="I125" s="728"/>
    </row>
    <row r="126" spans="1:9">
      <c r="A126" s="678">
        <f t="shared" si="64"/>
        <v>84</v>
      </c>
      <c r="B126" s="678">
        <v>357</v>
      </c>
      <c r="C126" s="730">
        <f>'17-Depreciation'!J24</f>
        <v>185508196.51391283</v>
      </c>
      <c r="D126" s="1007">
        <f>'18-DepRates'!G13</f>
        <v>1.7299999999999999E-2</v>
      </c>
      <c r="E126" s="1008">
        <f t="shared" si="63"/>
        <v>3209291.7996906918</v>
      </c>
      <c r="F126" s="1009" t="s">
        <v>2082</v>
      </c>
      <c r="H126" s="730"/>
      <c r="I126" s="728"/>
    </row>
    <row r="127" spans="1:9">
      <c r="A127" s="678">
        <f t="shared" si="64"/>
        <v>85</v>
      </c>
      <c r="B127" s="678">
        <v>358</v>
      </c>
      <c r="C127" s="730">
        <f>'17-Depreciation'!K24</f>
        <v>81951071.959831506</v>
      </c>
      <c r="D127" s="1007">
        <f>'18-DepRates'!G14</f>
        <v>2.41E-2</v>
      </c>
      <c r="E127" s="1008">
        <f t="shared" si="63"/>
        <v>1975020.8342319394</v>
      </c>
      <c r="F127" s="1009" t="s">
        <v>2083</v>
      </c>
      <c r="H127" s="730"/>
      <c r="I127" s="728"/>
    </row>
    <row r="128" spans="1:9">
      <c r="A128" s="678">
        <f t="shared" si="64"/>
        <v>86</v>
      </c>
      <c r="B128" s="678">
        <v>359</v>
      </c>
      <c r="C128" s="730">
        <f>'17-Depreciation'!L24</f>
        <v>182027086.53564012</v>
      </c>
      <c r="D128" s="1007">
        <f>'18-DepRates'!G15</f>
        <v>1.6500000000000001E-2</v>
      </c>
      <c r="E128" s="1008">
        <f t="shared" si="63"/>
        <v>3003446.9278380619</v>
      </c>
      <c r="F128" s="1009" t="s">
        <v>2084</v>
      </c>
      <c r="H128" s="730"/>
      <c r="I128" s="728"/>
    </row>
    <row r="129" spans="1:9">
      <c r="A129" s="678">
        <f t="shared" si="64"/>
        <v>87</v>
      </c>
    </row>
    <row r="130" spans="1:9">
      <c r="A130" s="678">
        <f t="shared" si="64"/>
        <v>88</v>
      </c>
      <c r="C130" s="694" t="s">
        <v>1944</v>
      </c>
      <c r="E130" s="731">
        <f>SUM(E119:E128)</f>
        <v>226276620.02105799</v>
      </c>
      <c r="F130" s="671" t="str">
        <f>"Sum of C"&amp;RIGHT(E115)&amp;" Lines "&amp;A119&amp;" to "&amp;A128</f>
        <v>Sum of C4 Lines 77 to 86</v>
      </c>
    </row>
    <row r="131" spans="1:9">
      <c r="A131" s="678">
        <f t="shared" si="64"/>
        <v>89</v>
      </c>
      <c r="C131" s="671" t="str">
        <f>"Sum of Dec Prior Year Plant"</f>
        <v>Sum of Dec Prior Year Plant</v>
      </c>
      <c r="E131" s="732">
        <f>SUM(C119:C128)</f>
        <v>8276570295.1064177</v>
      </c>
      <c r="F131" s="671" t="str">
        <f>"Sum of C"&amp;RIGHT(C115)&amp;" Lines "&amp;A119&amp;" to "&amp;A128</f>
        <v>Sum of C2 Lines 77 to 86</v>
      </c>
    </row>
    <row r="132" spans="1:9">
      <c r="A132" s="678">
        <f t="shared" si="64"/>
        <v>90</v>
      </c>
    </row>
    <row r="133" spans="1:9">
      <c r="A133" s="678">
        <f t="shared" si="64"/>
        <v>91</v>
      </c>
      <c r="C133" s="671" t="s">
        <v>1945</v>
      </c>
      <c r="E133" s="695">
        <f>E130/E131</f>
        <v>2.7339418618222297E-2</v>
      </c>
      <c r="F133" s="671" t="str">
        <f>"Line "&amp;A130&amp;" / Line "&amp;A131</f>
        <v>Line 88 / Line 89</v>
      </c>
    </row>
    <row r="134" spans="1:9">
      <c r="A134" s="678"/>
    </row>
    <row r="135" spans="1:9">
      <c r="A135" s="678"/>
      <c r="B135" s="670" t="s">
        <v>232</v>
      </c>
      <c r="C135"/>
      <c r="D135"/>
      <c r="E135"/>
      <c r="F135"/>
      <c r="G135"/>
      <c r="H135"/>
      <c r="I135"/>
    </row>
    <row r="136" spans="1:9">
      <c r="A136" s="678"/>
      <c r="B136" s="665" t="s">
        <v>2105</v>
      </c>
      <c r="C136" s="702"/>
      <c r="D136" s="702"/>
      <c r="E136" s="702"/>
      <c r="F136" s="702"/>
      <c r="G136" s="702"/>
      <c r="H136" s="702"/>
      <c r="I136" s="702"/>
    </row>
    <row r="137" spans="1:9">
      <c r="A137" s="678"/>
      <c r="B137" s="665" t="s">
        <v>2115</v>
      </c>
      <c r="C137"/>
      <c r="D137"/>
      <c r="E137"/>
      <c r="F137"/>
      <c r="G137"/>
      <c r="H137"/>
      <c r="I137"/>
    </row>
    <row r="138" spans="1:9">
      <c r="A138" s="678"/>
    </row>
    <row r="139" spans="1:9">
      <c r="A139" s="678"/>
    </row>
    <row r="140" spans="1:9">
      <c r="A140" s="678"/>
    </row>
    <row r="141" spans="1:9">
      <c r="A141" s="678"/>
    </row>
    <row r="142" spans="1:9">
      <c r="A142" s="678"/>
    </row>
    <row r="143" spans="1:9">
      <c r="A143" s="678"/>
    </row>
    <row r="144" spans="1:9">
      <c r="A144" s="678"/>
    </row>
    <row r="145" spans="1:1">
      <c r="A145" s="678"/>
    </row>
    <row r="146" spans="1:1">
      <c r="A146" s="678"/>
    </row>
    <row r="147" spans="1:1">
      <c r="A147" s="678"/>
    </row>
    <row r="148" spans="1:1">
      <c r="A148" s="678"/>
    </row>
    <row r="149" spans="1:1">
      <c r="A149" s="678"/>
    </row>
    <row r="150" spans="1:1">
      <c r="A150" s="678"/>
    </row>
    <row r="151" spans="1:1">
      <c r="A151" s="678"/>
    </row>
    <row r="152" spans="1:1">
      <c r="A152" s="678"/>
    </row>
    <row r="153" spans="1:1">
      <c r="A153" s="678"/>
    </row>
    <row r="154" spans="1:1">
      <c r="A154" s="678"/>
    </row>
    <row r="155" spans="1:1">
      <c r="A155" s="678"/>
    </row>
    <row r="156" spans="1:1">
      <c r="A156" s="678"/>
    </row>
    <row r="157" spans="1:1">
      <c r="A157" s="678"/>
    </row>
    <row r="158" spans="1:1">
      <c r="A158" s="678"/>
    </row>
    <row r="159" spans="1:1">
      <c r="A159" s="678"/>
    </row>
    <row r="160" spans="1:1">
      <c r="A160" s="678"/>
    </row>
    <row r="161" spans="1:1">
      <c r="A161" s="678"/>
    </row>
    <row r="162" spans="1:1">
      <c r="A162" s="678"/>
    </row>
    <row r="163" spans="1:1">
      <c r="A163" s="678"/>
    </row>
    <row r="164" spans="1:1">
      <c r="A164" s="678"/>
    </row>
    <row r="165" spans="1:1">
      <c r="A165" s="678"/>
    </row>
    <row r="166" spans="1:1">
      <c r="A166" s="678"/>
    </row>
    <row r="167" spans="1:1">
      <c r="A167" s="678"/>
    </row>
    <row r="168" spans="1:1">
      <c r="A168" s="678"/>
    </row>
    <row r="169" spans="1:1">
      <c r="A169" s="678"/>
    </row>
    <row r="170" spans="1:1">
      <c r="A170" s="678"/>
    </row>
    <row r="171" spans="1:1">
      <c r="A171" s="678"/>
    </row>
    <row r="172" spans="1:1">
      <c r="A172" s="678"/>
    </row>
    <row r="173" spans="1:1">
      <c r="A173" s="678"/>
    </row>
    <row r="174" spans="1:1">
      <c r="A174" s="678"/>
    </row>
    <row r="175" spans="1:1">
      <c r="A175" s="678"/>
    </row>
    <row r="176" spans="1:1">
      <c r="A176" s="678"/>
    </row>
    <row r="177" spans="1:1">
      <c r="A177" s="678"/>
    </row>
    <row r="178" spans="1:1">
      <c r="A178" s="678"/>
    </row>
    <row r="179" spans="1:1">
      <c r="A179" s="678"/>
    </row>
    <row r="180" spans="1:1">
      <c r="A180" s="678"/>
    </row>
    <row r="181" spans="1:1">
      <c r="A181" s="678"/>
    </row>
    <row r="182" spans="1:1">
      <c r="A182" s="678"/>
    </row>
    <row r="183" spans="1:1">
      <c r="A183" s="678"/>
    </row>
    <row r="184" spans="1:1">
      <c r="A184" s="678"/>
    </row>
    <row r="185" spans="1:1">
      <c r="A185" s="678"/>
    </row>
    <row r="186" spans="1:1">
      <c r="A186" s="678"/>
    </row>
    <row r="187" spans="1:1">
      <c r="A187" s="678"/>
    </row>
    <row r="188" spans="1:1">
      <c r="A188" s="678"/>
    </row>
    <row r="189" spans="1:1">
      <c r="A189" s="678"/>
    </row>
    <row r="190" spans="1:1">
      <c r="A190" s="678"/>
    </row>
    <row r="191" spans="1:1">
      <c r="A191" s="678"/>
    </row>
    <row r="192" spans="1:1">
      <c r="A192" s="678"/>
    </row>
    <row r="193" spans="1:1">
      <c r="A193" s="678"/>
    </row>
    <row r="194" spans="1:1">
      <c r="A194" s="678"/>
    </row>
    <row r="195" spans="1:1">
      <c r="A195" s="678"/>
    </row>
    <row r="196" spans="1:1">
      <c r="A196" s="678"/>
    </row>
    <row r="197" spans="1:1">
      <c r="A197" s="678"/>
    </row>
    <row r="198" spans="1:1">
      <c r="A198" s="678"/>
    </row>
    <row r="199" spans="1:1">
      <c r="A199" s="678"/>
    </row>
    <row r="200" spans="1:1">
      <c r="A200" s="678"/>
    </row>
    <row r="201" spans="1:1">
      <c r="A201" s="678"/>
    </row>
    <row r="202" spans="1:1">
      <c r="A202" s="678"/>
    </row>
    <row r="203" spans="1:1">
      <c r="A203" s="678"/>
    </row>
    <row r="204" spans="1:1">
      <c r="A204" s="678"/>
    </row>
  </sheetData>
  <pageMargins left="0.7" right="0.7" top="0.75" bottom="0.75" header="0.3" footer="0.3"/>
  <pageSetup scale="52" orientation="landscape" cellComments="asDisplayed" r:id="rId1"/>
  <headerFooter>
    <oddHeader>&amp;CSchedule 16
Plant Additions
&amp;RExhibit SCE-4
TO2018 Formula Rate Spreadsheet</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252</v>
      </c>
      <c r="B1" s="234"/>
      <c r="C1" s="234"/>
      <c r="D1" s="234"/>
      <c r="E1" s="234"/>
      <c r="F1" s="234"/>
      <c r="G1" s="234"/>
      <c r="H1" s="234"/>
      <c r="I1" s="545" t="s">
        <v>454</v>
      </c>
      <c r="J1" s="186"/>
      <c r="K1" s="234"/>
      <c r="L1" s="234"/>
      <c r="M1" s="234"/>
    </row>
    <row r="2" spans="1:13">
      <c r="A2" s="234"/>
      <c r="B2" s="234"/>
      <c r="C2" s="234"/>
      <c r="D2" s="234"/>
      <c r="E2" s="234"/>
      <c r="F2" s="234"/>
      <c r="G2" s="234"/>
      <c r="H2" s="234"/>
      <c r="K2" s="234"/>
      <c r="L2" s="234"/>
      <c r="M2" s="234"/>
    </row>
    <row r="3" spans="1:13">
      <c r="A3" s="234"/>
      <c r="B3" s="1" t="s">
        <v>976</v>
      </c>
      <c r="C3" s="234"/>
      <c r="D3" s="234"/>
      <c r="E3" s="234"/>
      <c r="F3" s="234"/>
      <c r="G3" s="234"/>
      <c r="H3" s="243"/>
      <c r="I3" s="986" t="s">
        <v>1746</v>
      </c>
      <c r="J3" s="417">
        <v>2016</v>
      </c>
      <c r="K3" s="234"/>
      <c r="L3" s="234"/>
      <c r="M3" s="234"/>
    </row>
    <row r="4" spans="1:13">
      <c r="A4" s="234"/>
      <c r="B4" s="234"/>
      <c r="C4" s="234"/>
      <c r="D4" s="234"/>
      <c r="E4" s="234"/>
      <c r="F4" s="234"/>
      <c r="G4" s="234"/>
      <c r="H4" s="243"/>
      <c r="I4" s="243"/>
      <c r="J4" s="234"/>
      <c r="K4" s="234"/>
      <c r="L4" s="234"/>
      <c r="M4" s="234"/>
    </row>
    <row r="5" spans="1:13">
      <c r="A5" s="234"/>
      <c r="B5" s="503" t="s">
        <v>979</v>
      </c>
      <c r="C5" s="234"/>
      <c r="D5" s="234"/>
      <c r="E5" s="234"/>
      <c r="F5" s="234"/>
      <c r="G5" s="234"/>
      <c r="H5" s="505" t="s">
        <v>1800</v>
      </c>
      <c r="I5" s="243"/>
      <c r="J5" s="234"/>
      <c r="K5" s="234"/>
      <c r="L5" s="234"/>
      <c r="M5" s="234"/>
    </row>
    <row r="6" spans="1:13">
      <c r="A6" s="234"/>
      <c r="B6" s="234"/>
      <c r="C6" s="234"/>
      <c r="D6" s="234"/>
      <c r="E6" s="234"/>
      <c r="F6" s="234"/>
      <c r="G6" s="234"/>
      <c r="H6" s="234"/>
      <c r="I6" s="234"/>
      <c r="J6" s="234"/>
      <c r="K6" s="234"/>
      <c r="L6" s="234"/>
      <c r="M6" s="234"/>
    </row>
    <row r="7" spans="1:13">
      <c r="A7" s="234"/>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4"/>
      <c r="B8" s="251"/>
      <c r="C8" s="234"/>
      <c r="D8" s="234"/>
      <c r="E8" s="234"/>
      <c r="F8" s="234"/>
      <c r="G8" s="234"/>
      <c r="H8" s="234"/>
      <c r="I8" s="234"/>
      <c r="J8" s="234"/>
      <c r="K8" s="234"/>
      <c r="L8" s="234"/>
      <c r="M8" s="234"/>
    </row>
    <row r="9" spans="1:13">
      <c r="A9" s="234"/>
      <c r="B9" s="111"/>
      <c r="C9" s="546" t="s">
        <v>12</v>
      </c>
      <c r="D9" s="234"/>
      <c r="E9" s="234"/>
      <c r="F9" s="234"/>
      <c r="G9" s="234"/>
      <c r="H9" s="234"/>
      <c r="I9" s="234"/>
      <c r="J9" s="234"/>
      <c r="K9" s="234"/>
      <c r="L9" s="234"/>
      <c r="M9" s="234"/>
    </row>
    <row r="10" spans="1:13">
      <c r="A10" s="234"/>
      <c r="B10" s="111"/>
      <c r="C10" s="546" t="s">
        <v>975</v>
      </c>
      <c r="D10" s="234"/>
      <c r="E10" s="234"/>
      <c r="F10" s="234"/>
      <c r="G10" s="234"/>
      <c r="H10" s="234"/>
      <c r="I10" s="234"/>
      <c r="J10" s="234"/>
      <c r="K10" s="234"/>
      <c r="L10" s="234"/>
      <c r="M10" s="234"/>
    </row>
    <row r="11" spans="1:13">
      <c r="A11" s="51" t="s">
        <v>332</v>
      </c>
      <c r="B11" s="125" t="s">
        <v>1782</v>
      </c>
      <c r="C11" s="84">
        <v>350.1</v>
      </c>
      <c r="D11" s="84">
        <v>350.2</v>
      </c>
      <c r="E11" s="84">
        <v>352</v>
      </c>
      <c r="F11" s="84">
        <v>353</v>
      </c>
      <c r="G11" s="84">
        <v>354</v>
      </c>
      <c r="H11" s="84">
        <v>355</v>
      </c>
      <c r="I11" s="84">
        <v>356</v>
      </c>
      <c r="J11" s="84">
        <v>357</v>
      </c>
      <c r="K11" s="84">
        <v>358</v>
      </c>
      <c r="L11" s="84">
        <v>359</v>
      </c>
      <c r="M11" s="3" t="s">
        <v>196</v>
      </c>
    </row>
    <row r="12" spans="1:13">
      <c r="A12" s="600">
        <v>1</v>
      </c>
      <c r="B12" s="1072" t="s">
        <v>2471</v>
      </c>
      <c r="C12" s="236">
        <f>'6-PlantInService'!C11</f>
        <v>77976654.562520087</v>
      </c>
      <c r="D12" s="236">
        <f>'6-PlantInService'!D11</f>
        <v>163072480.04595727</v>
      </c>
      <c r="E12" s="236">
        <f>'6-PlantInService'!E11</f>
        <v>470458375.70606768</v>
      </c>
      <c r="F12" s="236">
        <f>'6-PlantInService'!F11</f>
        <v>3030177246.8036795</v>
      </c>
      <c r="G12" s="236">
        <f>'6-PlantInService'!G11</f>
        <v>2164622762.8245416</v>
      </c>
      <c r="H12" s="236">
        <f>'6-PlantInService'!H11</f>
        <v>310678566.28323245</v>
      </c>
      <c r="I12" s="236">
        <f>'6-PlantInService'!I11</f>
        <v>1239646180.7050807</v>
      </c>
      <c r="J12" s="236">
        <f>'6-PlantInService'!J11</f>
        <v>221416.38459709552</v>
      </c>
      <c r="K12" s="236">
        <f>'6-PlantInService'!K11</f>
        <v>13011928.174370928</v>
      </c>
      <c r="L12" s="236">
        <f>'6-PlantInService'!L11</f>
        <v>187087540.77399367</v>
      </c>
      <c r="M12" s="236">
        <f>'6-PlantInService'!M11</f>
        <v>7656953152.2640409</v>
      </c>
    </row>
    <row r="13" spans="1:13">
      <c r="A13" s="600">
        <f>A12+1</f>
        <v>2</v>
      </c>
      <c r="B13" s="1072" t="s">
        <v>2472</v>
      </c>
      <c r="C13" s="236">
        <f>'6-PlantInService'!C12</f>
        <v>77366105.920756206</v>
      </c>
      <c r="D13" s="236">
        <f>'6-PlantInService'!D12</f>
        <v>163089424.98509225</v>
      </c>
      <c r="E13" s="236">
        <f>'6-PlantInService'!E12</f>
        <v>477787636.76367897</v>
      </c>
      <c r="F13" s="236">
        <f>'6-PlantInService'!F12</f>
        <v>3038238129.4965858</v>
      </c>
      <c r="G13" s="236">
        <f>'6-PlantInService'!G12</f>
        <v>2149854075.4226894</v>
      </c>
      <c r="H13" s="236">
        <f>'6-PlantInService'!H12</f>
        <v>312467578.99467111</v>
      </c>
      <c r="I13" s="236">
        <f>'6-PlantInService'!I12</f>
        <v>1241589579.006793</v>
      </c>
      <c r="J13" s="236">
        <f>'6-PlantInService'!J12</f>
        <v>221418.79555946231</v>
      </c>
      <c r="K13" s="236">
        <f>'6-PlantInService'!K12</f>
        <v>13016282.411001131</v>
      </c>
      <c r="L13" s="236">
        <f>'6-PlantInService'!L12</f>
        <v>187350498.21426925</v>
      </c>
      <c r="M13" s="236">
        <f>'6-PlantInService'!M12</f>
        <v>7660980730.011097</v>
      </c>
    </row>
    <row r="14" spans="1:13">
      <c r="A14" s="600">
        <f t="shared" ref="A14:A76" si="0">A13+1</f>
        <v>3</v>
      </c>
      <c r="B14" s="1072" t="s">
        <v>2473</v>
      </c>
      <c r="C14" s="236">
        <f>'6-PlantInService'!C13</f>
        <v>77365695.692265838</v>
      </c>
      <c r="D14" s="236">
        <f>'6-PlantInService'!D13</f>
        <v>163086101.86980206</v>
      </c>
      <c r="E14" s="236">
        <f>'6-PlantInService'!E13</f>
        <v>470257228.66222346</v>
      </c>
      <c r="F14" s="236">
        <f>'6-PlantInService'!F13</f>
        <v>3058743183.1241899</v>
      </c>
      <c r="G14" s="236">
        <f>'6-PlantInService'!G13</f>
        <v>2152015903.4512615</v>
      </c>
      <c r="H14" s="236">
        <f>'6-PlantInService'!H13</f>
        <v>313580382.27082932</v>
      </c>
      <c r="I14" s="236">
        <f>'6-PlantInService'!I13</f>
        <v>1242505439.2727523</v>
      </c>
      <c r="J14" s="236">
        <f>'6-PlantInService'!J13</f>
        <v>221418.7314081146</v>
      </c>
      <c r="K14" s="236">
        <f>'6-PlantInService'!K13</f>
        <v>13016546.704568366</v>
      </c>
      <c r="L14" s="236">
        <f>'6-PlantInService'!L13</f>
        <v>187651223.48926169</v>
      </c>
      <c r="M14" s="236">
        <f>'6-PlantInService'!M13</f>
        <v>7678443123.2685623</v>
      </c>
    </row>
    <row r="15" spans="1:13">
      <c r="A15" s="600">
        <f t="shared" si="0"/>
        <v>4</v>
      </c>
      <c r="B15" s="1072" t="s">
        <v>2474</v>
      </c>
      <c r="C15" s="236">
        <f>'6-PlantInService'!C14</f>
        <v>87298556.972211495</v>
      </c>
      <c r="D15" s="236">
        <f>'6-PlantInService'!D14</f>
        <v>163152629.64478576</v>
      </c>
      <c r="E15" s="236">
        <f>'6-PlantInService'!E14</f>
        <v>476439567.91679418</v>
      </c>
      <c r="F15" s="236">
        <f>'6-PlantInService'!F14</f>
        <v>3076643566.7201924</v>
      </c>
      <c r="G15" s="236">
        <f>'6-PlantInService'!G14</f>
        <v>2150669452.918088</v>
      </c>
      <c r="H15" s="236">
        <f>'6-PlantInService'!H14</f>
        <v>315593552.71820909</v>
      </c>
      <c r="I15" s="236">
        <f>'6-PlantInService'!I14</f>
        <v>1245422772.2587121</v>
      </c>
      <c r="J15" s="236">
        <f>'6-PlantInService'!J14</f>
        <v>221418.80131375283</v>
      </c>
      <c r="K15" s="236">
        <f>'6-PlantInService'!K14</f>
        <v>13020184.442469927</v>
      </c>
      <c r="L15" s="236">
        <f>'6-PlantInService'!L14</f>
        <v>190200198.58978724</v>
      </c>
      <c r="M15" s="236">
        <f>'6-PlantInService'!M14</f>
        <v>7718661900.982563</v>
      </c>
    </row>
    <row r="16" spans="1:13">
      <c r="A16" s="600">
        <f t="shared" si="0"/>
        <v>5</v>
      </c>
      <c r="B16" s="1072" t="s">
        <v>2475</v>
      </c>
      <c r="C16" s="236">
        <f>'6-PlantInService'!C15</f>
        <v>87309334.695010051</v>
      </c>
      <c r="D16" s="236">
        <f>'6-PlantInService'!D15</f>
        <v>163197608.62657893</v>
      </c>
      <c r="E16" s="236">
        <f>'6-PlantInService'!E15</f>
        <v>491408710.10338807</v>
      </c>
      <c r="F16" s="236">
        <f>'6-PlantInService'!F15</f>
        <v>3089452188.1863966</v>
      </c>
      <c r="G16" s="236">
        <f>'6-PlantInService'!G15</f>
        <v>2155881434.0841064</v>
      </c>
      <c r="H16" s="236">
        <f>'6-PlantInService'!H15</f>
        <v>316787446.86551559</v>
      </c>
      <c r="I16" s="236">
        <f>'6-PlantInService'!I15</f>
        <v>1245937740.934953</v>
      </c>
      <c r="J16" s="236">
        <f>'6-PlantInService'!J15</f>
        <v>221424.77976607962</v>
      </c>
      <c r="K16" s="236">
        <f>'6-PlantInService'!K15</f>
        <v>14735209.524758596</v>
      </c>
      <c r="L16" s="236">
        <f>'6-PlantInService'!L15</f>
        <v>190592879.66058707</v>
      </c>
      <c r="M16" s="236">
        <f>'6-PlantInService'!M15</f>
        <v>7755523977.4610605</v>
      </c>
    </row>
    <row r="17" spans="1:14">
      <c r="A17" s="600">
        <f t="shared" si="0"/>
        <v>6</v>
      </c>
      <c r="B17" s="1072" t="s">
        <v>2476</v>
      </c>
      <c r="C17" s="236">
        <f>'6-PlantInService'!C16</f>
        <v>87317064.559089109</v>
      </c>
      <c r="D17" s="236">
        <f>'6-PlantInService'!D16</f>
        <v>163204896.01935875</v>
      </c>
      <c r="E17" s="236">
        <f>'6-PlantInService'!E16</f>
        <v>491870167.20857477</v>
      </c>
      <c r="F17" s="236">
        <f>'6-PlantInService'!F16</f>
        <v>3090721159.1595273</v>
      </c>
      <c r="G17" s="236">
        <f>'6-PlantInService'!G16</f>
        <v>2149317763.7040763</v>
      </c>
      <c r="H17" s="236">
        <f>'6-PlantInService'!H16</f>
        <v>317533976.09647954</v>
      </c>
      <c r="I17" s="236">
        <f>'6-PlantInService'!I16</f>
        <v>1246282242.7515957</v>
      </c>
      <c r="J17" s="236">
        <f>'6-PlantInService'!J16</f>
        <v>221425.39641335516</v>
      </c>
      <c r="K17" s="236">
        <f>'6-PlantInService'!K16</f>
        <v>15083340.179385828</v>
      </c>
      <c r="L17" s="236">
        <f>'6-PlantInService'!L16</f>
        <v>191019612.6532428</v>
      </c>
      <c r="M17" s="236">
        <f>'6-PlantInService'!M16</f>
        <v>7752571647.7277441</v>
      </c>
    </row>
    <row r="18" spans="1:14">
      <c r="A18" s="600">
        <f t="shared" si="0"/>
        <v>7</v>
      </c>
      <c r="B18" s="1072" t="s">
        <v>2477</v>
      </c>
      <c r="C18" s="236">
        <f>'6-PlantInService'!C17</f>
        <v>86794533.452252254</v>
      </c>
      <c r="D18" s="236">
        <f>'6-PlantInService'!D17</f>
        <v>162983298.15184397</v>
      </c>
      <c r="E18" s="236">
        <f>'6-PlantInService'!E17</f>
        <v>496064460.63903189</v>
      </c>
      <c r="F18" s="236">
        <f>'6-PlantInService'!F17</f>
        <v>3120246532.2894578</v>
      </c>
      <c r="G18" s="236">
        <f>'6-PlantInService'!G17</f>
        <v>2210512876.8160768</v>
      </c>
      <c r="H18" s="236">
        <f>'6-PlantInService'!H17</f>
        <v>318450055.48245621</v>
      </c>
      <c r="I18" s="236">
        <f>'6-PlantInService'!I17</f>
        <v>1247245617.2742162</v>
      </c>
      <c r="J18" s="236">
        <f>'6-PlantInService'!J17</f>
        <v>221433.7484034512</v>
      </c>
      <c r="K18" s="236">
        <f>'6-PlantInService'!K17</f>
        <v>15146686.808536716</v>
      </c>
      <c r="L18" s="236">
        <f>'6-PlantInService'!L17</f>
        <v>192180088.88538799</v>
      </c>
      <c r="M18" s="236">
        <f>'6-PlantInService'!M17</f>
        <v>7849845583.5476637</v>
      </c>
    </row>
    <row r="19" spans="1:14">
      <c r="A19" s="600">
        <f t="shared" si="0"/>
        <v>8</v>
      </c>
      <c r="B19" s="1072" t="s">
        <v>2478</v>
      </c>
      <c r="C19" s="236">
        <f>'6-PlantInService'!C18</f>
        <v>86801874.153581992</v>
      </c>
      <c r="D19" s="236">
        <f>'6-PlantInService'!D18</f>
        <v>162990136.80559924</v>
      </c>
      <c r="E19" s="236">
        <f>'6-PlantInService'!E18</f>
        <v>501268131.69438076</v>
      </c>
      <c r="F19" s="236">
        <f>'6-PlantInService'!F18</f>
        <v>3170862943.2358661</v>
      </c>
      <c r="G19" s="236">
        <f>'6-PlantInService'!G18</f>
        <v>2212689387.4658561</v>
      </c>
      <c r="H19" s="236">
        <f>'6-PlantInService'!H18</f>
        <v>319127827.92367125</v>
      </c>
      <c r="I19" s="236">
        <f>'6-PlantInService'!I18</f>
        <v>1247320275.4718237</v>
      </c>
      <c r="J19" s="236">
        <f>'6-PlantInService'!J18</f>
        <v>221435.31043919784</v>
      </c>
      <c r="K19" s="236">
        <f>'6-PlantInService'!K18</f>
        <v>15149825.277675817</v>
      </c>
      <c r="L19" s="236">
        <f>'6-PlantInService'!L18</f>
        <v>192445154.97929978</v>
      </c>
      <c r="M19" s="236">
        <f>'6-PlantInService'!M18</f>
        <v>7908876992.3181934</v>
      </c>
    </row>
    <row r="20" spans="1:14">
      <c r="A20" s="600">
        <f t="shared" si="0"/>
        <v>9</v>
      </c>
      <c r="B20" s="1072" t="s">
        <v>2479</v>
      </c>
      <c r="C20" s="236">
        <f>'6-PlantInService'!C19</f>
        <v>86799925.561732322</v>
      </c>
      <c r="D20" s="236">
        <f>'6-PlantInService'!D19</f>
        <v>163006399.12982112</v>
      </c>
      <c r="E20" s="236">
        <f>'6-PlantInService'!E19</f>
        <v>501046195.10621768</v>
      </c>
      <c r="F20" s="236">
        <f>'6-PlantInService'!F19</f>
        <v>3171072527.4458294</v>
      </c>
      <c r="G20" s="236">
        <f>'6-PlantInService'!G19</f>
        <v>2228283811.4142423</v>
      </c>
      <c r="H20" s="236">
        <f>'6-PlantInService'!H19</f>
        <v>319715188.55151832</v>
      </c>
      <c r="I20" s="236">
        <f>'6-PlantInService'!I19</f>
        <v>1241488154.0594299</v>
      </c>
      <c r="J20" s="236">
        <f>'6-PlantInService'!J19</f>
        <v>221437.01124565469</v>
      </c>
      <c r="K20" s="236">
        <f>'6-PlantInService'!K19</f>
        <v>15146092.306163164</v>
      </c>
      <c r="L20" s="236">
        <f>'6-PlantInService'!L19</f>
        <v>178450653.71980661</v>
      </c>
      <c r="M20" s="236">
        <f>'6-PlantInService'!M19</f>
        <v>7905230384.3060064</v>
      </c>
    </row>
    <row r="21" spans="1:14">
      <c r="A21" s="600">
        <f t="shared" si="0"/>
        <v>10</v>
      </c>
      <c r="B21" s="1072" t="s">
        <v>2480</v>
      </c>
      <c r="C21" s="236">
        <f>'6-PlantInService'!C20</f>
        <v>86814703.794480577</v>
      </c>
      <c r="D21" s="236">
        <f>'6-PlantInService'!D20</f>
        <v>165199256.83283538</v>
      </c>
      <c r="E21" s="236">
        <f>'6-PlantInService'!E20</f>
        <v>502725446.31547678</v>
      </c>
      <c r="F21" s="236">
        <f>'6-PlantInService'!F20</f>
        <v>3174643081.8659549</v>
      </c>
      <c r="G21" s="236">
        <f>'6-PlantInService'!G20</f>
        <v>2227591399.5001597</v>
      </c>
      <c r="H21" s="236">
        <f>'6-PlantInService'!H20</f>
        <v>320439815.92619103</v>
      </c>
      <c r="I21" s="236">
        <f>'6-PlantInService'!I20</f>
        <v>1245055135.6351149</v>
      </c>
      <c r="J21" s="236">
        <f>'6-PlantInService'!J20</f>
        <v>178517523.39752224</v>
      </c>
      <c r="K21" s="236">
        <f>'6-PlantInService'!K20</f>
        <v>77483574.966586709</v>
      </c>
      <c r="L21" s="236">
        <f>'6-PlantInService'!L20</f>
        <v>178430166.24676564</v>
      </c>
      <c r="M21" s="236">
        <f>'6-PlantInService'!M20</f>
        <v>8156900104.4810877</v>
      </c>
    </row>
    <row r="22" spans="1:14">
      <c r="A22" s="600">
        <f t="shared" si="0"/>
        <v>11</v>
      </c>
      <c r="B22" s="1072" t="s">
        <v>2481</v>
      </c>
      <c r="C22" s="236">
        <f>'6-PlantInService'!C21</f>
        <v>86813903.174480587</v>
      </c>
      <c r="D22" s="236">
        <f>'6-PlantInService'!D21</f>
        <v>165297497.49586365</v>
      </c>
      <c r="E22" s="236">
        <f>'6-PlantInService'!E21</f>
        <v>517665601.98983687</v>
      </c>
      <c r="F22" s="236">
        <f>'6-PlantInService'!F21</f>
        <v>3188871201.80125</v>
      </c>
      <c r="G22" s="236">
        <f>'6-PlantInService'!G21</f>
        <v>2231665227.0662451</v>
      </c>
      <c r="H22" s="236">
        <f>'6-PlantInService'!H21</f>
        <v>321310132.43241912</v>
      </c>
      <c r="I22" s="236">
        <f>'6-PlantInService'!I21</f>
        <v>1251456010.4862823</v>
      </c>
      <c r="J22" s="236">
        <f>'6-PlantInService'!J21</f>
        <v>180892151.29278865</v>
      </c>
      <c r="K22" s="236">
        <f>'6-PlantInService'!K21</f>
        <v>80351534.418137401</v>
      </c>
      <c r="L22" s="236">
        <f>'6-PlantInService'!L21</f>
        <v>179079774.01582778</v>
      </c>
      <c r="M22" s="236">
        <f>'6-PlantInService'!M21</f>
        <v>8203403034.173131</v>
      </c>
    </row>
    <row r="23" spans="1:14">
      <c r="A23" s="600">
        <f t="shared" si="0"/>
        <v>12</v>
      </c>
      <c r="B23" s="1072" t="s">
        <v>2482</v>
      </c>
      <c r="C23" s="236">
        <f>'6-PlantInService'!C22</f>
        <v>86821376.924480587</v>
      </c>
      <c r="D23" s="236">
        <f>'6-PlantInService'!D22</f>
        <v>165325104.26987207</v>
      </c>
      <c r="E23" s="236">
        <f>'6-PlantInService'!E22</f>
        <v>520661331.25752884</v>
      </c>
      <c r="F23" s="236">
        <f>'6-PlantInService'!F22</f>
        <v>3201337814.1615868</v>
      </c>
      <c r="G23" s="236">
        <f>'6-PlantInService'!G22</f>
        <v>2220025051.9682417</v>
      </c>
      <c r="H23" s="236">
        <f>'6-PlantInService'!H22</f>
        <v>322121103.06521958</v>
      </c>
      <c r="I23" s="236">
        <f>'6-PlantInService'!I22</f>
        <v>1251410453.1164365</v>
      </c>
      <c r="J23" s="236">
        <f>'6-PlantInService'!J22</f>
        <v>184358840.71159336</v>
      </c>
      <c r="K23" s="236">
        <f>'6-PlantInService'!K22</f>
        <v>81550529.758004189</v>
      </c>
      <c r="L23" s="236">
        <f>'6-PlantInService'!L22</f>
        <v>179287045.11759129</v>
      </c>
      <c r="M23" s="236">
        <f>'6-PlantInService'!M22</f>
        <v>8212898650.3505554</v>
      </c>
    </row>
    <row r="24" spans="1:14">
      <c r="A24" s="600">
        <f t="shared" si="0"/>
        <v>13</v>
      </c>
      <c r="B24" s="1072" t="s">
        <v>2483</v>
      </c>
      <c r="C24" s="236">
        <f>'6-PlantInService'!C23</f>
        <v>86845703.104480594</v>
      </c>
      <c r="D24" s="236">
        <f>'6-PlantInService'!D23</f>
        <v>165326927.2768119</v>
      </c>
      <c r="E24" s="236">
        <f>'6-PlantInService'!E23</f>
        <v>531582610.71770966</v>
      </c>
      <c r="F24" s="236">
        <f>'6-PlantInService'!F23</f>
        <v>3249175449.0339036</v>
      </c>
      <c r="G24" s="236">
        <f>'6-PlantInService'!G23</f>
        <v>2233991232.3950157</v>
      </c>
      <c r="H24" s="236">
        <f>'6-PlantInService'!H23</f>
        <v>324258227.67707634</v>
      </c>
      <c r="I24" s="236">
        <f>'6-PlantInService'!I23</f>
        <v>1235903789.8920355</v>
      </c>
      <c r="J24" s="236">
        <f>'6-PlantInService'!J23</f>
        <v>185508196.51391283</v>
      </c>
      <c r="K24" s="236">
        <f>'6-PlantInService'!K23</f>
        <v>81951071.959831506</v>
      </c>
      <c r="L24" s="236">
        <f>'6-PlantInService'!L23</f>
        <v>182027086.53564012</v>
      </c>
      <c r="M24" s="236">
        <f>'6-PlantInService'!M23</f>
        <v>8276570295.1064177</v>
      </c>
    </row>
    <row r="25" spans="1:14">
      <c r="A25" s="600">
        <f t="shared" si="0"/>
        <v>14</v>
      </c>
      <c r="B25" s="234"/>
      <c r="C25" s="234"/>
      <c r="D25" s="234"/>
      <c r="E25" s="234"/>
      <c r="F25" s="234"/>
      <c r="G25" s="234"/>
      <c r="H25" s="234"/>
      <c r="I25" s="234"/>
      <c r="J25" s="234"/>
      <c r="K25" s="234"/>
      <c r="L25" s="234"/>
      <c r="M25" s="234"/>
    </row>
    <row r="26" spans="1:14">
      <c r="A26" s="600">
        <f t="shared" si="0"/>
        <v>15</v>
      </c>
      <c r="B26" s="665" t="s">
        <v>2054</v>
      </c>
      <c r="C26" s="243"/>
      <c r="D26" s="243"/>
      <c r="E26" s="243"/>
      <c r="F26" s="243"/>
      <c r="G26" s="243"/>
      <c r="H26" s="243"/>
      <c r="I26" s="234"/>
      <c r="J26" s="234"/>
      <c r="K26" s="234"/>
      <c r="L26" s="234"/>
      <c r="M26" s="234"/>
    </row>
    <row r="27" spans="1:14">
      <c r="A27" s="600"/>
      <c r="B27" s="111"/>
      <c r="C27" s="243"/>
      <c r="D27" s="243"/>
      <c r="E27" s="243"/>
      <c r="F27" s="243"/>
      <c r="G27" s="234"/>
      <c r="H27" s="234"/>
      <c r="I27" s="234"/>
      <c r="J27" s="234"/>
      <c r="K27" s="234"/>
      <c r="L27" s="234"/>
      <c r="M27" s="234"/>
    </row>
    <row r="28" spans="1:14">
      <c r="A28" s="600">
        <f>A26+1</f>
        <v>16</v>
      </c>
      <c r="B28" s="125" t="s">
        <v>1782</v>
      </c>
      <c r="C28" s="363">
        <v>350.1</v>
      </c>
      <c r="D28" s="363">
        <v>350.2</v>
      </c>
      <c r="E28" s="363">
        <v>352</v>
      </c>
      <c r="F28" s="363">
        <v>353</v>
      </c>
      <c r="G28" s="84">
        <v>354</v>
      </c>
      <c r="H28" s="84">
        <v>355</v>
      </c>
      <c r="I28" s="84">
        <v>356</v>
      </c>
      <c r="J28" s="84">
        <v>357</v>
      </c>
      <c r="K28" s="84">
        <v>358</v>
      </c>
      <c r="L28" s="84">
        <v>359</v>
      </c>
      <c r="M28" s="3"/>
    </row>
    <row r="29" spans="1:14">
      <c r="A29" s="600" t="s">
        <v>2055</v>
      </c>
      <c r="B29" s="1072" t="s">
        <v>2471</v>
      </c>
      <c r="C29" s="769">
        <v>0</v>
      </c>
      <c r="D29" s="769">
        <v>1.66E-2</v>
      </c>
      <c r="E29" s="769">
        <v>2.5700000000000001E-2</v>
      </c>
      <c r="F29" s="769">
        <v>2.47E-2</v>
      </c>
      <c r="G29" s="769">
        <v>2.4400000000000002E-2</v>
      </c>
      <c r="H29" s="769">
        <v>3.6700000000000003E-2</v>
      </c>
      <c r="I29" s="769">
        <v>3.0499999999999999E-2</v>
      </c>
      <c r="J29" s="769">
        <v>1.6500000000000001E-2</v>
      </c>
      <c r="K29" s="769">
        <v>3.8699999999999998E-2</v>
      </c>
      <c r="L29" s="769">
        <v>1.5599999999999999E-2</v>
      </c>
      <c r="M29" s="234"/>
      <c r="N29" s="544"/>
    </row>
    <row r="30" spans="1:14">
      <c r="A30" s="600" t="s">
        <v>2056</v>
      </c>
      <c r="B30" s="1072" t="s">
        <v>2472</v>
      </c>
      <c r="C30" s="769">
        <v>0</v>
      </c>
      <c r="D30" s="769">
        <v>1.66E-2</v>
      </c>
      <c r="E30" s="769">
        <v>2.5700000000000001E-2</v>
      </c>
      <c r="F30" s="769">
        <v>2.47E-2</v>
      </c>
      <c r="G30" s="769">
        <v>2.4400000000000002E-2</v>
      </c>
      <c r="H30" s="769">
        <v>3.6700000000000003E-2</v>
      </c>
      <c r="I30" s="769">
        <v>3.0499999999999999E-2</v>
      </c>
      <c r="J30" s="769">
        <v>1.6500000000000001E-2</v>
      </c>
      <c r="K30" s="769">
        <v>3.8699999999999998E-2</v>
      </c>
      <c r="L30" s="769">
        <v>1.5599999999999999E-2</v>
      </c>
      <c r="M30" s="234"/>
      <c r="N30" s="544"/>
    </row>
    <row r="31" spans="1:14">
      <c r="A31" s="600" t="s">
        <v>2057</v>
      </c>
      <c r="B31" s="1072" t="s">
        <v>2473</v>
      </c>
      <c r="C31" s="769">
        <v>0</v>
      </c>
      <c r="D31" s="769">
        <v>1.66E-2</v>
      </c>
      <c r="E31" s="769">
        <v>2.5700000000000001E-2</v>
      </c>
      <c r="F31" s="769">
        <v>2.47E-2</v>
      </c>
      <c r="G31" s="769">
        <v>2.4400000000000002E-2</v>
      </c>
      <c r="H31" s="769">
        <v>3.6700000000000003E-2</v>
      </c>
      <c r="I31" s="769">
        <v>3.0499999999999999E-2</v>
      </c>
      <c r="J31" s="769">
        <v>1.6500000000000001E-2</v>
      </c>
      <c r="K31" s="769">
        <v>3.8699999999999998E-2</v>
      </c>
      <c r="L31" s="769">
        <v>1.5599999999999999E-2</v>
      </c>
      <c r="M31" s="234"/>
      <c r="N31" s="544"/>
    </row>
    <row r="32" spans="1:14">
      <c r="A32" s="600" t="s">
        <v>2058</v>
      </c>
      <c r="B32" s="1072" t="s">
        <v>2474</v>
      </c>
      <c r="C32" s="769">
        <v>0</v>
      </c>
      <c r="D32" s="769">
        <v>1.66E-2</v>
      </c>
      <c r="E32" s="769">
        <v>2.5700000000000001E-2</v>
      </c>
      <c r="F32" s="769">
        <v>2.47E-2</v>
      </c>
      <c r="G32" s="769">
        <v>2.4400000000000002E-2</v>
      </c>
      <c r="H32" s="769">
        <v>3.6700000000000003E-2</v>
      </c>
      <c r="I32" s="769">
        <v>3.0499999999999999E-2</v>
      </c>
      <c r="J32" s="769">
        <v>1.6500000000000001E-2</v>
      </c>
      <c r="K32" s="769">
        <v>3.8699999999999998E-2</v>
      </c>
      <c r="L32" s="769">
        <v>1.5599999999999999E-2</v>
      </c>
      <c r="M32" s="234"/>
      <c r="N32" s="544"/>
    </row>
    <row r="33" spans="1:14">
      <c r="A33" s="600" t="s">
        <v>2059</v>
      </c>
      <c r="B33" s="1072" t="s">
        <v>2475</v>
      </c>
      <c r="C33" s="769">
        <v>0</v>
      </c>
      <c r="D33" s="769">
        <v>1.66E-2</v>
      </c>
      <c r="E33" s="769">
        <v>2.5700000000000001E-2</v>
      </c>
      <c r="F33" s="769">
        <v>2.47E-2</v>
      </c>
      <c r="G33" s="769">
        <v>2.4400000000000002E-2</v>
      </c>
      <c r="H33" s="769">
        <v>3.6700000000000003E-2</v>
      </c>
      <c r="I33" s="769">
        <v>3.0499999999999999E-2</v>
      </c>
      <c r="J33" s="769">
        <v>1.6500000000000001E-2</v>
      </c>
      <c r="K33" s="769">
        <v>3.8699999999999998E-2</v>
      </c>
      <c r="L33" s="769">
        <v>1.5599999999999999E-2</v>
      </c>
      <c r="M33" s="234"/>
      <c r="N33" s="544"/>
    </row>
    <row r="34" spans="1:14">
      <c r="A34" s="600" t="s">
        <v>2060</v>
      </c>
      <c r="B34" s="1072" t="s">
        <v>2476</v>
      </c>
      <c r="C34" s="769">
        <v>0</v>
      </c>
      <c r="D34" s="769">
        <v>1.66E-2</v>
      </c>
      <c r="E34" s="769">
        <v>2.5700000000000001E-2</v>
      </c>
      <c r="F34" s="769">
        <v>2.47E-2</v>
      </c>
      <c r="G34" s="769">
        <v>2.4400000000000002E-2</v>
      </c>
      <c r="H34" s="769">
        <v>3.6700000000000003E-2</v>
      </c>
      <c r="I34" s="769">
        <v>3.0499999999999999E-2</v>
      </c>
      <c r="J34" s="769">
        <v>1.6500000000000001E-2</v>
      </c>
      <c r="K34" s="769">
        <v>3.8699999999999998E-2</v>
      </c>
      <c r="L34" s="769">
        <v>1.5599999999999999E-2</v>
      </c>
      <c r="M34" s="234"/>
      <c r="N34" s="544"/>
    </row>
    <row r="35" spans="1:14">
      <c r="A35" s="600" t="s">
        <v>2061</v>
      </c>
      <c r="B35" s="1072" t="s">
        <v>2477</v>
      </c>
      <c r="C35" s="769">
        <v>0</v>
      </c>
      <c r="D35" s="769">
        <v>1.66E-2</v>
      </c>
      <c r="E35" s="769">
        <v>2.5700000000000001E-2</v>
      </c>
      <c r="F35" s="769">
        <v>2.47E-2</v>
      </c>
      <c r="G35" s="769">
        <v>2.4400000000000002E-2</v>
      </c>
      <c r="H35" s="769">
        <v>3.6700000000000003E-2</v>
      </c>
      <c r="I35" s="769">
        <v>3.0499999999999999E-2</v>
      </c>
      <c r="J35" s="769">
        <v>1.6500000000000001E-2</v>
      </c>
      <c r="K35" s="769">
        <v>3.8699999999999998E-2</v>
      </c>
      <c r="L35" s="769">
        <v>1.5599999999999999E-2</v>
      </c>
      <c r="M35" s="234"/>
      <c r="N35" s="544"/>
    </row>
    <row r="36" spans="1:14">
      <c r="A36" s="600" t="s">
        <v>2062</v>
      </c>
      <c r="B36" s="1072" t="s">
        <v>2478</v>
      </c>
      <c r="C36" s="769">
        <v>0</v>
      </c>
      <c r="D36" s="769">
        <v>1.66E-2</v>
      </c>
      <c r="E36" s="769">
        <v>2.5700000000000001E-2</v>
      </c>
      <c r="F36" s="769">
        <v>2.47E-2</v>
      </c>
      <c r="G36" s="769">
        <v>2.4400000000000002E-2</v>
      </c>
      <c r="H36" s="769">
        <v>3.6700000000000003E-2</v>
      </c>
      <c r="I36" s="769">
        <v>3.0499999999999999E-2</v>
      </c>
      <c r="J36" s="769">
        <v>1.6500000000000001E-2</v>
      </c>
      <c r="K36" s="769">
        <v>3.8699999999999998E-2</v>
      </c>
      <c r="L36" s="769">
        <v>1.5599999999999999E-2</v>
      </c>
      <c r="M36" s="234"/>
      <c r="N36" s="544"/>
    </row>
    <row r="37" spans="1:14">
      <c r="A37" s="600" t="s">
        <v>2063</v>
      </c>
      <c r="B37" s="1072" t="s">
        <v>2479</v>
      </c>
      <c r="C37" s="769">
        <v>0</v>
      </c>
      <c r="D37" s="769">
        <v>1.66E-2</v>
      </c>
      <c r="E37" s="769">
        <v>2.5700000000000001E-2</v>
      </c>
      <c r="F37" s="769">
        <v>2.47E-2</v>
      </c>
      <c r="G37" s="769">
        <v>2.4400000000000002E-2</v>
      </c>
      <c r="H37" s="769">
        <v>3.6700000000000003E-2</v>
      </c>
      <c r="I37" s="769">
        <v>3.0499999999999999E-2</v>
      </c>
      <c r="J37" s="769">
        <v>1.6500000000000001E-2</v>
      </c>
      <c r="K37" s="769">
        <v>3.8699999999999998E-2</v>
      </c>
      <c r="L37" s="769">
        <v>1.5599999999999999E-2</v>
      </c>
      <c r="M37" s="234"/>
      <c r="N37" s="544"/>
    </row>
    <row r="38" spans="1:14">
      <c r="A38" s="600" t="s">
        <v>2064</v>
      </c>
      <c r="B38" s="1072" t="s">
        <v>2480</v>
      </c>
      <c r="C38" s="769">
        <v>0</v>
      </c>
      <c r="D38" s="769">
        <v>1.66E-2</v>
      </c>
      <c r="E38" s="769">
        <v>2.5700000000000001E-2</v>
      </c>
      <c r="F38" s="769">
        <v>2.47E-2</v>
      </c>
      <c r="G38" s="769">
        <v>2.4400000000000002E-2</v>
      </c>
      <c r="H38" s="769">
        <v>3.6700000000000003E-2</v>
      </c>
      <c r="I38" s="769">
        <v>3.0499999999999999E-2</v>
      </c>
      <c r="J38" s="769">
        <v>1.6500000000000001E-2</v>
      </c>
      <c r="K38" s="769">
        <v>3.8699999999999998E-2</v>
      </c>
      <c r="L38" s="769">
        <v>1.5599999999999999E-2</v>
      </c>
      <c r="M38" s="234"/>
      <c r="N38" s="544"/>
    </row>
    <row r="39" spans="1:14">
      <c r="A39" s="600" t="s">
        <v>2065</v>
      </c>
      <c r="B39" s="1072" t="s">
        <v>2481</v>
      </c>
      <c r="C39" s="769">
        <v>0</v>
      </c>
      <c r="D39" s="769">
        <v>1.66E-2</v>
      </c>
      <c r="E39" s="769">
        <v>2.5700000000000001E-2</v>
      </c>
      <c r="F39" s="769">
        <v>2.47E-2</v>
      </c>
      <c r="G39" s="769">
        <v>2.4400000000000002E-2</v>
      </c>
      <c r="H39" s="769">
        <v>3.6700000000000003E-2</v>
      </c>
      <c r="I39" s="769">
        <v>3.0499999999999999E-2</v>
      </c>
      <c r="J39" s="769">
        <v>1.6500000000000001E-2</v>
      </c>
      <c r="K39" s="769">
        <v>3.8699999999999998E-2</v>
      </c>
      <c r="L39" s="769">
        <v>1.5599999999999999E-2</v>
      </c>
      <c r="M39" s="234"/>
    </row>
    <row r="40" spans="1:14">
      <c r="A40" s="600" t="s">
        <v>2066</v>
      </c>
      <c r="B40" s="1072" t="s">
        <v>2482</v>
      </c>
      <c r="C40" s="769">
        <v>0</v>
      </c>
      <c r="D40" s="769">
        <v>1.66E-2</v>
      </c>
      <c r="E40" s="769">
        <v>2.5700000000000001E-2</v>
      </c>
      <c r="F40" s="769">
        <v>2.47E-2</v>
      </c>
      <c r="G40" s="769">
        <v>2.4400000000000002E-2</v>
      </c>
      <c r="H40" s="769">
        <v>3.6700000000000003E-2</v>
      </c>
      <c r="I40" s="769">
        <v>3.0499999999999999E-2</v>
      </c>
      <c r="J40" s="769">
        <v>1.6500000000000001E-2</v>
      </c>
      <c r="K40" s="769">
        <v>3.8699999999999998E-2</v>
      </c>
      <c r="L40" s="769">
        <v>1.5599999999999999E-2</v>
      </c>
      <c r="M40" s="234"/>
    </row>
    <row r="41" spans="1:14">
      <c r="A41" s="600" t="s">
        <v>2067</v>
      </c>
      <c r="B41" s="1072" t="s">
        <v>2483</v>
      </c>
      <c r="C41" s="769">
        <v>0</v>
      </c>
      <c r="D41" s="769">
        <v>1.66E-2</v>
      </c>
      <c r="E41" s="769">
        <v>2.5700000000000001E-2</v>
      </c>
      <c r="F41" s="769">
        <v>2.47E-2</v>
      </c>
      <c r="G41" s="769">
        <v>2.4400000000000002E-2</v>
      </c>
      <c r="H41" s="769">
        <v>3.6700000000000003E-2</v>
      </c>
      <c r="I41" s="769">
        <v>3.0499999999999999E-2</v>
      </c>
      <c r="J41" s="769">
        <v>1.6500000000000001E-2</v>
      </c>
      <c r="K41" s="769">
        <v>3.8699999999999998E-2</v>
      </c>
      <c r="L41" s="769">
        <v>1.5599999999999999E-2</v>
      </c>
      <c r="M41" s="234"/>
    </row>
    <row r="42" spans="1:14">
      <c r="A42" s="600">
        <v>18</v>
      </c>
      <c r="C42" s="371"/>
      <c r="D42" s="371"/>
      <c r="E42" s="371"/>
      <c r="F42" s="371"/>
      <c r="G42" s="371"/>
      <c r="H42" s="371"/>
      <c r="I42" s="371"/>
      <c r="J42" s="371"/>
      <c r="K42" s="371"/>
      <c r="L42" s="371"/>
      <c r="M42" s="234"/>
    </row>
    <row r="43" spans="1:14">
      <c r="A43" s="600">
        <f t="shared" si="0"/>
        <v>19</v>
      </c>
      <c r="B43" s="505" t="s">
        <v>978</v>
      </c>
      <c r="C43" s="244"/>
      <c r="D43" s="244"/>
      <c r="E43" s="244"/>
      <c r="F43" s="244"/>
      <c r="G43" s="544" t="s">
        <v>1716</v>
      </c>
      <c r="H43" s="244"/>
      <c r="I43" s="371"/>
      <c r="J43" s="371"/>
      <c r="K43" s="371"/>
      <c r="L43" s="371"/>
      <c r="M43" s="234"/>
    </row>
    <row r="44" spans="1:14">
      <c r="A44" s="600">
        <f t="shared" si="0"/>
        <v>20</v>
      </c>
      <c r="B44" s="243"/>
      <c r="C44" s="243"/>
      <c r="D44" s="243"/>
      <c r="E44" s="243"/>
      <c r="F44" s="243"/>
      <c r="G44" s="243"/>
      <c r="H44" s="243"/>
      <c r="I44" s="234"/>
      <c r="J44" s="234"/>
      <c r="K44" s="234"/>
      <c r="L44" s="234"/>
      <c r="M44" s="234"/>
    </row>
    <row r="45" spans="1:14">
      <c r="A45" s="600">
        <f t="shared" si="0"/>
        <v>21</v>
      </c>
      <c r="B45" s="111"/>
      <c r="C45" s="940" t="s">
        <v>12</v>
      </c>
      <c r="D45" s="243"/>
      <c r="E45" s="243"/>
      <c r="F45" s="243"/>
      <c r="G45" s="243"/>
      <c r="H45" s="243"/>
      <c r="I45" s="234"/>
      <c r="J45" s="234"/>
      <c r="K45" s="234"/>
      <c r="L45" s="234"/>
      <c r="M45" s="234"/>
    </row>
    <row r="46" spans="1:14">
      <c r="A46" s="600">
        <f t="shared" si="0"/>
        <v>22</v>
      </c>
      <c r="B46" s="111"/>
      <c r="C46" s="940" t="s">
        <v>975</v>
      </c>
      <c r="D46" s="243"/>
      <c r="E46" s="243"/>
      <c r="F46" s="243"/>
      <c r="G46" s="243"/>
      <c r="H46" s="243"/>
      <c r="I46" s="234"/>
      <c r="J46" s="234"/>
      <c r="K46" s="234"/>
      <c r="L46" s="234"/>
      <c r="M46" s="600" t="s">
        <v>192</v>
      </c>
    </row>
    <row r="47" spans="1:14">
      <c r="A47" s="600">
        <f t="shared" si="0"/>
        <v>23</v>
      </c>
      <c r="B47" s="125" t="s">
        <v>1782</v>
      </c>
      <c r="C47" s="363">
        <v>350.1</v>
      </c>
      <c r="D47" s="363">
        <v>350.2</v>
      </c>
      <c r="E47" s="363">
        <v>352</v>
      </c>
      <c r="F47" s="363">
        <v>353</v>
      </c>
      <c r="G47" s="363">
        <v>354</v>
      </c>
      <c r="H47" s="363">
        <v>355</v>
      </c>
      <c r="I47" s="84">
        <v>356</v>
      </c>
      <c r="J47" s="84">
        <v>357</v>
      </c>
      <c r="K47" s="84">
        <v>358</v>
      </c>
      <c r="L47" s="84">
        <v>359</v>
      </c>
      <c r="M47" s="3" t="s">
        <v>196</v>
      </c>
    </row>
    <row r="48" spans="1:14">
      <c r="A48" s="600">
        <f t="shared" si="0"/>
        <v>24</v>
      </c>
      <c r="B48" s="1072" t="s">
        <v>2472</v>
      </c>
      <c r="C48" s="238">
        <f t="shared" ref="C48:C59" si="1">C12*$C$29/12</f>
        <v>0</v>
      </c>
      <c r="D48" s="238">
        <f t="shared" ref="D48:D59" si="2">D12*$D29/12</f>
        <v>225583.59739690754</v>
      </c>
      <c r="E48" s="238">
        <f t="shared" ref="E48:E59" si="3">E12*$E29/12</f>
        <v>1007565.0213038283</v>
      </c>
      <c r="F48" s="238">
        <f t="shared" ref="F48:F59" si="4">F12*$F29/12</f>
        <v>6237114.8330042399</v>
      </c>
      <c r="G48" s="238">
        <f t="shared" ref="G48:G59" si="5">G12*$G29/12</f>
        <v>4401399.6177432351</v>
      </c>
      <c r="H48" s="238">
        <f t="shared" ref="H48:H59" si="6">H12*$H29/12</f>
        <v>950158.61521621933</v>
      </c>
      <c r="I48" s="238">
        <f t="shared" ref="I48:I59" si="7">I12*$I29/12</f>
        <v>3150767.3759587468</v>
      </c>
      <c r="J48" s="238">
        <f t="shared" ref="J48:J59" si="8">J12*$J29/12</f>
        <v>304.44752882100636</v>
      </c>
      <c r="K48" s="238">
        <f t="shared" ref="K48:K59" si="9">K12*$K29/12</f>
        <v>41963.468362346241</v>
      </c>
      <c r="L48" s="238">
        <f t="shared" ref="L48:L59" si="10">L12*$L29/12</f>
        <v>243213.80300619177</v>
      </c>
      <c r="M48" s="236">
        <f>SUM(C48:L48)</f>
        <v>16258070.779520536</v>
      </c>
    </row>
    <row r="49" spans="1:13">
      <c r="A49" s="600">
        <f t="shared" si="0"/>
        <v>25</v>
      </c>
      <c r="B49" s="1072" t="s">
        <v>2473</v>
      </c>
      <c r="C49" s="238">
        <f t="shared" si="1"/>
        <v>0</v>
      </c>
      <c r="D49" s="238">
        <f t="shared" si="2"/>
        <v>225607.03789604429</v>
      </c>
      <c r="E49" s="238">
        <f t="shared" si="3"/>
        <v>1023261.8554022125</v>
      </c>
      <c r="F49" s="238">
        <f t="shared" si="4"/>
        <v>6253706.8165471395</v>
      </c>
      <c r="G49" s="238">
        <f t="shared" si="5"/>
        <v>4371369.9533594688</v>
      </c>
      <c r="H49" s="238">
        <f t="shared" si="6"/>
        <v>955630.01242536923</v>
      </c>
      <c r="I49" s="238">
        <f t="shared" si="7"/>
        <v>3155706.8466422656</v>
      </c>
      <c r="J49" s="238">
        <f t="shared" si="8"/>
        <v>304.45084389426069</v>
      </c>
      <c r="K49" s="238">
        <f t="shared" si="9"/>
        <v>41977.510775478644</v>
      </c>
      <c r="L49" s="238">
        <f t="shared" si="10"/>
        <v>243555.64767855001</v>
      </c>
      <c r="M49" s="236">
        <f t="shared" ref="M49:M59" si="11">SUM(C49:L49)</f>
        <v>16271120.131570421</v>
      </c>
    </row>
    <row r="50" spans="1:13">
      <c r="A50" s="600">
        <f t="shared" si="0"/>
        <v>26</v>
      </c>
      <c r="B50" s="1072" t="s">
        <v>2474</v>
      </c>
      <c r="C50" s="238">
        <f t="shared" si="1"/>
        <v>0</v>
      </c>
      <c r="D50" s="238">
        <f t="shared" si="2"/>
        <v>225602.44091989286</v>
      </c>
      <c r="E50" s="238">
        <f t="shared" si="3"/>
        <v>1007134.2313849287</v>
      </c>
      <c r="F50" s="238">
        <f t="shared" si="4"/>
        <v>6295913.0519306241</v>
      </c>
      <c r="G50" s="238">
        <f t="shared" si="5"/>
        <v>4375765.670350899</v>
      </c>
      <c r="H50" s="238">
        <f t="shared" si="6"/>
        <v>959033.33577828633</v>
      </c>
      <c r="I50" s="238">
        <f t="shared" si="7"/>
        <v>3158034.6581515786</v>
      </c>
      <c r="J50" s="238">
        <f t="shared" si="8"/>
        <v>304.45075568615761</v>
      </c>
      <c r="K50" s="238">
        <f t="shared" si="9"/>
        <v>41978.363122232979</v>
      </c>
      <c r="L50" s="238">
        <f t="shared" si="10"/>
        <v>243946.59053604017</v>
      </c>
      <c r="M50" s="236">
        <f t="shared" si="11"/>
        <v>16307712.792930165</v>
      </c>
    </row>
    <row r="51" spans="1:13">
      <c r="A51" s="600">
        <f t="shared" si="0"/>
        <v>27</v>
      </c>
      <c r="B51" s="1072" t="s">
        <v>2475</v>
      </c>
      <c r="C51" s="238">
        <f t="shared" si="1"/>
        <v>0</v>
      </c>
      <c r="D51" s="238">
        <f t="shared" si="2"/>
        <v>225694.47100862031</v>
      </c>
      <c r="E51" s="238">
        <f t="shared" si="3"/>
        <v>1020374.7412884677</v>
      </c>
      <c r="F51" s="238">
        <f t="shared" si="4"/>
        <v>6332758.0081657292</v>
      </c>
      <c r="G51" s="238">
        <f t="shared" si="5"/>
        <v>4373027.8876001127</v>
      </c>
      <c r="H51" s="238">
        <f t="shared" si="6"/>
        <v>965190.28206318954</v>
      </c>
      <c r="I51" s="238">
        <f t="shared" si="7"/>
        <v>3165449.5461575598</v>
      </c>
      <c r="J51" s="238">
        <f t="shared" si="8"/>
        <v>304.45085180641018</v>
      </c>
      <c r="K51" s="238">
        <f t="shared" si="9"/>
        <v>41990.094826965513</v>
      </c>
      <c r="L51" s="238">
        <f t="shared" si="10"/>
        <v>247260.25816672342</v>
      </c>
      <c r="M51" s="236">
        <f t="shared" si="11"/>
        <v>16372049.740129173</v>
      </c>
    </row>
    <row r="52" spans="1:13">
      <c r="A52" s="600">
        <f t="shared" si="0"/>
        <v>28</v>
      </c>
      <c r="B52" s="1072" t="s">
        <v>2476</v>
      </c>
      <c r="C52" s="238">
        <f t="shared" si="1"/>
        <v>0</v>
      </c>
      <c r="D52" s="238">
        <f t="shared" si="2"/>
        <v>225756.69193343419</v>
      </c>
      <c r="E52" s="238">
        <f t="shared" si="3"/>
        <v>1052433.6541380894</v>
      </c>
      <c r="F52" s="238">
        <f t="shared" si="4"/>
        <v>6359122.4206836661</v>
      </c>
      <c r="G52" s="238">
        <f t="shared" si="5"/>
        <v>4383625.5826376835</v>
      </c>
      <c r="H52" s="238">
        <f t="shared" si="6"/>
        <v>968841.60833036853</v>
      </c>
      <c r="I52" s="238">
        <f t="shared" si="7"/>
        <v>3166758.4248763383</v>
      </c>
      <c r="J52" s="238">
        <f t="shared" si="8"/>
        <v>304.45907217835946</v>
      </c>
      <c r="K52" s="238">
        <f t="shared" si="9"/>
        <v>47521.050717346465</v>
      </c>
      <c r="L52" s="238">
        <f t="shared" si="10"/>
        <v>247770.74355876318</v>
      </c>
      <c r="M52" s="236">
        <f t="shared" si="11"/>
        <v>16452134.635947866</v>
      </c>
    </row>
    <row r="53" spans="1:13">
      <c r="A53" s="600">
        <f t="shared" si="0"/>
        <v>29</v>
      </c>
      <c r="B53" s="1072" t="s">
        <v>2477</v>
      </c>
      <c r="C53" s="238">
        <f t="shared" si="1"/>
        <v>0</v>
      </c>
      <c r="D53" s="238">
        <f t="shared" si="2"/>
        <v>225766.7728267796</v>
      </c>
      <c r="E53" s="238">
        <f t="shared" si="3"/>
        <v>1053421.9414383643</v>
      </c>
      <c r="F53" s="238">
        <f t="shared" si="4"/>
        <v>6361734.3859366933</v>
      </c>
      <c r="G53" s="238">
        <f t="shared" si="5"/>
        <v>4370279.4528649552</v>
      </c>
      <c r="H53" s="238">
        <f t="shared" si="6"/>
        <v>971124.7435617334</v>
      </c>
      <c r="I53" s="238">
        <f t="shared" si="7"/>
        <v>3167634.0336603057</v>
      </c>
      <c r="J53" s="238">
        <f t="shared" si="8"/>
        <v>304.45992006836337</v>
      </c>
      <c r="K53" s="238">
        <f t="shared" si="9"/>
        <v>48643.772078519287</v>
      </c>
      <c r="L53" s="238">
        <f t="shared" si="10"/>
        <v>248325.4964492156</v>
      </c>
      <c r="M53" s="236">
        <f t="shared" si="11"/>
        <v>16447235.058736637</v>
      </c>
    </row>
    <row r="54" spans="1:13">
      <c r="A54" s="600">
        <f t="shared" si="0"/>
        <v>30</v>
      </c>
      <c r="B54" s="1072" t="s">
        <v>2478</v>
      </c>
      <c r="C54" s="238">
        <f t="shared" si="1"/>
        <v>0</v>
      </c>
      <c r="D54" s="238">
        <f t="shared" si="2"/>
        <v>225460.22911005083</v>
      </c>
      <c r="E54" s="238">
        <f t="shared" si="3"/>
        <v>1062404.7198685934</v>
      </c>
      <c r="F54" s="238">
        <f t="shared" si="4"/>
        <v>6422507.4456291338</v>
      </c>
      <c r="G54" s="238">
        <f t="shared" si="5"/>
        <v>4494709.5161926895</v>
      </c>
      <c r="H54" s="238">
        <f t="shared" si="6"/>
        <v>973926.41968384525</v>
      </c>
      <c r="I54" s="238">
        <f t="shared" si="7"/>
        <v>3170082.610571966</v>
      </c>
      <c r="J54" s="238">
        <f t="shared" si="8"/>
        <v>304.47140405474539</v>
      </c>
      <c r="K54" s="238">
        <f t="shared" si="9"/>
        <v>48848.064957530907</v>
      </c>
      <c r="L54" s="238">
        <f t="shared" si="10"/>
        <v>249834.11555100439</v>
      </c>
      <c r="M54" s="236">
        <f t="shared" si="11"/>
        <v>16648077.59296887</v>
      </c>
    </row>
    <row r="55" spans="1:13">
      <c r="A55" s="600">
        <f t="shared" si="0"/>
        <v>31</v>
      </c>
      <c r="B55" s="1072" t="s">
        <v>2479</v>
      </c>
      <c r="C55" s="238">
        <f t="shared" si="1"/>
        <v>0</v>
      </c>
      <c r="D55" s="238">
        <f t="shared" si="2"/>
        <v>225469.68924774564</v>
      </c>
      <c r="E55" s="238">
        <f t="shared" si="3"/>
        <v>1073549.2487121322</v>
      </c>
      <c r="F55" s="238">
        <f t="shared" si="4"/>
        <v>6526692.8914938243</v>
      </c>
      <c r="G55" s="238">
        <f t="shared" si="5"/>
        <v>4499135.0878472412</v>
      </c>
      <c r="H55" s="238">
        <f t="shared" si="6"/>
        <v>975999.27373322798</v>
      </c>
      <c r="I55" s="238">
        <f t="shared" si="7"/>
        <v>3170272.3668242185</v>
      </c>
      <c r="J55" s="238">
        <f t="shared" si="8"/>
        <v>304.47355185389705</v>
      </c>
      <c r="K55" s="238">
        <f t="shared" si="9"/>
        <v>48858.186520504503</v>
      </c>
      <c r="L55" s="238">
        <f t="shared" si="10"/>
        <v>250178.70147308972</v>
      </c>
      <c r="M55" s="236">
        <f t="shared" si="11"/>
        <v>16770459.919403838</v>
      </c>
    </row>
    <row r="56" spans="1:13">
      <c r="A56" s="600">
        <f t="shared" si="0"/>
        <v>32</v>
      </c>
      <c r="B56" s="1072" t="s">
        <v>2480</v>
      </c>
      <c r="C56" s="238">
        <f t="shared" si="1"/>
        <v>0</v>
      </c>
      <c r="D56" s="238">
        <f t="shared" si="2"/>
        <v>225492.18546291921</v>
      </c>
      <c r="E56" s="238">
        <f t="shared" si="3"/>
        <v>1073073.9345191496</v>
      </c>
      <c r="F56" s="238">
        <f t="shared" si="4"/>
        <v>6527124.2856593318</v>
      </c>
      <c r="G56" s="238">
        <f t="shared" si="5"/>
        <v>4530843.7498756265</v>
      </c>
      <c r="H56" s="238">
        <f t="shared" si="6"/>
        <v>977795.61832006031</v>
      </c>
      <c r="I56" s="238">
        <f t="shared" si="7"/>
        <v>3155449.0582343843</v>
      </c>
      <c r="J56" s="238">
        <f t="shared" si="8"/>
        <v>304.47589046277523</v>
      </c>
      <c r="K56" s="238">
        <f t="shared" si="9"/>
        <v>48846.147687376208</v>
      </c>
      <c r="L56" s="238">
        <f t="shared" si="10"/>
        <v>231985.84983574858</v>
      </c>
      <c r="M56" s="236">
        <f t="shared" si="11"/>
        <v>16770915.305485059</v>
      </c>
    </row>
    <row r="57" spans="1:13">
      <c r="A57" s="600">
        <f t="shared" si="0"/>
        <v>33</v>
      </c>
      <c r="B57" s="1072" t="s">
        <v>2481</v>
      </c>
      <c r="C57" s="238">
        <f t="shared" si="1"/>
        <v>0</v>
      </c>
      <c r="D57" s="238">
        <f t="shared" si="2"/>
        <v>228525.63861875562</v>
      </c>
      <c r="E57" s="238">
        <f t="shared" si="3"/>
        <v>1076670.3308589796</v>
      </c>
      <c r="F57" s="238">
        <f t="shared" si="4"/>
        <v>6534473.676840757</v>
      </c>
      <c r="G57" s="238">
        <f t="shared" si="5"/>
        <v>4529435.8456503255</v>
      </c>
      <c r="H57" s="238">
        <f t="shared" si="6"/>
        <v>980011.77037426771</v>
      </c>
      <c r="I57" s="238">
        <f t="shared" si="7"/>
        <v>3164515.1364059169</v>
      </c>
      <c r="J57" s="238">
        <f t="shared" si="8"/>
        <v>245461.59467159308</v>
      </c>
      <c r="K57" s="238">
        <f t="shared" si="9"/>
        <v>249884.52926724215</v>
      </c>
      <c r="L57" s="238">
        <f t="shared" si="10"/>
        <v>231959.21612079532</v>
      </c>
      <c r="M57" s="236">
        <f t="shared" si="11"/>
        <v>17240937.738808632</v>
      </c>
    </row>
    <row r="58" spans="1:13">
      <c r="A58" s="600">
        <f t="shared" si="0"/>
        <v>34</v>
      </c>
      <c r="B58" s="1072" t="s">
        <v>2482</v>
      </c>
      <c r="C58" s="238">
        <f t="shared" si="1"/>
        <v>0</v>
      </c>
      <c r="D58" s="238">
        <f t="shared" si="2"/>
        <v>228661.53820261138</v>
      </c>
      <c r="E58" s="238">
        <f t="shared" si="3"/>
        <v>1108667.1642615672</v>
      </c>
      <c r="F58" s="238">
        <f t="shared" si="4"/>
        <v>6563759.8903742395</v>
      </c>
      <c r="G58" s="238">
        <f t="shared" si="5"/>
        <v>4537719.2950346982</v>
      </c>
      <c r="H58" s="238">
        <f t="shared" si="6"/>
        <v>982673.48835581529</v>
      </c>
      <c r="I58" s="238">
        <f t="shared" si="7"/>
        <v>3180784.0266526341</v>
      </c>
      <c r="J58" s="238">
        <f t="shared" si="8"/>
        <v>248726.70802758439</v>
      </c>
      <c r="K58" s="238">
        <f t="shared" si="9"/>
        <v>259133.69849849309</v>
      </c>
      <c r="L58" s="238">
        <f t="shared" si="10"/>
        <v>232803.7062205761</v>
      </c>
      <c r="M58" s="236">
        <f t="shared" si="11"/>
        <v>17342929.515628219</v>
      </c>
    </row>
    <row r="59" spans="1:13">
      <c r="A59" s="600">
        <f t="shared" si="0"/>
        <v>35</v>
      </c>
      <c r="B59" s="1072" t="s">
        <v>2483</v>
      </c>
      <c r="C59" s="238">
        <f t="shared" si="1"/>
        <v>0</v>
      </c>
      <c r="D59" s="238">
        <f t="shared" si="2"/>
        <v>228699.72757332303</v>
      </c>
      <c r="E59" s="238">
        <f t="shared" si="3"/>
        <v>1115083.0177765409</v>
      </c>
      <c r="F59" s="238">
        <f t="shared" si="4"/>
        <v>6589420.3341492666</v>
      </c>
      <c r="G59" s="238">
        <f t="shared" si="5"/>
        <v>4514050.939002092</v>
      </c>
      <c r="H59" s="238">
        <f t="shared" si="6"/>
        <v>985153.70687446324</v>
      </c>
      <c r="I59" s="238">
        <f t="shared" si="7"/>
        <v>3180668.235004276</v>
      </c>
      <c r="J59" s="238">
        <f t="shared" si="8"/>
        <v>253493.40597844089</v>
      </c>
      <c r="K59" s="238">
        <f t="shared" si="9"/>
        <v>263000.45846956351</v>
      </c>
      <c r="L59" s="238">
        <f t="shared" si="10"/>
        <v>233073.15865286867</v>
      </c>
      <c r="M59" s="91">
        <f t="shared" si="11"/>
        <v>17362642.983480833</v>
      </c>
    </row>
    <row r="60" spans="1:13">
      <c r="A60" s="600">
        <f t="shared" si="0"/>
        <v>36</v>
      </c>
      <c r="B60" s="235" t="s">
        <v>197</v>
      </c>
      <c r="C60" s="236">
        <f>SUM(C48:C59)</f>
        <v>0</v>
      </c>
      <c r="D60" s="236">
        <f t="shared" ref="D60:L60" si="12">SUM(D48:D59)</f>
        <v>2716320.0201970846</v>
      </c>
      <c r="E60" s="236">
        <f t="shared" si="12"/>
        <v>12673639.860952852</v>
      </c>
      <c r="F60" s="236">
        <f t="shared" si="12"/>
        <v>77004328.040414661</v>
      </c>
      <c r="G60" s="236">
        <f t="shared" si="12"/>
        <v>53381362.598159023</v>
      </c>
      <c r="H60" s="236">
        <f t="shared" si="12"/>
        <v>11645538.874716848</v>
      </c>
      <c r="I60" s="236">
        <f t="shared" si="12"/>
        <v>37986122.319140188</v>
      </c>
      <c r="J60" s="236">
        <f t="shared" si="12"/>
        <v>750421.84849644429</v>
      </c>
      <c r="K60" s="236">
        <f t="shared" si="12"/>
        <v>1182645.3452835996</v>
      </c>
      <c r="L60" s="236">
        <f t="shared" si="12"/>
        <v>2903907.287249567</v>
      </c>
      <c r="M60" s="7"/>
    </row>
    <row r="61" spans="1:13">
      <c r="A61" s="600">
        <f t="shared" si="0"/>
        <v>37</v>
      </c>
      <c r="B61" s="234"/>
      <c r="C61" s="234"/>
      <c r="D61" s="234"/>
      <c r="E61" s="234"/>
      <c r="F61" s="234"/>
      <c r="G61" s="234"/>
      <c r="H61" s="234"/>
      <c r="I61" s="234"/>
      <c r="J61" s="234"/>
      <c r="K61" s="234"/>
      <c r="L61" s="501" t="s">
        <v>980</v>
      </c>
      <c r="M61" s="236">
        <f>SUM(M48:M59)</f>
        <v>200244286.19461024</v>
      </c>
    </row>
    <row r="62" spans="1:13">
      <c r="A62" s="600">
        <f t="shared" si="0"/>
        <v>38</v>
      </c>
      <c r="B62" s="234"/>
      <c r="C62" s="234"/>
      <c r="D62" s="234"/>
      <c r="E62" s="234"/>
      <c r="F62" s="234"/>
      <c r="G62" s="234"/>
      <c r="H62" s="234"/>
      <c r="I62" s="234"/>
      <c r="J62" s="234"/>
      <c r="K62" s="234"/>
      <c r="L62" s="770" t="s">
        <v>981</v>
      </c>
      <c r="M62" s="234"/>
    </row>
    <row r="63" spans="1:13">
      <c r="A63" s="600">
        <f t="shared" si="0"/>
        <v>39</v>
      </c>
      <c r="B63" s="1" t="s">
        <v>1017</v>
      </c>
      <c r="C63" s="234"/>
      <c r="D63" s="234"/>
      <c r="E63" s="234"/>
      <c r="F63" s="234"/>
      <c r="G63" s="234"/>
      <c r="H63" s="234"/>
      <c r="I63" s="234"/>
      <c r="J63" s="234"/>
      <c r="K63" s="234"/>
      <c r="L63" s="234"/>
      <c r="M63" s="234"/>
    </row>
    <row r="64" spans="1:13">
      <c r="A64" s="600">
        <f t="shared" si="0"/>
        <v>40</v>
      </c>
      <c r="B64" s="234"/>
      <c r="C64" s="234"/>
      <c r="D64" s="234"/>
      <c r="E64" s="234"/>
      <c r="F64" s="234"/>
      <c r="G64" s="234"/>
      <c r="H64" s="234"/>
      <c r="I64" s="234"/>
      <c r="J64" s="234"/>
      <c r="K64" s="234"/>
      <c r="L64" s="234"/>
      <c r="M64" s="234"/>
    </row>
    <row r="65" spans="1:13">
      <c r="A65" s="600">
        <f t="shared" si="0"/>
        <v>41</v>
      </c>
      <c r="B65" s="234"/>
      <c r="C65" s="234"/>
      <c r="D65" s="84">
        <v>360</v>
      </c>
      <c r="E65" s="84">
        <v>361</v>
      </c>
      <c r="F65" s="84">
        <v>362</v>
      </c>
      <c r="G65" s="234"/>
      <c r="H65" s="51" t="s">
        <v>179</v>
      </c>
      <c r="I65" s="3"/>
      <c r="J65" s="234"/>
      <c r="K65" s="234"/>
      <c r="L65" s="234"/>
      <c r="M65" s="234"/>
    </row>
    <row r="66" spans="1:13">
      <c r="A66" s="600">
        <f t="shared" si="0"/>
        <v>42</v>
      </c>
      <c r="B66" s="503" t="s">
        <v>1018</v>
      </c>
      <c r="C66" s="234"/>
      <c r="D66" s="238">
        <f>'6-PlantInService'!C34</f>
        <v>0</v>
      </c>
      <c r="E66" s="238">
        <f>'6-PlantInService'!D34</f>
        <v>0</v>
      </c>
      <c r="F66" s="238">
        <f>'6-PlantInService'!E34</f>
        <v>0</v>
      </c>
      <c r="G66" s="243"/>
      <c r="H66" s="505" t="s">
        <v>2254</v>
      </c>
      <c r="I66" s="507"/>
      <c r="J66" s="234"/>
      <c r="K66" s="234"/>
      <c r="L66" s="234"/>
      <c r="M66" s="234"/>
    </row>
    <row r="67" spans="1:13">
      <c r="A67" s="600">
        <f t="shared" si="0"/>
        <v>43</v>
      </c>
      <c r="B67" s="503" t="s">
        <v>1019</v>
      </c>
      <c r="C67" s="234"/>
      <c r="D67" s="483">
        <f>'6-PlantInService'!C35</f>
        <v>0</v>
      </c>
      <c r="E67" s="483">
        <f>'6-PlantInService'!D35</f>
        <v>0</v>
      </c>
      <c r="F67" s="483">
        <f>'6-PlantInService'!E35</f>
        <v>0</v>
      </c>
      <c r="G67" s="243"/>
      <c r="H67" s="505" t="s">
        <v>2255</v>
      </c>
      <c r="I67" s="234"/>
      <c r="J67" s="234"/>
      <c r="K67" s="234"/>
      <c r="M67" s="234"/>
    </row>
    <row r="68" spans="1:13">
      <c r="A68" s="600">
        <f t="shared" si="0"/>
        <v>44</v>
      </c>
      <c r="B68" s="503" t="s">
        <v>1020</v>
      </c>
      <c r="C68" s="234"/>
      <c r="D68" s="238">
        <f>AVERAGE(D66:D67)</f>
        <v>0</v>
      </c>
      <c r="E68" s="238">
        <f>AVERAGE(E66:E67)</f>
        <v>0</v>
      </c>
      <c r="F68" s="238">
        <f>AVERAGE(F66:F67)</f>
        <v>0</v>
      </c>
      <c r="G68" s="243"/>
      <c r="H68" s="1010"/>
      <c r="I68" s="507"/>
      <c r="J68" s="234"/>
      <c r="K68" s="234"/>
      <c r="M68" s="234"/>
    </row>
    <row r="69" spans="1:13">
      <c r="A69" s="600">
        <f t="shared" si="0"/>
        <v>45</v>
      </c>
      <c r="D69" s="14"/>
      <c r="E69" s="14"/>
      <c r="F69" s="14"/>
      <c r="G69" s="14"/>
      <c r="H69" s="14"/>
      <c r="J69" s="234"/>
      <c r="K69" s="234"/>
      <c r="M69" s="234"/>
    </row>
    <row r="70" spans="1:13">
      <c r="A70" s="600">
        <f t="shared" si="0"/>
        <v>46</v>
      </c>
      <c r="B70" s="665" t="s">
        <v>1801</v>
      </c>
      <c r="C70" s="234"/>
      <c r="D70" s="243"/>
      <c r="E70" s="243"/>
      <c r="F70" s="14"/>
      <c r="G70" s="14"/>
      <c r="H70" s="14"/>
      <c r="J70" s="243"/>
      <c r="K70" s="243"/>
      <c r="L70" s="238"/>
      <c r="M70" s="234"/>
    </row>
    <row r="71" spans="1:13">
      <c r="A71" s="600">
        <f t="shared" si="0"/>
        <v>47</v>
      </c>
      <c r="B71" s="234"/>
      <c r="D71" s="363">
        <v>360</v>
      </c>
      <c r="E71" s="363">
        <v>361</v>
      </c>
      <c r="F71" s="363">
        <v>362</v>
      </c>
      <c r="G71" s="14"/>
      <c r="H71" s="14"/>
      <c r="J71" s="243"/>
      <c r="K71" s="243"/>
      <c r="L71" s="238"/>
      <c r="M71" s="234"/>
    </row>
    <row r="72" spans="1:13">
      <c r="A72" s="600">
        <f t="shared" si="0"/>
        <v>48</v>
      </c>
      <c r="D72" s="244">
        <f>'18-DepRates'!$G20</f>
        <v>1.67E-2</v>
      </c>
      <c r="E72" s="244">
        <f>'18-DepRates'!$G21</f>
        <v>2.3900000000000001E-2</v>
      </c>
      <c r="F72" s="244">
        <f>'18-DepRates'!$G22</f>
        <v>2.01E-2</v>
      </c>
      <c r="G72" s="14"/>
      <c r="H72" s="14"/>
      <c r="J72" s="243"/>
      <c r="K72" s="243"/>
      <c r="L72" s="238"/>
      <c r="M72" s="234"/>
    </row>
    <row r="73" spans="1:13">
      <c r="A73" s="600">
        <f t="shared" si="0"/>
        <v>49</v>
      </c>
      <c r="D73" s="14"/>
      <c r="E73" s="14"/>
      <c r="F73" s="14"/>
      <c r="G73" s="14"/>
      <c r="H73" s="14"/>
      <c r="J73" s="243"/>
      <c r="K73" s="243"/>
      <c r="L73" s="112"/>
      <c r="M73" s="234"/>
    </row>
    <row r="74" spans="1:13">
      <c r="A74" s="600">
        <f t="shared" si="0"/>
        <v>50</v>
      </c>
      <c r="B74" t="s">
        <v>366</v>
      </c>
      <c r="D74" s="14"/>
      <c r="E74" s="14"/>
      <c r="F74" s="505" t="s">
        <v>1717</v>
      </c>
      <c r="G74" s="14"/>
      <c r="H74" s="14"/>
      <c r="J74" s="243"/>
      <c r="K74" s="243"/>
      <c r="L74" s="244"/>
      <c r="M74" s="234"/>
    </row>
    <row r="75" spans="1:13">
      <c r="A75" s="600">
        <f t="shared" si="0"/>
        <v>51</v>
      </c>
      <c r="J75" s="243"/>
      <c r="K75" s="243"/>
      <c r="L75" s="244"/>
      <c r="M75" s="234"/>
    </row>
    <row r="76" spans="1:13">
      <c r="A76" s="600">
        <f t="shared" si="0"/>
        <v>52</v>
      </c>
      <c r="D76" s="84">
        <v>360</v>
      </c>
      <c r="E76" s="84">
        <v>361</v>
      </c>
      <c r="F76" s="84">
        <v>362</v>
      </c>
      <c r="G76" s="373" t="s">
        <v>196</v>
      </c>
      <c r="J76" s="243"/>
      <c r="K76" s="243"/>
      <c r="L76" s="244"/>
      <c r="M76" s="234"/>
    </row>
    <row r="77" spans="1:13">
      <c r="A77" s="600">
        <f t="shared" ref="A77:A90" si="13">A76+1</f>
        <v>53</v>
      </c>
      <c r="D77" s="7">
        <f xml:space="preserve"> D68*D72</f>
        <v>0</v>
      </c>
      <c r="E77" s="7">
        <f xml:space="preserve"> E68*E72</f>
        <v>0</v>
      </c>
      <c r="F77" s="7">
        <f xml:space="preserve"> F68*F72</f>
        <v>0</v>
      </c>
      <c r="G77" s="7">
        <f>SUM(D77:F77)</f>
        <v>0</v>
      </c>
      <c r="H77" s="16" t="s">
        <v>1021</v>
      </c>
      <c r="J77" s="243"/>
      <c r="K77" s="243"/>
      <c r="L77" s="238"/>
      <c r="M77" s="234"/>
    </row>
    <row r="78" spans="1:13">
      <c r="A78" s="600">
        <f t="shared" si="13"/>
        <v>54</v>
      </c>
      <c r="H78" s="16" t="s">
        <v>1022</v>
      </c>
      <c r="J78" s="243"/>
      <c r="K78" s="243"/>
      <c r="L78" s="243"/>
      <c r="M78" s="234"/>
    </row>
    <row r="79" spans="1:13">
      <c r="A79" s="600">
        <f t="shared" si="13"/>
        <v>55</v>
      </c>
      <c r="J79" s="243"/>
      <c r="K79" s="243"/>
      <c r="L79" s="243"/>
      <c r="M79" s="234"/>
    </row>
    <row r="80" spans="1:13">
      <c r="A80" s="600">
        <f t="shared" si="13"/>
        <v>56</v>
      </c>
      <c r="B80" s="1" t="s">
        <v>1023</v>
      </c>
      <c r="J80" s="243"/>
      <c r="K80" s="243"/>
      <c r="L80" s="243"/>
      <c r="M80" s="234"/>
    </row>
    <row r="81" spans="1:13">
      <c r="A81" s="600">
        <f t="shared" si="13"/>
        <v>57</v>
      </c>
      <c r="B81" s="234"/>
      <c r="C81" s="234"/>
      <c r="D81" s="234"/>
      <c r="E81" s="234"/>
      <c r="F81" s="234"/>
      <c r="G81" s="234"/>
      <c r="H81" s="234"/>
      <c r="I81" s="234"/>
      <c r="J81" s="234"/>
      <c r="K81" s="234"/>
      <c r="L81" s="234"/>
      <c r="M81" s="234"/>
    </row>
    <row r="82" spans="1:13">
      <c r="A82" s="600">
        <f t="shared" si="13"/>
        <v>58</v>
      </c>
      <c r="B82" s="577" t="s">
        <v>982</v>
      </c>
      <c r="C82" s="234"/>
      <c r="D82" s="234"/>
      <c r="E82" s="234"/>
      <c r="F82" s="234"/>
      <c r="G82" s="234"/>
      <c r="H82" s="374">
        <v>234519750</v>
      </c>
      <c r="I82" s="507" t="s">
        <v>984</v>
      </c>
      <c r="J82" s="234"/>
      <c r="K82" s="234"/>
      <c r="L82" s="234"/>
      <c r="M82" s="234"/>
    </row>
    <row r="83" spans="1:13">
      <c r="A83" s="600">
        <f t="shared" si="13"/>
        <v>59</v>
      </c>
      <c r="B83" s="503" t="s">
        <v>983</v>
      </c>
      <c r="C83" s="234"/>
      <c r="D83" s="234"/>
      <c r="E83" s="234"/>
      <c r="F83" s="234"/>
      <c r="G83" s="234"/>
      <c r="H83" s="100">
        <v>254773828</v>
      </c>
      <c r="I83" s="507" t="s">
        <v>985</v>
      </c>
      <c r="J83" s="234"/>
      <c r="K83" s="234"/>
      <c r="L83" s="234"/>
      <c r="M83" s="234"/>
    </row>
    <row r="84" spans="1:13">
      <c r="A84" s="600">
        <f t="shared" si="13"/>
        <v>60</v>
      </c>
      <c r="B84" s="577" t="s">
        <v>986</v>
      </c>
      <c r="C84" s="234"/>
      <c r="D84" s="234"/>
      <c r="E84" s="234"/>
      <c r="F84" s="234"/>
      <c r="G84" s="234"/>
      <c r="H84" s="236">
        <f>SUM(H82:H83)</f>
        <v>489293578</v>
      </c>
      <c r="I84" s="507" t="str">
        <f>"Line "&amp;A82&amp;" + Line "&amp;A83&amp;""</f>
        <v>Line 58 + Line 59</v>
      </c>
      <c r="J84" s="234"/>
      <c r="K84" s="234"/>
      <c r="L84" s="234"/>
      <c r="M84" s="234"/>
    </row>
    <row r="85" spans="1:13">
      <c r="A85" s="600">
        <f t="shared" si="13"/>
        <v>61</v>
      </c>
      <c r="B85" s="577" t="s">
        <v>93</v>
      </c>
      <c r="C85" s="234"/>
      <c r="D85" s="234"/>
      <c r="E85" s="234"/>
      <c r="F85" s="234"/>
      <c r="G85" s="234"/>
      <c r="H85" s="250">
        <f>'27-Allocators'!G14</f>
        <v>6.1650013139118928E-2</v>
      </c>
      <c r="I85" s="114" t="str">
        <f>"27-Allocators, Line "&amp;'27-Allocators'!A14&amp;""</f>
        <v>27-Allocators, Line 9</v>
      </c>
      <c r="J85" s="234"/>
      <c r="K85" s="234"/>
      <c r="L85" s="234"/>
      <c r="M85" s="234"/>
    </row>
    <row r="86" spans="1:13">
      <c r="A86" s="600">
        <f t="shared" si="13"/>
        <v>62</v>
      </c>
      <c r="B86" s="577" t="s">
        <v>987</v>
      </c>
      <c r="C86" s="234"/>
      <c r="D86" s="234"/>
      <c r="E86" s="234"/>
      <c r="F86" s="234"/>
      <c r="G86" s="234"/>
      <c r="H86" s="236">
        <f>H84*H85</f>
        <v>30164955.512586512</v>
      </c>
      <c r="I86" s="507" t="str">
        <f>"Line "&amp;A84&amp;" * Line "&amp;A85&amp;""</f>
        <v>Line 60 * Line 61</v>
      </c>
      <c r="J86" s="234"/>
      <c r="K86" s="234"/>
      <c r="L86" s="234"/>
      <c r="M86" s="234"/>
    </row>
    <row r="87" spans="1:13">
      <c r="A87" s="600">
        <f t="shared" si="13"/>
        <v>63</v>
      </c>
      <c r="B87" s="577"/>
      <c r="C87" s="503"/>
      <c r="D87" s="234"/>
      <c r="E87" s="234"/>
      <c r="F87" s="234"/>
      <c r="G87" s="234"/>
      <c r="H87" s="234"/>
      <c r="I87" s="234"/>
      <c r="J87" s="234"/>
      <c r="K87" s="234"/>
      <c r="L87" s="234"/>
      <c r="M87" s="234"/>
    </row>
    <row r="88" spans="1:13">
      <c r="A88" s="600">
        <f t="shared" si="13"/>
        <v>64</v>
      </c>
      <c r="B88" s="83" t="s">
        <v>1686</v>
      </c>
      <c r="C88" s="234"/>
      <c r="D88" s="234"/>
      <c r="E88" s="234"/>
      <c r="F88" s="234"/>
      <c r="G88" s="234"/>
      <c r="H88" s="234"/>
      <c r="I88" s="234"/>
      <c r="J88" s="234"/>
      <c r="K88" s="234"/>
      <c r="L88" s="234"/>
      <c r="M88" s="234"/>
    </row>
    <row r="89" spans="1:13">
      <c r="A89" s="600">
        <f t="shared" si="13"/>
        <v>65</v>
      </c>
      <c r="B89" s="577"/>
      <c r="C89" s="503"/>
      <c r="D89" s="234"/>
      <c r="E89" s="234"/>
      <c r="F89" s="234"/>
      <c r="G89" s="234"/>
      <c r="H89" s="234"/>
      <c r="I89" s="234"/>
      <c r="J89" s="234"/>
      <c r="K89" s="234"/>
      <c r="L89" s="234"/>
      <c r="M89" s="234"/>
    </row>
    <row r="90" spans="1:13">
      <c r="A90" s="600">
        <f t="shared" si="13"/>
        <v>66</v>
      </c>
      <c r="B90" s="577" t="s">
        <v>1685</v>
      </c>
      <c r="C90" s="234"/>
      <c r="D90" s="234"/>
      <c r="E90" s="234"/>
      <c r="F90" s="3" t="s">
        <v>175</v>
      </c>
      <c r="G90" s="3" t="s">
        <v>179</v>
      </c>
      <c r="H90" s="234"/>
      <c r="I90" s="234"/>
    </row>
    <row r="91" spans="1:13">
      <c r="A91" s="600">
        <f>A90+1</f>
        <v>67</v>
      </c>
      <c r="B91" s="507" t="s">
        <v>973</v>
      </c>
      <c r="C91" s="234"/>
      <c r="D91" s="234"/>
      <c r="E91" s="234"/>
      <c r="F91" s="247">
        <f>M61</f>
        <v>200244286.19461024</v>
      </c>
      <c r="G91" s="507" t="str">
        <f>"Line "&amp;A61&amp;", Col 12"</f>
        <v>Line 37, Col 12</v>
      </c>
      <c r="H91" s="234"/>
      <c r="I91" s="234"/>
    </row>
    <row r="92" spans="1:13">
      <c r="A92" s="600">
        <f>A91+1</f>
        <v>68</v>
      </c>
      <c r="B92" s="507" t="s">
        <v>989</v>
      </c>
      <c r="C92" s="234"/>
      <c r="D92" s="234"/>
      <c r="E92" s="234"/>
      <c r="F92" s="236">
        <f>G77</f>
        <v>0</v>
      </c>
      <c r="G92" s="507" t="str">
        <f>"Line "&amp;A77&amp;""</f>
        <v>Line 53</v>
      </c>
      <c r="H92" s="234"/>
      <c r="I92" s="234"/>
    </row>
    <row r="93" spans="1:13">
      <c r="A93" s="600">
        <f>A92+1</f>
        <v>69</v>
      </c>
      <c r="B93" s="507" t="s">
        <v>988</v>
      </c>
      <c r="C93" s="234"/>
      <c r="D93" s="234"/>
      <c r="E93" s="234"/>
      <c r="F93" s="91">
        <f>H86</f>
        <v>30164955.512586512</v>
      </c>
      <c r="G93" s="507" t="str">
        <f>"Line "&amp;A86&amp;""</f>
        <v>Line 62</v>
      </c>
      <c r="H93" s="234"/>
      <c r="I93" s="234"/>
    </row>
    <row r="94" spans="1:13">
      <c r="A94" s="600">
        <f>A93+1</f>
        <v>70</v>
      </c>
      <c r="B94" s="234"/>
      <c r="C94" s="234"/>
      <c r="D94" s="234"/>
      <c r="E94" s="235" t="s">
        <v>1024</v>
      </c>
      <c r="F94" s="247">
        <f>SUM(F91:F93)</f>
        <v>230409241.70719674</v>
      </c>
      <c r="G94" s="507" t="str">
        <f>"Line "&amp;A91&amp;" + Line "&amp;A92&amp;" + Line "&amp;A93&amp;""</f>
        <v>Line 67 + Line 68 + Line 69</v>
      </c>
      <c r="H94" s="234"/>
      <c r="I94" s="234"/>
    </row>
    <row r="95" spans="1:13">
      <c r="A95" s="234"/>
      <c r="B95" s="1" t="s">
        <v>232</v>
      </c>
      <c r="C95" s="234"/>
      <c r="D95" s="234"/>
      <c r="E95" s="234"/>
      <c r="F95" s="234"/>
      <c r="G95" s="234"/>
      <c r="H95" s="234"/>
      <c r="I95" s="234"/>
    </row>
    <row r="96" spans="1:13">
      <c r="A96" s="234"/>
      <c r="B96" s="503" t="s">
        <v>1443</v>
      </c>
      <c r="C96" s="234"/>
      <c r="D96" s="234"/>
      <c r="E96" s="234"/>
      <c r="F96" s="234"/>
      <c r="G96" s="234"/>
      <c r="H96" s="234"/>
      <c r="I96" s="234"/>
    </row>
    <row r="97" spans="1:10">
      <c r="A97" s="234"/>
      <c r="B97" s="505" t="str">
        <f>"same account, times the Monthly Depreciation Rate for that account.  Monthly rate = annual rates on Line "&amp;A29&amp;" etc. divided by 12."</f>
        <v>same account, times the Monthly Depreciation Rate for that account.  Monthly rate = annual rates on Line 17a etc. divided by 12.</v>
      </c>
      <c r="C97" s="243"/>
      <c r="D97" s="243"/>
      <c r="E97" s="243"/>
      <c r="F97" s="243"/>
      <c r="G97" s="243"/>
      <c r="H97" s="243"/>
      <c r="I97" s="243"/>
      <c r="J97" s="14"/>
    </row>
    <row r="98" spans="1:10">
      <c r="A98" s="234"/>
      <c r="B98" s="505" t="str">
        <f>"2) Depreciation Expense for each account is equal to the Average BOY/EOY value on Line "&amp;A68&amp;" times the"</f>
        <v>2) Depreciation Expense for each account is equal to the Average BOY/EOY value on Line 44 times the</v>
      </c>
      <c r="C98" s="243"/>
      <c r="D98" s="243"/>
      <c r="E98" s="243"/>
      <c r="F98" s="243"/>
      <c r="G98" s="243"/>
      <c r="H98" s="243"/>
      <c r="I98" s="243"/>
      <c r="J98" s="14"/>
    </row>
    <row r="99" spans="1:10">
      <c r="B99" s="505" t="str">
        <f>"Depreciation Rate on Line "&amp;A72&amp;"."</f>
        <v>Depreciation Rate on Line 48.</v>
      </c>
      <c r="C99" s="14"/>
      <c r="D99" s="14"/>
      <c r="E99" s="14"/>
      <c r="F99" s="14"/>
      <c r="G99" s="14"/>
      <c r="H99" s="14"/>
      <c r="I99" s="14"/>
      <c r="J99" s="14"/>
    </row>
    <row r="100" spans="1:10">
      <c r="B100" s="44" t="s">
        <v>382</v>
      </c>
      <c r="C100" s="14"/>
      <c r="D100" s="14"/>
      <c r="E100" s="14"/>
      <c r="F100" s="14"/>
      <c r="G100" s="14"/>
      <c r="H100" s="14"/>
      <c r="I100" s="14"/>
      <c r="J100" s="14"/>
    </row>
    <row r="101" spans="1:10">
      <c r="B101" s="505" t="s">
        <v>2601</v>
      </c>
      <c r="C101" s="14"/>
      <c r="D101" s="14"/>
      <c r="E101" s="14"/>
      <c r="F101" s="14"/>
      <c r="G101" s="14"/>
      <c r="H101" s="14"/>
      <c r="I101" s="14"/>
      <c r="J101" s="14"/>
    </row>
    <row r="102" spans="1:10">
      <c r="B102" s="505" t="s">
        <v>2602</v>
      </c>
      <c r="C102" s="14"/>
      <c r="D102" s="14"/>
      <c r="E102" s="14"/>
      <c r="F102" s="14"/>
      <c r="G102" s="14"/>
      <c r="H102" s="14"/>
      <c r="I102" s="14"/>
      <c r="J102" s="14"/>
    </row>
    <row r="103" spans="1:10">
      <c r="B103" s="505" t="s">
        <v>1788</v>
      </c>
      <c r="C103" s="14"/>
      <c r="D103" s="14"/>
      <c r="E103" s="14"/>
      <c r="F103" s="14"/>
      <c r="G103" s="14"/>
      <c r="H103" s="14"/>
      <c r="I103" s="14"/>
      <c r="J103" s="14"/>
    </row>
    <row r="104" spans="1:10">
      <c r="B104" s="50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&amp;RExhibit SCE-4
TO2018 Formula Rate Spreadsheet</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ColWidth="8.85546875" defaultRowHeight="12.75"/>
  <cols>
    <col min="1" max="1" width="4.7109375" style="1112" customWidth="1"/>
    <col min="2" max="3" width="8.85546875" style="1112"/>
    <col min="4" max="4" width="38.7109375" style="1112" customWidth="1"/>
    <col min="5" max="7" width="8.85546875" style="503"/>
    <col min="8" max="16384" width="8.85546875" style="1112"/>
  </cols>
  <sheetData>
    <row r="1" spans="1:7">
      <c r="A1" s="416" t="s">
        <v>1025</v>
      </c>
      <c r="B1" s="503"/>
      <c r="C1" s="503"/>
      <c r="D1" s="503"/>
    </row>
    <row r="2" spans="1:7">
      <c r="A2" s="503"/>
      <c r="B2" s="503"/>
      <c r="C2" s="503"/>
      <c r="D2" s="503"/>
    </row>
    <row r="3" spans="1:7">
      <c r="A3" s="503"/>
      <c r="B3" s="416" t="s">
        <v>323</v>
      </c>
      <c r="C3" s="503"/>
      <c r="D3" s="503"/>
      <c r="E3" s="600" t="s">
        <v>376</v>
      </c>
      <c r="F3" s="600"/>
      <c r="G3" s="600"/>
    </row>
    <row r="4" spans="1:7">
      <c r="A4" s="503"/>
      <c r="B4" s="503"/>
      <c r="C4" s="237" t="s">
        <v>12</v>
      </c>
      <c r="D4" s="503"/>
      <c r="E4" s="600" t="s">
        <v>1026</v>
      </c>
      <c r="F4" s="4" t="s">
        <v>1027</v>
      </c>
      <c r="G4" s="4"/>
    </row>
    <row r="5" spans="1:7">
      <c r="A5" s="51" t="s">
        <v>332</v>
      </c>
      <c r="B5" s="503"/>
      <c r="C5" s="373" t="s">
        <v>99</v>
      </c>
      <c r="D5" s="373" t="s">
        <v>100</v>
      </c>
      <c r="E5" s="3" t="s">
        <v>1028</v>
      </c>
      <c r="F5" s="3" t="s">
        <v>1029</v>
      </c>
      <c r="G5" s="3" t="s">
        <v>196</v>
      </c>
    </row>
    <row r="6" spans="1:7" ht="15" customHeight="1">
      <c r="A6" s="600">
        <v>1</v>
      </c>
      <c r="B6" s="503"/>
      <c r="C6" s="770">
        <v>350.1</v>
      </c>
      <c r="D6" s="507" t="s">
        <v>1030</v>
      </c>
      <c r="E6" s="544">
        <v>0</v>
      </c>
      <c r="F6" s="544">
        <v>0</v>
      </c>
      <c r="G6" s="544">
        <v>0</v>
      </c>
    </row>
    <row r="7" spans="1:7" ht="15" customHeight="1">
      <c r="A7" s="600">
        <f>A6+1</f>
        <v>2</v>
      </c>
      <c r="B7" s="503"/>
      <c r="C7" s="770">
        <v>350.2</v>
      </c>
      <c r="D7" s="507" t="s">
        <v>1031</v>
      </c>
      <c r="E7" s="544">
        <v>1.67E-2</v>
      </c>
      <c r="F7" s="544">
        <v>0</v>
      </c>
      <c r="G7" s="544">
        <v>1.67E-2</v>
      </c>
    </row>
    <row r="8" spans="1:7">
      <c r="A8" s="600">
        <f t="shared" ref="A8:A16" si="0">A7+1</f>
        <v>3</v>
      </c>
      <c r="B8" s="503"/>
      <c r="C8" s="770">
        <v>352</v>
      </c>
      <c r="D8" s="507" t="s">
        <v>1032</v>
      </c>
      <c r="E8" s="544">
        <v>1.7899999999999999E-2</v>
      </c>
      <c r="F8" s="544">
        <v>6.1999999999999998E-3</v>
      </c>
      <c r="G8" s="544">
        <v>2.41E-2</v>
      </c>
    </row>
    <row r="9" spans="1:7">
      <c r="A9" s="600">
        <f t="shared" si="0"/>
        <v>4</v>
      </c>
      <c r="B9" s="503"/>
      <c r="C9" s="770">
        <v>353</v>
      </c>
      <c r="D9" s="507" t="s">
        <v>1033</v>
      </c>
      <c r="E9" s="544">
        <v>2.3900000000000001E-2</v>
      </c>
      <c r="F9" s="544">
        <v>4.4999999999999997E-3</v>
      </c>
      <c r="G9" s="544">
        <v>2.8400000000000002E-2</v>
      </c>
    </row>
    <row r="10" spans="1:7">
      <c r="A10" s="600">
        <f t="shared" si="0"/>
        <v>5</v>
      </c>
      <c r="B10" s="503"/>
      <c r="C10" s="770">
        <v>354</v>
      </c>
      <c r="D10" s="507" t="s">
        <v>1210</v>
      </c>
      <c r="E10" s="544">
        <v>1.2000000000000002E-2</v>
      </c>
      <c r="F10" s="544">
        <v>1.5299999999999999E-2</v>
      </c>
      <c r="G10" s="544">
        <v>2.7300000000000001E-2</v>
      </c>
    </row>
    <row r="11" spans="1:7">
      <c r="A11" s="600">
        <f t="shared" si="0"/>
        <v>6</v>
      </c>
      <c r="B11" s="503"/>
      <c r="C11" s="770">
        <v>355</v>
      </c>
      <c r="D11" s="507" t="s">
        <v>1034</v>
      </c>
      <c r="E11" s="544">
        <v>1.0600000000000002E-2</v>
      </c>
      <c r="F11" s="544">
        <v>1.78E-2</v>
      </c>
      <c r="G11" s="544">
        <v>2.8400000000000002E-2</v>
      </c>
    </row>
    <row r="12" spans="1:7">
      <c r="A12" s="600">
        <f t="shared" si="0"/>
        <v>7</v>
      </c>
      <c r="B12" s="503"/>
      <c r="C12" s="770">
        <v>356</v>
      </c>
      <c r="D12" s="507" t="s">
        <v>1035</v>
      </c>
      <c r="E12" s="544">
        <v>7.7999999999999979E-3</v>
      </c>
      <c r="F12" s="544">
        <v>2.46E-2</v>
      </c>
      <c r="G12" s="544">
        <v>3.2399999999999998E-2</v>
      </c>
    </row>
    <row r="13" spans="1:7">
      <c r="A13" s="600">
        <f t="shared" si="0"/>
        <v>8</v>
      </c>
      <c r="B13" s="503"/>
      <c r="C13" s="770">
        <v>357</v>
      </c>
      <c r="D13" s="507" t="s">
        <v>1036</v>
      </c>
      <c r="E13" s="544">
        <v>1.7299999999999999E-2</v>
      </c>
      <c r="F13" s="544">
        <v>0</v>
      </c>
      <c r="G13" s="544">
        <v>1.7299999999999999E-2</v>
      </c>
    </row>
    <row r="14" spans="1:7">
      <c r="A14" s="600">
        <f t="shared" si="0"/>
        <v>9</v>
      </c>
      <c r="B14" s="503"/>
      <c r="C14" s="770">
        <v>358</v>
      </c>
      <c r="D14" s="507" t="s">
        <v>1037</v>
      </c>
      <c r="E14" s="544">
        <v>1.6199999999999999E-2</v>
      </c>
      <c r="F14" s="544">
        <v>7.9000000000000008E-3</v>
      </c>
      <c r="G14" s="544">
        <v>2.41E-2</v>
      </c>
    </row>
    <row r="15" spans="1:7">
      <c r="A15" s="600">
        <f t="shared" si="0"/>
        <v>10</v>
      </c>
      <c r="B15" s="503"/>
      <c r="C15" s="770">
        <v>359</v>
      </c>
      <c r="D15" s="507" t="s">
        <v>1038</v>
      </c>
      <c r="E15" s="544">
        <v>1.6500000000000001E-2</v>
      </c>
      <c r="F15" s="544">
        <v>0</v>
      </c>
      <c r="G15" s="544">
        <v>1.6500000000000001E-2</v>
      </c>
    </row>
    <row r="16" spans="1:7">
      <c r="A16" s="600">
        <f t="shared" si="0"/>
        <v>11</v>
      </c>
      <c r="B16" s="503"/>
      <c r="C16" s="503"/>
      <c r="D16" s="503"/>
    </row>
    <row r="17" spans="1:7">
      <c r="A17" s="503"/>
      <c r="B17" s="416" t="s">
        <v>324</v>
      </c>
      <c r="C17" s="503"/>
      <c r="D17" s="503"/>
      <c r="E17" s="600" t="s">
        <v>376</v>
      </c>
      <c r="F17" s="600"/>
      <c r="G17" s="600"/>
    </row>
    <row r="18" spans="1:7">
      <c r="A18" s="503"/>
      <c r="B18" s="503"/>
      <c r="C18" s="237" t="s">
        <v>12</v>
      </c>
      <c r="D18" s="503"/>
      <c r="E18" s="600" t="s">
        <v>1026</v>
      </c>
      <c r="F18" s="4" t="s">
        <v>1027</v>
      </c>
      <c r="G18" s="4"/>
    </row>
    <row r="19" spans="1:7">
      <c r="A19" s="503"/>
      <c r="B19" s="503"/>
      <c r="C19" s="373" t="s">
        <v>99</v>
      </c>
      <c r="D19" s="373" t="s">
        <v>100</v>
      </c>
      <c r="E19" s="3" t="s">
        <v>1028</v>
      </c>
      <c r="F19" s="3" t="s">
        <v>1029</v>
      </c>
      <c r="G19" s="3" t="s">
        <v>196</v>
      </c>
    </row>
    <row r="20" spans="1:7">
      <c r="A20" s="600">
        <f>A16+1</f>
        <v>12</v>
      </c>
      <c r="B20" s="503"/>
      <c r="C20" s="503">
        <v>360</v>
      </c>
      <c r="D20" s="507" t="s">
        <v>1039</v>
      </c>
      <c r="E20" s="961">
        <v>1.67E-2</v>
      </c>
      <c r="F20" s="961">
        <v>0</v>
      </c>
      <c r="G20" s="961">
        <v>1.67E-2</v>
      </c>
    </row>
    <row r="21" spans="1:7">
      <c r="A21" s="600">
        <f>A20+1</f>
        <v>13</v>
      </c>
      <c r="B21" s="503"/>
      <c r="C21" s="503">
        <v>361</v>
      </c>
      <c r="D21" s="507" t="s">
        <v>1032</v>
      </c>
      <c r="E21" s="961">
        <v>1.7500000000000002E-2</v>
      </c>
      <c r="F21" s="961">
        <v>6.4000000000000003E-3</v>
      </c>
      <c r="G21" s="961">
        <v>2.3900000000000001E-2</v>
      </c>
    </row>
    <row r="22" spans="1:7">
      <c r="A22" s="600">
        <f>A21+1</f>
        <v>14</v>
      </c>
      <c r="B22" s="503"/>
      <c r="C22" s="503">
        <v>362</v>
      </c>
      <c r="D22" s="507" t="s">
        <v>1033</v>
      </c>
      <c r="E22" s="961">
        <v>1.32E-2</v>
      </c>
      <c r="F22" s="961">
        <v>6.8999999999999999E-3</v>
      </c>
      <c r="G22" s="961">
        <v>2.01E-2</v>
      </c>
    </row>
    <row r="23" spans="1:7">
      <c r="A23" s="503"/>
      <c r="B23" s="503"/>
      <c r="C23" s="503"/>
      <c r="D23" s="503"/>
    </row>
    <row r="24" spans="1:7">
      <c r="A24" s="503"/>
      <c r="B24" s="416" t="s">
        <v>1040</v>
      </c>
      <c r="C24" s="503"/>
      <c r="D24" s="503"/>
      <c r="E24" s="600" t="s">
        <v>376</v>
      </c>
    </row>
    <row r="25" spans="1:7">
      <c r="A25" s="503"/>
      <c r="B25" s="503"/>
      <c r="C25" s="237" t="s">
        <v>12</v>
      </c>
      <c r="D25" s="503"/>
      <c r="E25" s="600" t="s">
        <v>1026</v>
      </c>
      <c r="F25" s="4" t="s">
        <v>1027</v>
      </c>
      <c r="G25" s="4"/>
    </row>
    <row r="26" spans="1:7">
      <c r="A26" s="503"/>
      <c r="B26" s="503"/>
      <c r="C26" s="373" t="s">
        <v>99</v>
      </c>
      <c r="D26" s="373" t="s">
        <v>100</v>
      </c>
      <c r="E26" s="3" t="s">
        <v>1028</v>
      </c>
      <c r="F26" s="3" t="s">
        <v>1029</v>
      </c>
      <c r="G26" s="3" t="s">
        <v>196</v>
      </c>
    </row>
    <row r="27" spans="1:7">
      <c r="A27" s="600">
        <f>A22+1</f>
        <v>15</v>
      </c>
      <c r="B27" s="503"/>
      <c r="C27" s="503">
        <v>389</v>
      </c>
      <c r="D27" s="507" t="s">
        <v>1039</v>
      </c>
      <c r="E27" s="961">
        <v>1.67E-2</v>
      </c>
      <c r="F27" s="961">
        <v>0</v>
      </c>
      <c r="G27" s="961">
        <v>1.67E-2</v>
      </c>
    </row>
    <row r="28" spans="1:7">
      <c r="A28" s="600">
        <f t="shared" ref="A28:A42" si="1">A27+1</f>
        <v>16</v>
      </c>
      <c r="B28" s="503"/>
      <c r="C28" s="503">
        <v>390</v>
      </c>
      <c r="D28" s="507" t="s">
        <v>1032</v>
      </c>
      <c r="E28" s="961">
        <v>1.8099999999999998E-2</v>
      </c>
      <c r="F28" s="961">
        <v>2.7000000000000001E-3</v>
      </c>
      <c r="G28" s="961">
        <v>2.0799999999999999E-2</v>
      </c>
    </row>
    <row r="29" spans="1:7">
      <c r="A29" s="600">
        <f t="shared" si="1"/>
        <v>17</v>
      </c>
      <c r="B29" s="503"/>
      <c r="C29" s="503">
        <v>391.1</v>
      </c>
      <c r="D29" s="961" t="s">
        <v>1041</v>
      </c>
      <c r="E29" s="961">
        <v>0.05</v>
      </c>
      <c r="F29" s="961">
        <v>0</v>
      </c>
      <c r="G29" s="961">
        <v>0.05</v>
      </c>
    </row>
    <row r="30" spans="1:7">
      <c r="A30" s="600">
        <f t="shared" si="1"/>
        <v>18</v>
      </c>
      <c r="B30" s="503"/>
      <c r="C30" s="503">
        <v>391.5</v>
      </c>
      <c r="D30" s="961" t="s">
        <v>1610</v>
      </c>
      <c r="E30" s="961">
        <v>0.2</v>
      </c>
      <c r="F30" s="961">
        <v>0</v>
      </c>
      <c r="G30" s="961">
        <v>0.2</v>
      </c>
    </row>
    <row r="31" spans="1:7">
      <c r="A31" s="600">
        <f t="shared" si="1"/>
        <v>19</v>
      </c>
      <c r="B31" s="503"/>
      <c r="C31" s="503">
        <v>391.6</v>
      </c>
      <c r="D31" s="961" t="s">
        <v>1611</v>
      </c>
      <c r="E31" s="961">
        <v>0.2</v>
      </c>
      <c r="F31" s="961">
        <v>0</v>
      </c>
      <c r="G31" s="961">
        <v>0.2</v>
      </c>
    </row>
    <row r="32" spans="1:7">
      <c r="A32" s="600">
        <f t="shared" si="1"/>
        <v>20</v>
      </c>
      <c r="B32" s="503"/>
      <c r="C32" s="503">
        <v>391.2</v>
      </c>
      <c r="D32" s="961" t="s">
        <v>1612</v>
      </c>
      <c r="E32" s="961">
        <v>0.2</v>
      </c>
      <c r="F32" s="961">
        <v>0</v>
      </c>
      <c r="G32" s="961">
        <v>0.2</v>
      </c>
    </row>
    <row r="33" spans="1:11">
      <c r="A33" s="600">
        <f t="shared" si="1"/>
        <v>21</v>
      </c>
      <c r="B33" s="503"/>
      <c r="C33" s="503">
        <v>391.3</v>
      </c>
      <c r="D33" s="961" t="s">
        <v>1613</v>
      </c>
      <c r="E33" s="961">
        <v>0.2</v>
      </c>
      <c r="F33" s="961">
        <v>0</v>
      </c>
      <c r="G33" s="961">
        <v>0.2</v>
      </c>
    </row>
    <row r="34" spans="1:11">
      <c r="A34" s="600">
        <f t="shared" si="1"/>
        <v>22</v>
      </c>
      <c r="B34" s="503"/>
      <c r="C34" s="501">
        <v>391.7</v>
      </c>
      <c r="D34" s="961" t="s">
        <v>1614</v>
      </c>
      <c r="E34" s="961">
        <v>0.2</v>
      </c>
      <c r="F34" s="961">
        <v>0</v>
      </c>
      <c r="G34" s="961">
        <v>0.2</v>
      </c>
    </row>
    <row r="35" spans="1:11">
      <c r="A35" s="600">
        <f t="shared" si="1"/>
        <v>23</v>
      </c>
      <c r="B35" s="503"/>
      <c r="C35" s="501">
        <v>391.4</v>
      </c>
      <c r="D35" s="961" t="s">
        <v>1615</v>
      </c>
      <c r="E35" s="961">
        <v>0.1429</v>
      </c>
      <c r="F35" s="961">
        <v>0</v>
      </c>
      <c r="G35" s="961">
        <v>0.1429</v>
      </c>
    </row>
    <row r="36" spans="1:11">
      <c r="A36" s="600">
        <f t="shared" si="1"/>
        <v>24</v>
      </c>
      <c r="B36" s="503"/>
      <c r="C36" s="503">
        <v>391.4</v>
      </c>
      <c r="D36" s="961" t="s">
        <v>1616</v>
      </c>
      <c r="E36" s="961">
        <v>0.1</v>
      </c>
      <c r="F36" s="961">
        <v>0</v>
      </c>
      <c r="G36" s="961">
        <v>0.1</v>
      </c>
    </row>
    <row r="37" spans="1:11">
      <c r="A37" s="600">
        <f t="shared" si="1"/>
        <v>25</v>
      </c>
      <c r="B37" s="503"/>
      <c r="C37" s="501">
        <v>391.4</v>
      </c>
      <c r="D37" s="961" t="s">
        <v>1617</v>
      </c>
      <c r="E37" s="961">
        <v>6.6699999999999995E-2</v>
      </c>
      <c r="F37" s="961">
        <v>0</v>
      </c>
      <c r="G37" s="961">
        <v>6.6699999999999995E-2</v>
      </c>
    </row>
    <row r="38" spans="1:11">
      <c r="A38" s="600">
        <f t="shared" si="1"/>
        <v>26</v>
      </c>
      <c r="B38" s="503"/>
      <c r="C38" s="501">
        <v>391.4</v>
      </c>
      <c r="D38" s="961" t="s">
        <v>1618</v>
      </c>
      <c r="E38" s="961">
        <v>0.05</v>
      </c>
      <c r="F38" s="961">
        <v>0</v>
      </c>
      <c r="G38" s="961">
        <v>0.05</v>
      </c>
    </row>
    <row r="39" spans="1:11" ht="15">
      <c r="A39" s="600">
        <f t="shared" si="1"/>
        <v>27</v>
      </c>
      <c r="B39" s="503"/>
      <c r="C39" s="501">
        <v>391.4</v>
      </c>
      <c r="D39" s="961" t="s">
        <v>1619</v>
      </c>
      <c r="E39" s="961">
        <v>0.04</v>
      </c>
      <c r="F39" s="961">
        <v>0</v>
      </c>
      <c r="G39" s="961">
        <v>0.04</v>
      </c>
      <c r="I39" s="376"/>
      <c r="J39" s="376"/>
      <c r="K39" s="376"/>
    </row>
    <row r="40" spans="1:11" ht="15">
      <c r="A40" s="600">
        <f t="shared" si="1"/>
        <v>28</v>
      </c>
      <c r="B40" s="503"/>
      <c r="C40" s="501">
        <v>393</v>
      </c>
      <c r="D40" s="503" t="s">
        <v>1620</v>
      </c>
      <c r="E40" s="961">
        <v>0.05</v>
      </c>
      <c r="F40" s="961">
        <v>0</v>
      </c>
      <c r="G40" s="961">
        <v>0.05</v>
      </c>
      <c r="I40" s="376"/>
      <c r="J40" s="376"/>
      <c r="K40" s="376"/>
    </row>
    <row r="41" spans="1:11" ht="15">
      <c r="A41" s="600">
        <f t="shared" si="1"/>
        <v>29</v>
      </c>
      <c r="B41" s="503"/>
      <c r="C41" s="501">
        <v>395</v>
      </c>
      <c r="D41" s="503" t="s">
        <v>1621</v>
      </c>
      <c r="E41" s="961">
        <v>6.6699999999999995E-2</v>
      </c>
      <c r="F41" s="961">
        <v>0</v>
      </c>
      <c r="G41" s="961">
        <v>6.6699999999999995E-2</v>
      </c>
      <c r="I41" s="376"/>
      <c r="J41" s="376"/>
      <c r="K41" s="376"/>
    </row>
    <row r="42" spans="1:11" ht="15">
      <c r="A42" s="600">
        <f t="shared" si="1"/>
        <v>30</v>
      </c>
      <c r="B42" s="503"/>
      <c r="C42" s="501">
        <v>398</v>
      </c>
      <c r="D42" s="503" t="s">
        <v>1622</v>
      </c>
      <c r="E42" s="961">
        <v>0.05</v>
      </c>
      <c r="F42" s="961">
        <v>0</v>
      </c>
      <c r="G42" s="961">
        <v>0.05</v>
      </c>
      <c r="I42" s="376"/>
      <c r="J42" s="376"/>
      <c r="K42" s="376"/>
    </row>
    <row r="43" spans="1:11" ht="15">
      <c r="A43" s="600">
        <f>A42+1</f>
        <v>31</v>
      </c>
      <c r="B43" s="503"/>
      <c r="C43" s="501">
        <v>397</v>
      </c>
      <c r="D43" s="503" t="s">
        <v>2266</v>
      </c>
      <c r="E43" s="961">
        <v>0.2</v>
      </c>
      <c r="F43" s="961">
        <v>0</v>
      </c>
      <c r="G43" s="961">
        <v>0.2</v>
      </c>
      <c r="I43" s="376"/>
      <c r="J43" s="376"/>
      <c r="K43" s="376"/>
    </row>
    <row r="44" spans="1:11" ht="15">
      <c r="A44" s="600">
        <f t="shared" ref="A44:A53" si="2">A43+1</f>
        <v>32</v>
      </c>
      <c r="B44" s="503"/>
      <c r="C44" s="501">
        <v>397</v>
      </c>
      <c r="D44" s="503" t="s">
        <v>1623</v>
      </c>
      <c r="E44" s="961">
        <v>0.1429</v>
      </c>
      <c r="F44" s="961">
        <v>0</v>
      </c>
      <c r="G44" s="961">
        <v>0.1429</v>
      </c>
      <c r="I44" s="376"/>
      <c r="J44" s="376"/>
      <c r="K44" s="376"/>
    </row>
    <row r="45" spans="1:11" ht="15">
      <c r="A45" s="600">
        <f t="shared" si="2"/>
        <v>33</v>
      </c>
      <c r="B45" s="503"/>
      <c r="C45" s="501">
        <v>397</v>
      </c>
      <c r="D45" s="503" t="s">
        <v>1624</v>
      </c>
      <c r="E45" s="961">
        <v>0.1</v>
      </c>
      <c r="F45" s="961">
        <v>0</v>
      </c>
      <c r="G45" s="961">
        <v>0.1</v>
      </c>
      <c r="I45" s="376"/>
      <c r="J45" s="376"/>
      <c r="K45" s="376"/>
    </row>
    <row r="46" spans="1:11" ht="15">
      <c r="A46" s="600">
        <f t="shared" si="2"/>
        <v>34</v>
      </c>
      <c r="B46" s="503"/>
      <c r="C46" s="501">
        <v>397</v>
      </c>
      <c r="D46" s="503" t="s">
        <v>1625</v>
      </c>
      <c r="E46" s="961">
        <v>6.6699999999999995E-2</v>
      </c>
      <c r="F46" s="961">
        <v>0</v>
      </c>
      <c r="G46" s="961">
        <v>6.6699999999999995E-2</v>
      </c>
      <c r="I46" s="376"/>
      <c r="J46" s="376"/>
      <c r="K46" s="376"/>
    </row>
    <row r="47" spans="1:11" ht="15">
      <c r="A47" s="600">
        <f t="shared" si="2"/>
        <v>35</v>
      </c>
      <c r="B47" s="503"/>
      <c r="C47" s="501">
        <v>397</v>
      </c>
      <c r="D47" s="503" t="s">
        <v>2267</v>
      </c>
      <c r="E47" s="1161">
        <v>0.05</v>
      </c>
      <c r="F47" s="961">
        <v>0</v>
      </c>
      <c r="G47" s="1161">
        <v>0.05</v>
      </c>
      <c r="I47" s="376"/>
      <c r="J47" s="376"/>
      <c r="K47" s="376"/>
    </row>
    <row r="48" spans="1:11">
      <c r="A48" s="600">
        <f t="shared" si="2"/>
        <v>36</v>
      </c>
      <c r="B48" s="503"/>
      <c r="C48" s="501">
        <v>397</v>
      </c>
      <c r="D48" s="503" t="s">
        <v>1626</v>
      </c>
      <c r="E48" s="961">
        <v>0.04</v>
      </c>
      <c r="F48" s="961">
        <v>0</v>
      </c>
      <c r="G48" s="961">
        <v>0.04</v>
      </c>
    </row>
    <row r="49" spans="1:7">
      <c r="A49" s="600">
        <f t="shared" si="2"/>
        <v>37</v>
      </c>
      <c r="B49" s="503"/>
      <c r="C49" s="501">
        <v>397</v>
      </c>
      <c r="D49" s="503" t="s">
        <v>1627</v>
      </c>
      <c r="E49" s="961">
        <v>2.5000000000000001E-2</v>
      </c>
      <c r="F49" s="961">
        <v>0</v>
      </c>
      <c r="G49" s="961">
        <v>2.5000000000000001E-2</v>
      </c>
    </row>
    <row r="50" spans="1:7">
      <c r="A50" s="600">
        <f t="shared" si="2"/>
        <v>38</v>
      </c>
      <c r="B50" s="503"/>
      <c r="C50" s="501">
        <v>392</v>
      </c>
      <c r="D50" s="503" t="s">
        <v>1628</v>
      </c>
      <c r="E50" s="961">
        <v>0.1429</v>
      </c>
      <c r="F50" s="961">
        <v>0</v>
      </c>
      <c r="G50" s="961">
        <v>0.1429</v>
      </c>
    </row>
    <row r="51" spans="1:7">
      <c r="A51" s="600">
        <f t="shared" si="2"/>
        <v>39</v>
      </c>
      <c r="B51" s="503"/>
      <c r="C51" s="501">
        <v>394.4</v>
      </c>
      <c r="D51" s="503" t="s">
        <v>1629</v>
      </c>
      <c r="E51" s="961">
        <v>0.1</v>
      </c>
      <c r="F51" s="961">
        <v>0</v>
      </c>
      <c r="G51" s="961">
        <v>0.1</v>
      </c>
    </row>
    <row r="52" spans="1:7">
      <c r="A52" s="600">
        <f t="shared" si="2"/>
        <v>40</v>
      </c>
      <c r="B52" s="503"/>
      <c r="C52" s="501">
        <v>394.5</v>
      </c>
      <c r="D52" s="503" t="s">
        <v>1630</v>
      </c>
      <c r="E52" s="961">
        <v>0.1</v>
      </c>
      <c r="F52" s="961">
        <v>0</v>
      </c>
      <c r="G52" s="961">
        <v>0.1</v>
      </c>
    </row>
    <row r="53" spans="1:7">
      <c r="A53" s="600">
        <f t="shared" si="2"/>
        <v>41</v>
      </c>
      <c r="B53" s="503"/>
      <c r="C53" s="501">
        <v>396</v>
      </c>
      <c r="D53" s="503" t="s">
        <v>1631</v>
      </c>
      <c r="E53" s="961">
        <v>6.6699999999999995E-2</v>
      </c>
      <c r="F53" s="961">
        <v>0</v>
      </c>
      <c r="G53" s="961">
        <v>6.6699999999999995E-2</v>
      </c>
    </row>
    <row r="54" spans="1:7">
      <c r="A54" s="503"/>
      <c r="B54" s="503"/>
      <c r="C54" s="503"/>
      <c r="D54" s="503"/>
    </row>
    <row r="55" spans="1:7">
      <c r="A55" s="503"/>
      <c r="B55" s="416" t="s">
        <v>1042</v>
      </c>
      <c r="C55" s="503"/>
      <c r="D55" s="503"/>
      <c r="E55" s="600" t="s">
        <v>376</v>
      </c>
    </row>
    <row r="56" spans="1:7">
      <c r="A56" s="503"/>
      <c r="B56" s="503"/>
      <c r="C56" s="237" t="s">
        <v>12</v>
      </c>
      <c r="D56" s="503"/>
      <c r="E56" s="600" t="s">
        <v>1026</v>
      </c>
      <c r="F56" s="4" t="s">
        <v>1027</v>
      </c>
      <c r="G56" s="4"/>
    </row>
    <row r="57" spans="1:7">
      <c r="A57" s="503"/>
      <c r="B57" s="503"/>
      <c r="C57" s="373" t="s">
        <v>99</v>
      </c>
      <c r="D57" s="373" t="s">
        <v>100</v>
      </c>
      <c r="E57" s="3" t="s">
        <v>1028</v>
      </c>
      <c r="F57" s="3" t="s">
        <v>1029</v>
      </c>
      <c r="G57" s="3" t="s">
        <v>196</v>
      </c>
    </row>
    <row r="58" spans="1:7">
      <c r="A58" s="600">
        <f>A53+1</f>
        <v>42</v>
      </c>
      <c r="B58" s="503"/>
      <c r="C58" s="501">
        <v>302</v>
      </c>
      <c r="D58" s="507" t="s">
        <v>1043</v>
      </c>
      <c r="E58" s="961">
        <v>2.47E-2</v>
      </c>
      <c r="F58" s="961">
        <v>0</v>
      </c>
      <c r="G58" s="961">
        <v>2.47E-2</v>
      </c>
    </row>
    <row r="59" spans="1:7">
      <c r="A59" s="600">
        <f t="shared" ref="A59:A64" si="3">A58+1</f>
        <v>43</v>
      </c>
      <c r="B59" s="503"/>
      <c r="C59" s="501">
        <v>303</v>
      </c>
      <c r="D59" s="507" t="s">
        <v>1044</v>
      </c>
      <c r="E59" s="961">
        <v>2.5000000000000001E-2</v>
      </c>
      <c r="F59" s="961">
        <v>0</v>
      </c>
      <c r="G59" s="961">
        <v>2.5000000000000001E-2</v>
      </c>
    </row>
    <row r="60" spans="1:7">
      <c r="A60" s="600">
        <f t="shared" si="3"/>
        <v>44</v>
      </c>
      <c r="B60" s="503"/>
      <c r="C60" s="501">
        <v>301</v>
      </c>
      <c r="D60" s="507" t="s">
        <v>1045</v>
      </c>
      <c r="E60" s="961">
        <v>0.05</v>
      </c>
      <c r="F60" s="961">
        <v>0</v>
      </c>
      <c r="G60" s="961">
        <v>0.05</v>
      </c>
    </row>
    <row r="61" spans="1:7">
      <c r="A61" s="600">
        <f t="shared" si="3"/>
        <v>45</v>
      </c>
      <c r="B61" s="503"/>
      <c r="C61" s="501">
        <v>303</v>
      </c>
      <c r="D61" s="507" t="s">
        <v>1046</v>
      </c>
      <c r="E61" s="961">
        <v>0.2031</v>
      </c>
      <c r="F61" s="961">
        <v>0</v>
      </c>
      <c r="G61" s="961">
        <v>0.2031</v>
      </c>
    </row>
    <row r="62" spans="1:7">
      <c r="A62" s="600">
        <f t="shared" si="3"/>
        <v>46</v>
      </c>
      <c r="B62" s="503"/>
      <c r="C62" s="501">
        <v>303</v>
      </c>
      <c r="D62" s="507" t="s">
        <v>1047</v>
      </c>
      <c r="E62" s="961">
        <v>0.1462</v>
      </c>
      <c r="F62" s="961">
        <v>0</v>
      </c>
      <c r="G62" s="961">
        <v>0.1462</v>
      </c>
    </row>
    <row r="63" spans="1:7">
      <c r="A63" s="600">
        <f t="shared" si="3"/>
        <v>47</v>
      </c>
      <c r="B63" s="503"/>
      <c r="C63" s="501">
        <v>303</v>
      </c>
      <c r="D63" s="507" t="s">
        <v>1048</v>
      </c>
      <c r="E63" s="961">
        <v>0.1293</v>
      </c>
      <c r="F63" s="961">
        <v>0</v>
      </c>
      <c r="G63" s="961">
        <v>0.1293</v>
      </c>
    </row>
    <row r="64" spans="1:7">
      <c r="A64" s="600">
        <f t="shared" si="3"/>
        <v>48</v>
      </c>
      <c r="B64" s="503"/>
      <c r="C64" s="501">
        <v>303</v>
      </c>
      <c r="D64" s="507" t="s">
        <v>1049</v>
      </c>
      <c r="E64" s="961">
        <v>8.48E-2</v>
      </c>
      <c r="F64" s="961">
        <v>0</v>
      </c>
      <c r="G64" s="961">
        <v>8.48E-2</v>
      </c>
    </row>
    <row r="65" spans="1:6">
      <c r="A65" s="503"/>
      <c r="B65" s="505" t="s">
        <v>1752</v>
      </c>
      <c r="C65" s="505"/>
      <c r="D65" s="505"/>
      <c r="E65" s="505"/>
      <c r="F65" s="505"/>
    </row>
    <row r="66" spans="1:6">
      <c r="A66" s="503"/>
      <c r="B66" s="505" t="s">
        <v>2603</v>
      </c>
      <c r="C66" s="505"/>
      <c r="D66" s="505"/>
      <c r="E66" s="505"/>
      <c r="F66" s="505"/>
    </row>
  </sheetData>
  <pageMargins left="0.7" right="0.7" top="0.75" bottom="0.75" header="0.3" footer="0.3"/>
  <pageSetup scale="75" orientation="portrait" cellComments="asDisplayed" r:id="rId1"/>
  <headerFooter>
    <oddHeader>&amp;CSchedule 18
Depreciation Rates
&amp;RExhibit SCE-4
TO2018 Formula Rate Spreadsheet</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zoomScale="90" zoomScaleNormal="90" workbookViewId="0"/>
  </sheetViews>
  <sheetFormatPr defaultColWidth="9.140625" defaultRowHeight="12.75"/>
  <cols>
    <col min="1" max="1" width="5.7109375" style="516" customWidth="1"/>
    <col min="2" max="2" width="50.7109375" style="516" customWidth="1"/>
    <col min="3" max="3" width="14.7109375" style="514" customWidth="1"/>
    <col min="4" max="4" width="16.28515625" style="514" customWidth="1"/>
    <col min="5" max="5" width="14.7109375" style="514" customWidth="1"/>
    <col min="6" max="6" width="12.7109375" style="949" customWidth="1"/>
    <col min="7" max="7" width="16.7109375" style="907" customWidth="1"/>
    <col min="8" max="9" width="14.7109375" style="908" customWidth="1"/>
    <col min="10" max="12" width="14.7109375" style="516" customWidth="1"/>
    <col min="13" max="13" width="9.140625" style="503"/>
    <col min="14" max="14" width="10.7109375" style="503" bestFit="1" customWidth="1"/>
    <col min="15" max="16384" width="9.140625" style="503"/>
  </cols>
  <sheetData>
    <row r="1" spans="1:12" ht="12.75" customHeight="1">
      <c r="A1" s="433" t="s">
        <v>1278</v>
      </c>
      <c r="C1" s="434"/>
      <c r="D1" s="435"/>
      <c r="E1" s="435"/>
      <c r="F1" s="436"/>
      <c r="G1" s="437"/>
      <c r="H1" s="437"/>
      <c r="I1" s="437"/>
      <c r="J1" s="437"/>
      <c r="K1" s="503"/>
      <c r="L1" s="503"/>
    </row>
    <row r="2" spans="1:12" ht="12.75" customHeight="1">
      <c r="A2" s="438"/>
      <c r="C2" s="434"/>
      <c r="D2" s="435"/>
      <c r="E2" s="435"/>
      <c r="F2" s="439"/>
      <c r="G2" s="734" t="s">
        <v>304</v>
      </c>
      <c r="H2" s="513"/>
      <c r="I2" s="435"/>
      <c r="J2" s="437"/>
      <c r="K2" s="437"/>
      <c r="L2" s="437"/>
    </row>
    <row r="3" spans="1:12" ht="12.75" customHeight="1">
      <c r="A3" s="440"/>
      <c r="B3" s="441" t="s">
        <v>1279</v>
      </c>
      <c r="C3" s="443"/>
      <c r="D3" s="443"/>
      <c r="E3" s="443"/>
      <c r="F3" s="444"/>
      <c r="G3" s="442"/>
      <c r="H3" s="442"/>
      <c r="I3" s="442"/>
      <c r="J3" s="442"/>
      <c r="K3" s="442"/>
      <c r="L3" s="445"/>
    </row>
    <row r="4" spans="1:12" ht="12.75" customHeight="1">
      <c r="A4" s="446"/>
      <c r="B4" s="438"/>
      <c r="C4" s="447"/>
      <c r="D4" s="447"/>
      <c r="E4" s="447"/>
      <c r="F4" s="448"/>
      <c r="G4" s="26"/>
      <c r="H4" s="26"/>
      <c r="I4" s="26"/>
      <c r="J4" s="26"/>
      <c r="K4" s="26"/>
      <c r="L4" s="437"/>
    </row>
    <row r="5" spans="1:12" ht="12.75" customHeight="1">
      <c r="A5" s="442"/>
      <c r="B5" s="449" t="s">
        <v>363</v>
      </c>
      <c r="C5" s="449" t="s">
        <v>347</v>
      </c>
      <c r="D5" s="449" t="s">
        <v>348</v>
      </c>
      <c r="E5" s="449" t="s">
        <v>349</v>
      </c>
      <c r="F5" s="450" t="s">
        <v>350</v>
      </c>
      <c r="G5" s="449" t="s">
        <v>351</v>
      </c>
      <c r="H5" s="449" t="s">
        <v>352</v>
      </c>
      <c r="I5" s="449" t="s">
        <v>544</v>
      </c>
      <c r="J5" s="449" t="s">
        <v>961</v>
      </c>
      <c r="K5" s="449" t="s">
        <v>974</v>
      </c>
      <c r="L5" s="449" t="s">
        <v>977</v>
      </c>
    </row>
    <row r="6" spans="1:12" ht="12.75" customHeight="1">
      <c r="A6" s="446"/>
      <c r="B6" s="438"/>
      <c r="C6" s="589" t="s">
        <v>1280</v>
      </c>
      <c r="D6" s="447"/>
      <c r="E6" s="447"/>
      <c r="F6" s="903" t="s">
        <v>365</v>
      </c>
      <c r="G6" s="589" t="s">
        <v>1281</v>
      </c>
      <c r="H6" s="451"/>
      <c r="I6" s="451"/>
      <c r="J6" s="589" t="s">
        <v>1282</v>
      </c>
      <c r="K6" s="589" t="s">
        <v>1283</v>
      </c>
      <c r="L6" s="590" t="s">
        <v>1284</v>
      </c>
    </row>
    <row r="7" spans="1:12" ht="12.75" customHeight="1">
      <c r="C7" s="904"/>
      <c r="D7" s="905"/>
      <c r="E7" s="905"/>
      <c r="F7" s="906"/>
      <c r="J7" s="909"/>
    </row>
    <row r="8" spans="1:12">
      <c r="A8" s="452"/>
      <c r="B8" s="1383" t="s">
        <v>1285</v>
      </c>
      <c r="C8" s="1385" t="s">
        <v>1286</v>
      </c>
      <c r="D8" s="1385"/>
      <c r="E8" s="1385"/>
      <c r="F8" s="453"/>
      <c r="G8" s="1381" t="s">
        <v>1287</v>
      </c>
      <c r="H8" s="1381"/>
      <c r="I8" s="1382"/>
      <c r="J8" s="1380" t="s">
        <v>1288</v>
      </c>
      <c r="K8" s="1381"/>
      <c r="L8" s="1382"/>
    </row>
    <row r="9" spans="1:12">
      <c r="A9" s="51"/>
      <c r="B9" s="1384"/>
      <c r="C9" s="902" t="s">
        <v>196</v>
      </c>
      <c r="D9" s="902" t="s">
        <v>1289</v>
      </c>
      <c r="E9" s="454" t="s">
        <v>1290</v>
      </c>
      <c r="F9" s="455" t="s">
        <v>1232</v>
      </c>
      <c r="G9" s="454" t="s">
        <v>196</v>
      </c>
      <c r="H9" s="454" t="s">
        <v>1289</v>
      </c>
      <c r="I9" s="454" t="s">
        <v>1290</v>
      </c>
      <c r="J9" s="902" t="s">
        <v>196</v>
      </c>
      <c r="K9" s="454" t="s">
        <v>1289</v>
      </c>
      <c r="L9" s="454" t="s">
        <v>1290</v>
      </c>
    </row>
    <row r="10" spans="1:12">
      <c r="A10" s="51" t="s">
        <v>332</v>
      </c>
      <c r="B10" s="456" t="s">
        <v>1291</v>
      </c>
      <c r="C10" s="258"/>
      <c r="D10" s="258"/>
      <c r="E10" s="457"/>
      <c r="F10" s="458"/>
      <c r="G10" s="457"/>
      <c r="H10" s="457"/>
      <c r="I10" s="457"/>
      <c r="J10" s="258"/>
      <c r="K10" s="457"/>
      <c r="L10" s="457"/>
    </row>
    <row r="11" spans="1:12">
      <c r="A11" s="600">
        <v>1</v>
      </c>
      <c r="B11" s="521" t="s">
        <v>2408</v>
      </c>
      <c r="C11" s="910">
        <f>SUM(D11:E11)</f>
        <v>9662715.5300000012</v>
      </c>
      <c r="D11" s="1103">
        <v>4478898.423420487</v>
      </c>
      <c r="E11" s="1103">
        <v>5183817.1065795133</v>
      </c>
      <c r="F11" s="1235"/>
      <c r="G11" s="911">
        <f t="shared" ref="G11:G42" si="0">SUM(H11:I11)</f>
        <v>0</v>
      </c>
      <c r="H11" s="1103">
        <v>0</v>
      </c>
      <c r="I11" s="1103">
        <v>0</v>
      </c>
      <c r="J11" s="623">
        <f>SUM(K11:L11)</f>
        <v>9662715.5300000012</v>
      </c>
      <c r="K11" s="623">
        <f>D11+H11</f>
        <v>4478898.423420487</v>
      </c>
      <c r="L11" s="623">
        <f>E11+I11</f>
        <v>5183817.1065795133</v>
      </c>
    </row>
    <row r="12" spans="1:12">
      <c r="A12" s="600">
        <f>A11+1</f>
        <v>2</v>
      </c>
      <c r="B12" s="521" t="s">
        <v>1292</v>
      </c>
      <c r="C12" s="910">
        <f>SUM(D12:E12)</f>
        <v>211154.73</v>
      </c>
      <c r="D12" s="1103">
        <v>0</v>
      </c>
      <c r="E12" s="1103">
        <v>211154.73</v>
      </c>
      <c r="F12" s="1235"/>
      <c r="G12" s="911">
        <f t="shared" si="0"/>
        <v>0</v>
      </c>
      <c r="H12" s="1103">
        <v>0</v>
      </c>
      <c r="I12" s="1103">
        <v>0</v>
      </c>
      <c r="J12" s="623">
        <f t="shared" ref="J12:J42" si="1">SUM(K12:L12)</f>
        <v>211154.73</v>
      </c>
      <c r="K12" s="623">
        <f t="shared" ref="K12:L27" si="2">D12+H12</f>
        <v>0</v>
      </c>
      <c r="L12" s="623">
        <f t="shared" si="2"/>
        <v>211154.73</v>
      </c>
    </row>
    <row r="13" spans="1:12">
      <c r="A13" s="600">
        <f t="shared" ref="A13:A44" si="3">A12+1</f>
        <v>3</v>
      </c>
      <c r="B13" s="621" t="s">
        <v>2409</v>
      </c>
      <c r="C13" s="910">
        <f t="shared" ref="C13:C40" si="4">SUM(D13:E13)</f>
        <v>10284004.57</v>
      </c>
      <c r="D13" s="1103">
        <v>8327929.8897640426</v>
      </c>
      <c r="E13" s="1103">
        <v>1956074.6802359587</v>
      </c>
      <c r="F13" s="1235"/>
      <c r="G13" s="911">
        <f t="shared" si="0"/>
        <v>0</v>
      </c>
      <c r="H13" s="1103">
        <v>0</v>
      </c>
      <c r="I13" s="1103">
        <v>0</v>
      </c>
      <c r="J13" s="623">
        <f t="shared" si="1"/>
        <v>10284004.57</v>
      </c>
      <c r="K13" s="623">
        <f t="shared" si="2"/>
        <v>8327929.8897640426</v>
      </c>
      <c r="L13" s="623">
        <f t="shared" si="2"/>
        <v>1956074.6802359587</v>
      </c>
    </row>
    <row r="14" spans="1:12">
      <c r="A14" s="600">
        <f t="shared" si="3"/>
        <v>4</v>
      </c>
      <c r="B14" s="621" t="s">
        <v>1293</v>
      </c>
      <c r="C14" s="910">
        <f t="shared" si="4"/>
        <v>37337693.240000002</v>
      </c>
      <c r="D14" s="1103">
        <v>0</v>
      </c>
      <c r="E14" s="1103">
        <v>37337693.240000002</v>
      </c>
      <c r="F14" s="1235" t="s">
        <v>561</v>
      </c>
      <c r="G14" s="911">
        <f t="shared" si="0"/>
        <v>-37337693.240000002</v>
      </c>
      <c r="H14" s="1103">
        <v>0</v>
      </c>
      <c r="I14" s="1103">
        <v>-37337693.240000002</v>
      </c>
      <c r="J14" s="623">
        <f t="shared" si="1"/>
        <v>0</v>
      </c>
      <c r="K14" s="623">
        <f t="shared" si="2"/>
        <v>0</v>
      </c>
      <c r="L14" s="623">
        <f t="shared" si="2"/>
        <v>0</v>
      </c>
    </row>
    <row r="15" spans="1:12">
      <c r="A15" s="600">
        <f t="shared" si="3"/>
        <v>5</v>
      </c>
      <c r="B15" s="621" t="s">
        <v>2410</v>
      </c>
      <c r="C15" s="910">
        <f t="shared" si="4"/>
        <v>4998172.0100000007</v>
      </c>
      <c r="D15" s="1103">
        <v>4185120.3743014466</v>
      </c>
      <c r="E15" s="1103">
        <v>813051.63569855434</v>
      </c>
      <c r="F15" s="1235"/>
      <c r="G15" s="911">
        <f t="shared" si="0"/>
        <v>0</v>
      </c>
      <c r="H15" s="1103">
        <v>0</v>
      </c>
      <c r="I15" s="1103">
        <v>0</v>
      </c>
      <c r="J15" s="623">
        <f t="shared" si="1"/>
        <v>4998172.0100000007</v>
      </c>
      <c r="K15" s="623">
        <f t="shared" si="2"/>
        <v>4185120.3743014466</v>
      </c>
      <c r="L15" s="623">
        <f t="shared" si="2"/>
        <v>813051.63569855434</v>
      </c>
    </row>
    <row r="16" spans="1:12">
      <c r="A16" s="600">
        <f t="shared" si="3"/>
        <v>6</v>
      </c>
      <c r="B16" s="621" t="s">
        <v>2411</v>
      </c>
      <c r="C16" s="910">
        <f t="shared" si="4"/>
        <v>22535987.65875772</v>
      </c>
      <c r="D16" s="1103">
        <v>18184793.855675373</v>
      </c>
      <c r="E16" s="1103">
        <v>4351193.803082346</v>
      </c>
      <c r="F16" s="1235"/>
      <c r="G16" s="911">
        <f t="shared" si="0"/>
        <v>0</v>
      </c>
      <c r="H16" s="1103">
        <v>0</v>
      </c>
      <c r="I16" s="1103">
        <v>0</v>
      </c>
      <c r="J16" s="623">
        <f t="shared" si="1"/>
        <v>22535987.65875772</v>
      </c>
      <c r="K16" s="623">
        <f t="shared" si="2"/>
        <v>18184793.855675373</v>
      </c>
      <c r="L16" s="623">
        <f t="shared" si="2"/>
        <v>4351193.803082346</v>
      </c>
    </row>
    <row r="17" spans="1:12">
      <c r="A17" s="600">
        <f t="shared" si="3"/>
        <v>7</v>
      </c>
      <c r="B17" s="621" t="s">
        <v>1294</v>
      </c>
      <c r="C17" s="910">
        <f t="shared" si="4"/>
        <v>0</v>
      </c>
      <c r="D17" s="1103">
        <v>0</v>
      </c>
      <c r="E17" s="1103">
        <v>0</v>
      </c>
      <c r="F17" s="1235"/>
      <c r="G17" s="911">
        <f t="shared" si="0"/>
        <v>0</v>
      </c>
      <c r="H17" s="1103">
        <v>0</v>
      </c>
      <c r="I17" s="1103">
        <v>0</v>
      </c>
      <c r="J17" s="623">
        <f t="shared" si="1"/>
        <v>0</v>
      </c>
      <c r="K17" s="623">
        <f t="shared" si="2"/>
        <v>0</v>
      </c>
      <c r="L17" s="623">
        <f t="shared" si="2"/>
        <v>0</v>
      </c>
    </row>
    <row r="18" spans="1:12">
      <c r="A18" s="600">
        <f t="shared" si="3"/>
        <v>8</v>
      </c>
      <c r="B18" s="621" t="s">
        <v>1295</v>
      </c>
      <c r="C18" s="910">
        <f t="shared" si="4"/>
        <v>1003580.31</v>
      </c>
      <c r="D18" s="1103">
        <v>84.16</v>
      </c>
      <c r="E18" s="1103">
        <v>1003496.15</v>
      </c>
      <c r="F18" s="1235"/>
      <c r="G18" s="911">
        <f t="shared" si="0"/>
        <v>0</v>
      </c>
      <c r="H18" s="1103">
        <v>0</v>
      </c>
      <c r="I18" s="1103">
        <v>0</v>
      </c>
      <c r="J18" s="623">
        <f t="shared" si="1"/>
        <v>1003580.31</v>
      </c>
      <c r="K18" s="623">
        <f t="shared" si="2"/>
        <v>84.16</v>
      </c>
      <c r="L18" s="623">
        <f t="shared" si="2"/>
        <v>1003496.15</v>
      </c>
    </row>
    <row r="19" spans="1:12">
      <c r="A19" s="600">
        <f t="shared" si="3"/>
        <v>9</v>
      </c>
      <c r="B19" s="621" t="s">
        <v>2412</v>
      </c>
      <c r="C19" s="910">
        <f t="shared" si="4"/>
        <v>6707716.1000000006</v>
      </c>
      <c r="D19" s="1103">
        <v>3569598.822378898</v>
      </c>
      <c r="E19" s="1103">
        <v>3138117.2776211025</v>
      </c>
      <c r="F19" s="1235"/>
      <c r="G19" s="911">
        <f t="shared" si="0"/>
        <v>0</v>
      </c>
      <c r="H19" s="1103">
        <v>0</v>
      </c>
      <c r="I19" s="1103">
        <v>0</v>
      </c>
      <c r="J19" s="623">
        <f t="shared" si="1"/>
        <v>6707716.1000000006</v>
      </c>
      <c r="K19" s="623">
        <f t="shared" si="2"/>
        <v>3569598.822378898</v>
      </c>
      <c r="L19" s="623">
        <f t="shared" si="2"/>
        <v>3138117.2776211025</v>
      </c>
    </row>
    <row r="20" spans="1:12">
      <c r="A20" s="600">
        <f t="shared" si="3"/>
        <v>10</v>
      </c>
      <c r="B20" s="621" t="s">
        <v>2413</v>
      </c>
      <c r="C20" s="910">
        <f t="shared" si="4"/>
        <v>1182483.4000000001</v>
      </c>
      <c r="D20" s="1103">
        <v>968761.2454401555</v>
      </c>
      <c r="E20" s="1103">
        <v>213722.15455984461</v>
      </c>
      <c r="F20" s="1235"/>
      <c r="G20" s="911">
        <f t="shared" si="0"/>
        <v>0</v>
      </c>
      <c r="H20" s="1103">
        <v>0</v>
      </c>
      <c r="I20" s="1103">
        <v>0</v>
      </c>
      <c r="J20" s="623">
        <f t="shared" si="1"/>
        <v>1182483.4000000001</v>
      </c>
      <c r="K20" s="623">
        <f t="shared" si="2"/>
        <v>968761.2454401555</v>
      </c>
      <c r="L20" s="623">
        <f t="shared" si="2"/>
        <v>213722.15455984461</v>
      </c>
    </row>
    <row r="21" spans="1:12">
      <c r="A21" s="600">
        <f t="shared" si="3"/>
        <v>11</v>
      </c>
      <c r="B21" s="621" t="s">
        <v>2414</v>
      </c>
      <c r="C21" s="910">
        <f t="shared" si="4"/>
        <v>5830495.7000000002</v>
      </c>
      <c r="D21" s="1103">
        <v>0</v>
      </c>
      <c r="E21" s="1103">
        <v>5830495.7000000002</v>
      </c>
      <c r="F21" s="1235"/>
      <c r="G21" s="911">
        <f t="shared" si="0"/>
        <v>0</v>
      </c>
      <c r="H21" s="1103">
        <v>0</v>
      </c>
      <c r="I21" s="1103">
        <v>0</v>
      </c>
      <c r="J21" s="623">
        <f t="shared" si="1"/>
        <v>5830495.7000000002</v>
      </c>
      <c r="K21" s="623">
        <f t="shared" si="2"/>
        <v>0</v>
      </c>
      <c r="L21" s="623">
        <f t="shared" si="2"/>
        <v>5830495.7000000002</v>
      </c>
    </row>
    <row r="22" spans="1:12">
      <c r="A22" s="600">
        <f t="shared" si="3"/>
        <v>12</v>
      </c>
      <c r="B22" s="621" t="s">
        <v>1297</v>
      </c>
      <c r="C22" s="910">
        <f t="shared" si="4"/>
        <v>11062097.18</v>
      </c>
      <c r="D22" s="1103">
        <v>0</v>
      </c>
      <c r="E22" s="1103">
        <v>11062097.18</v>
      </c>
      <c r="F22" s="1235" t="s">
        <v>563</v>
      </c>
      <c r="G22" s="912">
        <f t="shared" si="0"/>
        <v>-11062097.18</v>
      </c>
      <c r="H22" s="1103">
        <v>0</v>
      </c>
      <c r="I22" s="1103">
        <v>-11062097.18</v>
      </c>
      <c r="J22" s="623">
        <f t="shared" si="1"/>
        <v>0</v>
      </c>
      <c r="K22" s="623">
        <f t="shared" si="2"/>
        <v>0</v>
      </c>
      <c r="L22" s="623">
        <f t="shared" si="2"/>
        <v>0</v>
      </c>
    </row>
    <row r="23" spans="1:12">
      <c r="A23" s="600">
        <f t="shared" si="3"/>
        <v>13</v>
      </c>
      <c r="B23" s="621" t="s">
        <v>1298</v>
      </c>
      <c r="C23" s="910">
        <f t="shared" si="4"/>
        <v>242797.53000000003</v>
      </c>
      <c r="D23" s="1103">
        <v>0</v>
      </c>
      <c r="E23" s="1103">
        <v>242797.53000000003</v>
      </c>
      <c r="F23" s="1235"/>
      <c r="G23" s="911">
        <f t="shared" si="0"/>
        <v>0</v>
      </c>
      <c r="H23" s="1103">
        <v>0</v>
      </c>
      <c r="I23" s="1103">
        <v>0</v>
      </c>
      <c r="J23" s="623">
        <f t="shared" si="1"/>
        <v>242797.53000000003</v>
      </c>
      <c r="K23" s="623">
        <f t="shared" si="2"/>
        <v>0</v>
      </c>
      <c r="L23" s="623">
        <f t="shared" si="2"/>
        <v>242797.53000000003</v>
      </c>
    </row>
    <row r="24" spans="1:12">
      <c r="A24" s="600">
        <f t="shared" si="3"/>
        <v>14</v>
      </c>
      <c r="B24" s="621" t="s">
        <v>2415</v>
      </c>
      <c r="C24" s="910">
        <f t="shared" si="4"/>
        <v>47043937.529451773</v>
      </c>
      <c r="D24" s="1103">
        <v>22105384.649801638</v>
      </c>
      <c r="E24" s="1103">
        <v>24938552.879650135</v>
      </c>
      <c r="F24" s="1235" t="s">
        <v>566</v>
      </c>
      <c r="G24" s="911">
        <f>SUM(H24:I24)</f>
        <v>-43077.88</v>
      </c>
      <c r="H24" s="1103">
        <v>0</v>
      </c>
      <c r="I24" s="1103">
        <v>-43077.88</v>
      </c>
      <c r="J24" s="623">
        <f>SUM(K24:L24)</f>
        <v>47000859.649451777</v>
      </c>
      <c r="K24" s="623">
        <f t="shared" si="2"/>
        <v>22105384.649801638</v>
      </c>
      <c r="L24" s="623">
        <f t="shared" si="2"/>
        <v>24895474.999650136</v>
      </c>
    </row>
    <row r="25" spans="1:12">
      <c r="A25" s="600">
        <f t="shared" si="3"/>
        <v>15</v>
      </c>
      <c r="B25" s="621" t="s">
        <v>1299</v>
      </c>
      <c r="C25" s="910">
        <f t="shared" si="4"/>
        <v>-31308783.720000003</v>
      </c>
      <c r="D25" s="1103">
        <v>136682.43181328848</v>
      </c>
      <c r="E25" s="1103">
        <v>-31445466.151813291</v>
      </c>
      <c r="F25" s="1235" t="s">
        <v>564</v>
      </c>
      <c r="G25" s="911">
        <f>SUM(H25:I25)</f>
        <v>31308783.720000003</v>
      </c>
      <c r="H25" s="1103">
        <v>-136682.43181328848</v>
      </c>
      <c r="I25" s="1103">
        <v>31445466.151813291</v>
      </c>
      <c r="J25" s="623">
        <f t="shared" si="1"/>
        <v>0</v>
      </c>
      <c r="K25" s="623">
        <f t="shared" si="2"/>
        <v>0</v>
      </c>
      <c r="L25" s="623">
        <f t="shared" si="2"/>
        <v>0</v>
      </c>
    </row>
    <row r="26" spans="1:12">
      <c r="A26" s="600">
        <f t="shared" si="3"/>
        <v>16</v>
      </c>
      <c r="B26" s="621" t="s">
        <v>1300</v>
      </c>
      <c r="C26" s="910">
        <f t="shared" si="4"/>
        <v>1048641.1299999999</v>
      </c>
      <c r="D26" s="1103">
        <v>0</v>
      </c>
      <c r="E26" s="1103">
        <v>1048641.1299999999</v>
      </c>
      <c r="F26" s="1235"/>
      <c r="G26" s="911">
        <f t="shared" si="0"/>
        <v>0</v>
      </c>
      <c r="H26" s="1103">
        <v>0</v>
      </c>
      <c r="I26" s="1103">
        <v>0</v>
      </c>
      <c r="J26" s="623">
        <f t="shared" si="1"/>
        <v>1048641.1299999999</v>
      </c>
      <c r="K26" s="623">
        <f t="shared" si="2"/>
        <v>0</v>
      </c>
      <c r="L26" s="623">
        <f t="shared" si="2"/>
        <v>1048641.1299999999</v>
      </c>
    </row>
    <row r="27" spans="1:12">
      <c r="A27" s="600">
        <f t="shared" si="3"/>
        <v>17</v>
      </c>
      <c r="B27" s="621" t="s">
        <v>2403</v>
      </c>
      <c r="C27" s="910">
        <f t="shared" si="4"/>
        <v>15840955.390000001</v>
      </c>
      <c r="D27" s="1103">
        <v>5280.5962258284753</v>
      </c>
      <c r="E27" s="1103">
        <v>15835674.793774173</v>
      </c>
      <c r="F27" s="1235"/>
      <c r="G27" s="912">
        <f t="shared" si="0"/>
        <v>0</v>
      </c>
      <c r="H27" s="1103">
        <v>0</v>
      </c>
      <c r="I27" s="1103">
        <v>0</v>
      </c>
      <c r="J27" s="623">
        <f t="shared" si="1"/>
        <v>15840955.390000001</v>
      </c>
      <c r="K27" s="623">
        <f t="shared" si="2"/>
        <v>5280.5962258284753</v>
      </c>
      <c r="L27" s="623">
        <f t="shared" si="2"/>
        <v>15835674.793774173</v>
      </c>
    </row>
    <row r="28" spans="1:12">
      <c r="A28" s="111">
        <f t="shared" si="3"/>
        <v>18</v>
      </c>
      <c r="B28" s="621" t="s">
        <v>1301</v>
      </c>
      <c r="C28" s="910">
        <f t="shared" si="4"/>
        <v>49556.990000000013</v>
      </c>
      <c r="D28" s="1103">
        <v>0</v>
      </c>
      <c r="E28" s="1103">
        <v>49556.990000000013</v>
      </c>
      <c r="F28" s="1235"/>
      <c r="G28" s="911">
        <f t="shared" si="0"/>
        <v>0</v>
      </c>
      <c r="H28" s="1103">
        <v>0</v>
      </c>
      <c r="I28" s="1103">
        <v>0</v>
      </c>
      <c r="J28" s="930">
        <f t="shared" si="1"/>
        <v>49556.990000000013</v>
      </c>
      <c r="K28" s="930">
        <f t="shared" ref="K28:L40" si="5">D28+H28</f>
        <v>0</v>
      </c>
      <c r="L28" s="930">
        <f t="shared" si="5"/>
        <v>49556.990000000013</v>
      </c>
    </row>
    <row r="29" spans="1:12">
      <c r="A29" s="111">
        <f t="shared" si="3"/>
        <v>19</v>
      </c>
      <c r="B29" s="621" t="s">
        <v>1302</v>
      </c>
      <c r="C29" s="910">
        <f t="shared" si="4"/>
        <v>355202.04000000004</v>
      </c>
      <c r="D29" s="1103">
        <v>0</v>
      </c>
      <c r="E29" s="1103">
        <v>355202.04000000004</v>
      </c>
      <c r="F29" s="1235"/>
      <c r="G29" s="912">
        <f t="shared" si="0"/>
        <v>0</v>
      </c>
      <c r="H29" s="1103">
        <v>0</v>
      </c>
      <c r="I29" s="1103">
        <v>0</v>
      </c>
      <c r="J29" s="930">
        <f t="shared" ref="J29" si="6">SUM(K29:L29)</f>
        <v>355202.04000000004</v>
      </c>
      <c r="K29" s="930">
        <f t="shared" ref="K29" si="7">D29+H29</f>
        <v>0</v>
      </c>
      <c r="L29" s="930">
        <f t="shared" ref="L29" si="8">E29+I29</f>
        <v>355202.04000000004</v>
      </c>
    </row>
    <row r="30" spans="1:12">
      <c r="A30" s="111">
        <f t="shared" si="3"/>
        <v>20</v>
      </c>
      <c r="B30" s="621" t="s">
        <v>2416</v>
      </c>
      <c r="C30" s="910">
        <f t="shared" si="4"/>
        <v>2115851</v>
      </c>
      <c r="D30" s="1103">
        <v>1858977.9117888997</v>
      </c>
      <c r="E30" s="1103">
        <v>256873.08821110034</v>
      </c>
      <c r="F30" s="1235"/>
      <c r="G30" s="911">
        <f t="shared" si="0"/>
        <v>0</v>
      </c>
      <c r="H30" s="1103">
        <v>0</v>
      </c>
      <c r="I30" s="1103">
        <v>0</v>
      </c>
      <c r="J30" s="623">
        <f t="shared" si="1"/>
        <v>2115851</v>
      </c>
      <c r="K30" s="623">
        <f t="shared" si="5"/>
        <v>1858977.9117888997</v>
      </c>
      <c r="L30" s="623">
        <f t="shared" si="5"/>
        <v>256873.08821110034</v>
      </c>
    </row>
    <row r="31" spans="1:12">
      <c r="A31" s="111">
        <f t="shared" si="3"/>
        <v>21</v>
      </c>
      <c r="B31" s="621" t="s">
        <v>1303</v>
      </c>
      <c r="C31" s="910">
        <f t="shared" si="4"/>
        <v>212544.52</v>
      </c>
      <c r="D31" s="1103">
        <v>0</v>
      </c>
      <c r="E31" s="1103">
        <v>212544.52</v>
      </c>
      <c r="F31" s="1235"/>
      <c r="G31" s="911">
        <f t="shared" si="0"/>
        <v>0</v>
      </c>
      <c r="H31" s="1103">
        <v>0</v>
      </c>
      <c r="I31" s="1103">
        <v>0</v>
      </c>
      <c r="J31" s="623">
        <f t="shared" si="1"/>
        <v>212544.52</v>
      </c>
      <c r="K31" s="623">
        <f t="shared" si="5"/>
        <v>0</v>
      </c>
      <c r="L31" s="623">
        <f t="shared" si="5"/>
        <v>212544.52</v>
      </c>
    </row>
    <row r="32" spans="1:12">
      <c r="A32" s="111">
        <f t="shared" si="3"/>
        <v>22</v>
      </c>
      <c r="B32" s="621" t="s">
        <v>2417</v>
      </c>
      <c r="C32" s="910">
        <f t="shared" si="4"/>
        <v>37576147.345219381</v>
      </c>
      <c r="D32" s="1103">
        <v>70184.366937895684</v>
      </c>
      <c r="E32" s="1103">
        <v>37505962.978281483</v>
      </c>
      <c r="F32" s="1235" t="s">
        <v>565</v>
      </c>
      <c r="G32" s="911">
        <f t="shared" si="0"/>
        <v>-36772403.159999996</v>
      </c>
      <c r="H32" s="1103">
        <v>0</v>
      </c>
      <c r="I32" s="1103">
        <v>-36772403.159999996</v>
      </c>
      <c r="J32" s="623">
        <f t="shared" si="1"/>
        <v>803744.18521938229</v>
      </c>
      <c r="K32" s="623">
        <f t="shared" si="5"/>
        <v>70184.366937895684</v>
      </c>
      <c r="L32" s="623">
        <f t="shared" si="5"/>
        <v>733559.81828148663</v>
      </c>
    </row>
    <row r="33" spans="1:12">
      <c r="A33" s="111">
        <f t="shared" si="3"/>
        <v>23</v>
      </c>
      <c r="B33" s="621" t="s">
        <v>1304</v>
      </c>
      <c r="C33" s="910">
        <f t="shared" si="4"/>
        <v>183310.88999999998</v>
      </c>
      <c r="D33" s="1103">
        <v>0</v>
      </c>
      <c r="E33" s="1103">
        <v>183310.88999999998</v>
      </c>
      <c r="F33" s="1235"/>
      <c r="G33" s="911">
        <f t="shared" si="0"/>
        <v>0</v>
      </c>
      <c r="H33" s="1103">
        <v>0</v>
      </c>
      <c r="I33" s="1103">
        <v>0</v>
      </c>
      <c r="J33" s="623">
        <f t="shared" si="1"/>
        <v>183310.88999999998</v>
      </c>
      <c r="K33" s="623">
        <f t="shared" si="5"/>
        <v>0</v>
      </c>
      <c r="L33" s="623">
        <f t="shared" si="5"/>
        <v>183310.88999999998</v>
      </c>
    </row>
    <row r="34" spans="1:12">
      <c r="A34" s="111">
        <f t="shared" si="3"/>
        <v>24</v>
      </c>
      <c r="B34" s="621" t="s">
        <v>2418</v>
      </c>
      <c r="C34" s="910">
        <f t="shared" si="4"/>
        <v>10701931.49630728</v>
      </c>
      <c r="D34" s="1103">
        <v>5504648.4478552863</v>
      </c>
      <c r="E34" s="1103">
        <v>5197283.0484519936</v>
      </c>
      <c r="F34" s="1235"/>
      <c r="G34" s="911">
        <f t="shared" si="0"/>
        <v>0</v>
      </c>
      <c r="H34" s="1103">
        <v>0</v>
      </c>
      <c r="I34" s="1103">
        <v>0</v>
      </c>
      <c r="J34" s="623">
        <f t="shared" si="1"/>
        <v>10701931.49630728</v>
      </c>
      <c r="K34" s="623">
        <f t="shared" si="5"/>
        <v>5504648.4478552863</v>
      </c>
      <c r="L34" s="623">
        <f t="shared" si="5"/>
        <v>5197283.0484519936</v>
      </c>
    </row>
    <row r="35" spans="1:12">
      <c r="A35" s="111">
        <f t="shared" si="3"/>
        <v>25</v>
      </c>
      <c r="B35" s="621" t="s">
        <v>1305</v>
      </c>
      <c r="C35" s="910">
        <f t="shared" si="4"/>
        <v>1489320.67</v>
      </c>
      <c r="D35" s="1103">
        <v>37.58</v>
      </c>
      <c r="E35" s="1103">
        <v>1489283.0899999999</v>
      </c>
      <c r="F35" s="1235"/>
      <c r="G35" s="911">
        <f t="shared" si="0"/>
        <v>0</v>
      </c>
      <c r="H35" s="1103">
        <v>0</v>
      </c>
      <c r="I35" s="1103">
        <v>0</v>
      </c>
      <c r="J35" s="623">
        <f t="shared" si="1"/>
        <v>1489320.67</v>
      </c>
      <c r="K35" s="623">
        <f t="shared" si="5"/>
        <v>37.58</v>
      </c>
      <c r="L35" s="623">
        <f t="shared" si="5"/>
        <v>1489283.0899999999</v>
      </c>
    </row>
    <row r="36" spans="1:12">
      <c r="A36" s="111">
        <f t="shared" si="3"/>
        <v>26</v>
      </c>
      <c r="B36" s="621" t="s">
        <v>2419</v>
      </c>
      <c r="C36" s="910">
        <f t="shared" si="4"/>
        <v>27242928.559999999</v>
      </c>
      <c r="D36" s="1103">
        <v>7762802.4563394338</v>
      </c>
      <c r="E36" s="1103">
        <v>19480126.103660565</v>
      </c>
      <c r="F36" s="1235" t="s">
        <v>566</v>
      </c>
      <c r="G36" s="911">
        <f t="shared" si="0"/>
        <v>-950472.99</v>
      </c>
      <c r="H36" s="1103">
        <v>-6929.7130730905283</v>
      </c>
      <c r="I36" s="1103">
        <v>-943543.27692690946</v>
      </c>
      <c r="J36" s="623">
        <f t="shared" si="1"/>
        <v>26292455.57</v>
      </c>
      <c r="K36" s="623">
        <f t="shared" si="5"/>
        <v>7755872.7432663431</v>
      </c>
      <c r="L36" s="623">
        <f t="shared" si="5"/>
        <v>18536582.826733656</v>
      </c>
    </row>
    <row r="37" spans="1:12">
      <c r="A37" s="111">
        <f t="shared" si="3"/>
        <v>27</v>
      </c>
      <c r="B37" s="621" t="s">
        <v>1306</v>
      </c>
      <c r="C37" s="910">
        <f t="shared" si="4"/>
        <v>181120.18</v>
      </c>
      <c r="D37" s="1103">
        <v>0</v>
      </c>
      <c r="E37" s="1103">
        <v>181120.18</v>
      </c>
      <c r="F37" s="1235"/>
      <c r="G37" s="911">
        <f t="shared" si="0"/>
        <v>0</v>
      </c>
      <c r="H37" s="1103">
        <v>0</v>
      </c>
      <c r="I37" s="1103">
        <v>0</v>
      </c>
      <c r="J37" s="623">
        <f t="shared" si="1"/>
        <v>181120.18</v>
      </c>
      <c r="K37" s="623">
        <f t="shared" si="5"/>
        <v>0</v>
      </c>
      <c r="L37" s="623">
        <f t="shared" si="5"/>
        <v>181120.18</v>
      </c>
    </row>
    <row r="38" spans="1:12">
      <c r="A38" s="111">
        <f t="shared" si="3"/>
        <v>28</v>
      </c>
      <c r="B38" s="621" t="s">
        <v>2420</v>
      </c>
      <c r="C38" s="910">
        <f t="shared" si="4"/>
        <v>257493.72000000003</v>
      </c>
      <c r="D38" s="1103">
        <v>112516.927408629</v>
      </c>
      <c r="E38" s="1103">
        <v>144976.79259137102</v>
      </c>
      <c r="F38" s="1235"/>
      <c r="G38" s="911">
        <f t="shared" si="0"/>
        <v>0</v>
      </c>
      <c r="H38" s="1103">
        <v>0</v>
      </c>
      <c r="I38" s="1103">
        <v>0</v>
      </c>
      <c r="J38" s="623">
        <f t="shared" si="1"/>
        <v>257493.72000000003</v>
      </c>
      <c r="K38" s="623">
        <f t="shared" si="5"/>
        <v>112516.927408629</v>
      </c>
      <c r="L38" s="623">
        <f t="shared" si="5"/>
        <v>144976.79259137102</v>
      </c>
    </row>
    <row r="39" spans="1:12">
      <c r="A39" s="111">
        <f t="shared" si="3"/>
        <v>29</v>
      </c>
      <c r="B39" s="621" t="s">
        <v>1308</v>
      </c>
      <c r="C39" s="910">
        <f t="shared" si="4"/>
        <v>6518.72</v>
      </c>
      <c r="D39" s="1103">
        <v>0</v>
      </c>
      <c r="E39" s="1103">
        <v>6518.72</v>
      </c>
      <c r="F39" s="1235"/>
      <c r="G39" s="911">
        <f t="shared" si="0"/>
        <v>0</v>
      </c>
      <c r="H39" s="1103">
        <v>0</v>
      </c>
      <c r="I39" s="1103">
        <v>0</v>
      </c>
      <c r="J39" s="623">
        <f t="shared" si="1"/>
        <v>6518.72</v>
      </c>
      <c r="K39" s="623">
        <f t="shared" si="5"/>
        <v>0</v>
      </c>
      <c r="L39" s="623">
        <f t="shared" si="5"/>
        <v>6518.72</v>
      </c>
    </row>
    <row r="40" spans="1:12">
      <c r="A40" s="111">
        <f t="shared" si="3"/>
        <v>30</v>
      </c>
      <c r="B40" s="621" t="s">
        <v>2421</v>
      </c>
      <c r="C40" s="910">
        <f t="shared" si="4"/>
        <v>3685779.5200000005</v>
      </c>
      <c r="D40" s="1103">
        <v>1205499.7158744005</v>
      </c>
      <c r="E40" s="1103">
        <v>2480279.8041256</v>
      </c>
      <c r="F40" s="1235"/>
      <c r="G40" s="911">
        <f t="shared" si="0"/>
        <v>0</v>
      </c>
      <c r="H40" s="1103">
        <v>0</v>
      </c>
      <c r="I40" s="1103">
        <v>0</v>
      </c>
      <c r="J40" s="623">
        <f t="shared" si="1"/>
        <v>3685779.5200000005</v>
      </c>
      <c r="K40" s="623">
        <f t="shared" si="5"/>
        <v>1205499.7158744005</v>
      </c>
      <c r="L40" s="623">
        <f t="shared" si="5"/>
        <v>2480279.8041256</v>
      </c>
    </row>
    <row r="41" spans="1:12" ht="15">
      <c r="A41" s="111">
        <f t="shared" si="3"/>
        <v>31</v>
      </c>
      <c r="B41" s="558" t="s">
        <v>513</v>
      </c>
      <c r="C41" s="915" t="s">
        <v>76</v>
      </c>
      <c r="D41" s="915" t="s">
        <v>76</v>
      </c>
      <c r="E41" s="915" t="s">
        <v>76</v>
      </c>
      <c r="F41" s="915" t="s">
        <v>76</v>
      </c>
      <c r="G41" s="912">
        <f t="shared" si="0"/>
        <v>0</v>
      </c>
      <c r="H41" s="915" t="s">
        <v>76</v>
      </c>
      <c r="I41" s="915" t="s">
        <v>76</v>
      </c>
      <c r="J41" s="459"/>
      <c r="K41" s="459"/>
      <c r="L41" s="459"/>
    </row>
    <row r="42" spans="1:12">
      <c r="A42" s="111">
        <f t="shared" si="3"/>
        <v>32</v>
      </c>
      <c r="B42" s="621" t="s">
        <v>2036</v>
      </c>
      <c r="C42" s="916">
        <v>0</v>
      </c>
      <c r="D42" s="916">
        <v>0</v>
      </c>
      <c r="E42" s="916">
        <v>0</v>
      </c>
      <c r="F42" s="932"/>
      <c r="G42" s="917">
        <f t="shared" si="0"/>
        <v>9522009.6815752909</v>
      </c>
      <c r="H42" s="918">
        <f>+C64*C145</f>
        <v>9522009.6815752909</v>
      </c>
      <c r="I42" s="918">
        <v>0</v>
      </c>
      <c r="J42" s="919">
        <f t="shared" si="1"/>
        <v>9522009.6815752909</v>
      </c>
      <c r="K42" s="919">
        <f>D42+H42</f>
        <v>9522009.6815752909</v>
      </c>
      <c r="L42" s="919">
        <f>E42+I42</f>
        <v>0</v>
      </c>
    </row>
    <row r="43" spans="1:12">
      <c r="A43" s="111">
        <f t="shared" si="3"/>
        <v>33</v>
      </c>
      <c r="B43" s="460" t="s">
        <v>1309</v>
      </c>
      <c r="C43" s="910">
        <f>SUM(D43:E43)</f>
        <v>227741353.93973619</v>
      </c>
      <c r="D43" s="920">
        <f>SUM(D11:D42)</f>
        <v>78477201.855025709</v>
      </c>
      <c r="E43" s="920">
        <f>SUM(E11:E42)</f>
        <v>149264152.08471048</v>
      </c>
      <c r="F43" s="921"/>
      <c r="G43" s="922">
        <f t="shared" ref="G43:L43" si="9">SUM(G11:G42)</f>
        <v>-45334951.048424706</v>
      </c>
      <c r="H43" s="923">
        <f t="shared" si="9"/>
        <v>9378397.5366889127</v>
      </c>
      <c r="I43" s="923">
        <f t="shared" si="9"/>
        <v>-54713348.585113622</v>
      </c>
      <c r="J43" s="923">
        <f t="shared" si="9"/>
        <v>182406402.89131144</v>
      </c>
      <c r="K43" s="923">
        <f t="shared" si="9"/>
        <v>87855599.391714603</v>
      </c>
      <c r="L43" s="923">
        <f t="shared" si="9"/>
        <v>94550803.499596879</v>
      </c>
    </row>
    <row r="44" spans="1:12">
      <c r="A44" s="111">
        <f t="shared" si="3"/>
        <v>34</v>
      </c>
      <c r="B44" s="540"/>
      <c r="C44" s="924"/>
      <c r="D44" s="925"/>
      <c r="E44" s="925"/>
      <c r="F44" s="926"/>
      <c r="G44" s="927"/>
      <c r="H44" s="928"/>
      <c r="I44" s="928"/>
      <c r="J44" s="623"/>
      <c r="K44" s="623"/>
      <c r="L44" s="623"/>
    </row>
    <row r="45" spans="1:12">
      <c r="A45" s="600"/>
      <c r="B45" s="461"/>
      <c r="C45" s="925"/>
      <c r="D45" s="925"/>
      <c r="E45" s="925"/>
      <c r="F45" s="926"/>
      <c r="G45" s="929"/>
      <c r="H45" s="925"/>
      <c r="I45" s="925"/>
      <c r="J45" s="925"/>
      <c r="K45" s="925"/>
      <c r="L45" s="925"/>
    </row>
    <row r="46" spans="1:12">
      <c r="A46" s="600"/>
      <c r="B46" s="449" t="s">
        <v>363</v>
      </c>
      <c r="C46" s="449" t="s">
        <v>347</v>
      </c>
      <c r="D46" s="449" t="s">
        <v>348</v>
      </c>
      <c r="E46" s="449" t="s">
        <v>349</v>
      </c>
      <c r="F46" s="450" t="s">
        <v>350</v>
      </c>
      <c r="G46" s="449" t="s">
        <v>351</v>
      </c>
      <c r="H46" s="449" t="s">
        <v>352</v>
      </c>
      <c r="I46" s="449" t="s">
        <v>544</v>
      </c>
      <c r="J46" s="449" t="s">
        <v>961</v>
      </c>
      <c r="K46" s="449" t="s">
        <v>974</v>
      </c>
      <c r="L46" s="449" t="s">
        <v>977</v>
      </c>
    </row>
    <row r="47" spans="1:12">
      <c r="A47" s="600"/>
      <c r="B47" s="461"/>
      <c r="C47" s="589" t="s">
        <v>1280</v>
      </c>
      <c r="D47" s="447"/>
      <c r="E47" s="447"/>
      <c r="F47" s="903" t="s">
        <v>365</v>
      </c>
      <c r="G47" s="589" t="s">
        <v>1281</v>
      </c>
      <c r="H47" s="451"/>
      <c r="I47" s="451"/>
      <c r="J47" s="589" t="s">
        <v>1282</v>
      </c>
      <c r="K47" s="589" t="s">
        <v>1283</v>
      </c>
      <c r="L47" s="590" t="s">
        <v>1284</v>
      </c>
    </row>
    <row r="48" spans="1:12">
      <c r="A48" s="600"/>
      <c r="C48" s="924"/>
      <c r="D48" s="925"/>
      <c r="E48" s="925"/>
      <c r="F48" s="926"/>
      <c r="G48" s="927"/>
      <c r="H48" s="925"/>
      <c r="I48" s="925"/>
      <c r="J48" s="623"/>
      <c r="K48" s="623"/>
      <c r="L48" s="623"/>
    </row>
    <row r="49" spans="1:12">
      <c r="A49" s="600"/>
      <c r="B49" s="1383" t="s">
        <v>1285</v>
      </c>
      <c r="C49" s="1385" t="s">
        <v>1286</v>
      </c>
      <c r="D49" s="1385"/>
      <c r="E49" s="1385"/>
      <c r="F49" s="453"/>
      <c r="G49" s="1381" t="s">
        <v>1287</v>
      </c>
      <c r="H49" s="1381"/>
      <c r="I49" s="1382"/>
      <c r="J49" s="1380" t="s">
        <v>1288</v>
      </c>
      <c r="K49" s="1381"/>
      <c r="L49" s="1382"/>
    </row>
    <row r="50" spans="1:12">
      <c r="A50" s="600"/>
      <c r="B50" s="1384"/>
      <c r="C50" s="902" t="s">
        <v>196</v>
      </c>
      <c r="D50" s="902" t="s">
        <v>1289</v>
      </c>
      <c r="E50" s="454" t="s">
        <v>1290</v>
      </c>
      <c r="F50" s="455" t="s">
        <v>1232</v>
      </c>
      <c r="G50" s="454" t="s">
        <v>196</v>
      </c>
      <c r="H50" s="454" t="s">
        <v>1289</v>
      </c>
      <c r="I50" s="454" t="s">
        <v>1290</v>
      </c>
      <c r="J50" s="902" t="s">
        <v>196</v>
      </c>
      <c r="K50" s="454" t="s">
        <v>1289</v>
      </c>
      <c r="L50" s="454" t="s">
        <v>1290</v>
      </c>
    </row>
    <row r="51" spans="1:12">
      <c r="A51" s="600"/>
      <c r="B51" s="462" t="s">
        <v>1310</v>
      </c>
      <c r="C51" s="258"/>
      <c r="D51" s="258"/>
      <c r="E51" s="457"/>
      <c r="F51" s="458"/>
      <c r="G51" s="457"/>
      <c r="H51" s="457"/>
      <c r="I51" s="457"/>
      <c r="J51" s="258"/>
      <c r="K51" s="457"/>
      <c r="L51" s="457"/>
    </row>
    <row r="52" spans="1:12">
      <c r="A52" s="111">
        <f>A44+1</f>
        <v>35</v>
      </c>
      <c r="B52" s="621" t="s">
        <v>2406</v>
      </c>
      <c r="C52" s="930">
        <f t="shared" ref="C52:C56" si="10">SUM(D52:E52)</f>
        <v>33377981.566479139</v>
      </c>
      <c r="D52" s="1103">
        <v>25670084.699221842</v>
      </c>
      <c r="E52" s="1103">
        <v>7707896.867257297</v>
      </c>
      <c r="F52" s="1235"/>
      <c r="G52" s="927">
        <f t="shared" ref="G52:G56" si="11">SUM(H52:I52)</f>
        <v>0</v>
      </c>
      <c r="H52" s="1103">
        <v>0</v>
      </c>
      <c r="I52" s="1103">
        <v>0</v>
      </c>
      <c r="J52" s="623">
        <f t="shared" ref="J52:J55" si="12">SUM(K52:L52)</f>
        <v>33377981.566479139</v>
      </c>
      <c r="K52" s="623">
        <f t="shared" ref="K52:L57" si="13">D52+H52</f>
        <v>25670084.699221842</v>
      </c>
      <c r="L52" s="623">
        <f t="shared" si="13"/>
        <v>7707896.867257297</v>
      </c>
    </row>
    <row r="53" spans="1:12">
      <c r="A53" s="111">
        <f t="shared" ref="A53:A62" si="14">A52+1</f>
        <v>36</v>
      </c>
      <c r="B53" s="621" t="s">
        <v>1311</v>
      </c>
      <c r="C53" s="930">
        <f t="shared" si="10"/>
        <v>2112515.0599999996</v>
      </c>
      <c r="D53" s="1103">
        <v>1853870.6365942005</v>
      </c>
      <c r="E53" s="1103">
        <v>258644.42340579926</v>
      </c>
      <c r="F53" s="1235"/>
      <c r="G53" s="927">
        <f t="shared" si="11"/>
        <v>0</v>
      </c>
      <c r="H53" s="1103">
        <v>0</v>
      </c>
      <c r="I53" s="1103">
        <v>0</v>
      </c>
      <c r="J53" s="623">
        <f t="shared" si="12"/>
        <v>2112515.0599999996</v>
      </c>
      <c r="K53" s="623">
        <f t="shared" si="13"/>
        <v>1853870.6365942005</v>
      </c>
      <c r="L53" s="623">
        <f t="shared" si="13"/>
        <v>258644.42340579926</v>
      </c>
    </row>
    <row r="54" spans="1:12">
      <c r="A54" s="111">
        <f t="shared" si="14"/>
        <v>37</v>
      </c>
      <c r="B54" s="621" t="s">
        <v>1312</v>
      </c>
      <c r="C54" s="930">
        <f t="shared" si="10"/>
        <v>133487.50999999998</v>
      </c>
      <c r="D54" s="1103">
        <v>14745.973196954805</v>
      </c>
      <c r="E54" s="1103">
        <v>118741.53680304518</v>
      </c>
      <c r="F54" s="1235"/>
      <c r="G54" s="927">
        <f t="shared" si="11"/>
        <v>0</v>
      </c>
      <c r="H54" s="1103">
        <v>0</v>
      </c>
      <c r="I54" s="1103">
        <v>0</v>
      </c>
      <c r="J54" s="623">
        <f t="shared" si="12"/>
        <v>133487.50999999998</v>
      </c>
      <c r="K54" s="623">
        <f t="shared" si="13"/>
        <v>14745.973196954805</v>
      </c>
      <c r="L54" s="623">
        <f t="shared" si="13"/>
        <v>118741.53680304518</v>
      </c>
    </row>
    <row r="55" spans="1:12">
      <c r="A55" s="111">
        <f t="shared" si="14"/>
        <v>38</v>
      </c>
      <c r="B55" s="621" t="s">
        <v>2407</v>
      </c>
      <c r="C55" s="930">
        <f t="shared" si="10"/>
        <v>9319393.3499999978</v>
      </c>
      <c r="D55" s="1103">
        <v>5105566.5302779768</v>
      </c>
      <c r="E55" s="1103">
        <v>4213826.819722021</v>
      </c>
      <c r="F55" s="1235"/>
      <c r="G55" s="927">
        <f t="shared" si="11"/>
        <v>0</v>
      </c>
      <c r="H55" s="1103">
        <v>0</v>
      </c>
      <c r="I55" s="1103">
        <v>0</v>
      </c>
      <c r="J55" s="623">
        <f t="shared" si="12"/>
        <v>9319393.3499999978</v>
      </c>
      <c r="K55" s="623">
        <f t="shared" si="13"/>
        <v>5105566.5302779768</v>
      </c>
      <c r="L55" s="623">
        <f t="shared" si="13"/>
        <v>4213826.819722021</v>
      </c>
    </row>
    <row r="56" spans="1:12">
      <c r="A56" s="111">
        <f t="shared" si="14"/>
        <v>39</v>
      </c>
      <c r="B56" s="621" t="s">
        <v>1313</v>
      </c>
      <c r="C56" s="930">
        <f t="shared" si="10"/>
        <v>478484085.68838763</v>
      </c>
      <c r="D56" s="1103">
        <v>195853818.87394214</v>
      </c>
      <c r="E56" s="1103">
        <v>282630266.8144455</v>
      </c>
      <c r="F56" s="1235" t="s">
        <v>566</v>
      </c>
      <c r="G56" s="1011">
        <f t="shared" si="11"/>
        <v>-4772028.1399999987</v>
      </c>
      <c r="H56" s="1103">
        <v>-354622.9826684338</v>
      </c>
      <c r="I56" s="1103">
        <v>-4417405.1573315654</v>
      </c>
      <c r="J56" s="623">
        <f>C56+G56</f>
        <v>473712057.54838765</v>
      </c>
      <c r="K56" s="623">
        <f t="shared" si="13"/>
        <v>195499195.89127371</v>
      </c>
      <c r="L56" s="623">
        <f t="shared" si="13"/>
        <v>278212861.65711391</v>
      </c>
    </row>
    <row r="57" spans="1:12">
      <c r="A57" s="111">
        <f>A56+1</f>
        <v>40</v>
      </c>
      <c r="B57" s="621" t="s">
        <v>2037</v>
      </c>
      <c r="C57" s="916">
        <v>0</v>
      </c>
      <c r="D57" s="916">
        <v>0</v>
      </c>
      <c r="E57" s="916">
        <v>0</v>
      </c>
      <c r="F57" s="932"/>
      <c r="G57" s="931">
        <f>SUM(H57:I57)</f>
        <v>27724752.443699665</v>
      </c>
      <c r="H57" s="932">
        <f>+C64*C146</f>
        <v>27724752.443699665</v>
      </c>
      <c r="I57" s="932">
        <v>0</v>
      </c>
      <c r="J57" s="933">
        <f>SUM(K57:L57)</f>
        <v>27724752.443699665</v>
      </c>
      <c r="K57" s="933">
        <f t="shared" si="13"/>
        <v>27724752.443699665</v>
      </c>
      <c r="L57" s="933">
        <f t="shared" si="13"/>
        <v>0</v>
      </c>
    </row>
    <row r="58" spans="1:12">
      <c r="A58" s="111">
        <f t="shared" si="14"/>
        <v>41</v>
      </c>
      <c r="B58" s="461" t="s">
        <v>1314</v>
      </c>
      <c r="C58" s="925">
        <f>SUM(C52:C57)</f>
        <v>523427463.1748668</v>
      </c>
      <c r="D58" s="925">
        <f>SUM(D52:D57)</f>
        <v>228498086.71323311</v>
      </c>
      <c r="E58" s="925">
        <f>SUM(E52:E57)</f>
        <v>294929376.46163368</v>
      </c>
      <c r="F58" s="926"/>
      <c r="G58" s="929">
        <f t="shared" ref="G58:L58" si="15">SUM(G52:G57)</f>
        <v>22952724.303699665</v>
      </c>
      <c r="H58" s="925">
        <f t="shared" si="15"/>
        <v>27370129.461031232</v>
      </c>
      <c r="I58" s="925">
        <f t="shared" si="15"/>
        <v>-4417405.1573315654</v>
      </c>
      <c r="J58" s="925">
        <f t="shared" si="15"/>
        <v>546380187.47856653</v>
      </c>
      <c r="K58" s="925">
        <f t="shared" si="15"/>
        <v>255868216.17426434</v>
      </c>
      <c r="L58" s="925">
        <f t="shared" si="15"/>
        <v>290511971.3043021</v>
      </c>
    </row>
    <row r="59" spans="1:12">
      <c r="A59" s="111">
        <f t="shared" si="14"/>
        <v>42</v>
      </c>
      <c r="B59" s="924"/>
      <c r="C59" s="930"/>
      <c r="D59" s="925"/>
      <c r="E59" s="925"/>
      <c r="F59" s="934"/>
      <c r="G59" s="927"/>
      <c r="H59" s="928"/>
      <c r="I59" s="928"/>
      <c r="J59" s="623"/>
      <c r="K59" s="623"/>
      <c r="L59" s="623"/>
    </row>
    <row r="60" spans="1:12">
      <c r="A60" s="111">
        <f t="shared" si="14"/>
        <v>43</v>
      </c>
      <c r="B60" s="461" t="s">
        <v>1315</v>
      </c>
      <c r="C60" s="930">
        <f>+C43+C58</f>
        <v>751168817.11460304</v>
      </c>
      <c r="D60" s="930">
        <f>D58+D43</f>
        <v>306975288.56825882</v>
      </c>
      <c r="E60" s="930">
        <f>E58+E43</f>
        <v>444193528.54634416</v>
      </c>
      <c r="F60" s="935"/>
      <c r="G60" s="927">
        <f>+G43+G58</f>
        <v>-22382226.744725041</v>
      </c>
      <c r="H60" s="623">
        <f>H58+H43</f>
        <v>36748526.997720145</v>
      </c>
      <c r="I60" s="623">
        <f>I58+I43</f>
        <v>-59130753.742445186</v>
      </c>
      <c r="J60" s="623">
        <f>J58+J43</f>
        <v>728786590.36987793</v>
      </c>
      <c r="K60" s="623">
        <f>K58+K43</f>
        <v>343723815.56597894</v>
      </c>
      <c r="L60" s="623">
        <f>L58+L43</f>
        <v>385062774.80389899</v>
      </c>
    </row>
    <row r="61" spans="1:12">
      <c r="A61" s="111">
        <f t="shared" si="14"/>
        <v>44</v>
      </c>
      <c r="B61" s="924"/>
      <c r="C61" s="924"/>
      <c r="D61" s="924"/>
      <c r="E61" s="924"/>
      <c r="F61" s="935"/>
      <c r="G61" s="936"/>
      <c r="H61" s="928"/>
      <c r="I61" s="928"/>
      <c r="J61" s="540"/>
      <c r="K61" s="540"/>
      <c r="L61" s="540"/>
    </row>
    <row r="62" spans="1:12">
      <c r="A62" s="111">
        <f t="shared" si="14"/>
        <v>45</v>
      </c>
      <c r="B62" s="621" t="s">
        <v>1316</v>
      </c>
      <c r="C62" s="1234">
        <v>227741355</v>
      </c>
      <c r="D62" s="937" t="s">
        <v>1317</v>
      </c>
      <c r="E62" s="930" t="str">
        <f>"Must equal Line "&amp;A43&amp;", Column 2."</f>
        <v>Must equal Line 33, Column 2.</v>
      </c>
      <c r="F62" s="935"/>
      <c r="G62" s="463"/>
      <c r="H62" s="464"/>
      <c r="I62" s="464"/>
      <c r="J62" s="464"/>
      <c r="K62" s="464"/>
      <c r="L62" s="464"/>
    </row>
    <row r="63" spans="1:12">
      <c r="A63" s="111">
        <f>A62+1</f>
        <v>46</v>
      </c>
      <c r="B63" s="621" t="s">
        <v>1318</v>
      </c>
      <c r="C63" s="1234">
        <v>523427463</v>
      </c>
      <c r="D63" s="937" t="s">
        <v>1319</v>
      </c>
      <c r="E63" s="930" t="str">
        <f>"Must equal Line "&amp;A58&amp;", Column 2."</f>
        <v>Must equal Line 41, Column 2.</v>
      </c>
      <c r="F63" s="935"/>
      <c r="G63" s="927"/>
      <c r="H63" s="623"/>
      <c r="I63" s="623"/>
      <c r="J63" s="623"/>
      <c r="K63" s="623"/>
      <c r="L63" s="623"/>
    </row>
    <row r="64" spans="1:12">
      <c r="A64" s="111">
        <f>A63+1</f>
        <v>47</v>
      </c>
      <c r="B64" s="621" t="s">
        <v>2038</v>
      </c>
      <c r="C64" s="938">
        <f>'20-AandG'!E62</f>
        <v>37246762.125274956</v>
      </c>
      <c r="D64" s="937" t="str">
        <f>"20-AandG, Note 2, "&amp;'20-AandG'!B62&amp;""</f>
        <v>20-AandG, Note 2, f</v>
      </c>
      <c r="E64" s="930"/>
      <c r="F64" s="600"/>
      <c r="G64" s="927"/>
      <c r="H64" s="623"/>
      <c r="I64" s="623"/>
      <c r="J64" s="623"/>
      <c r="K64" s="623"/>
      <c r="L64" s="623"/>
    </row>
    <row r="65" spans="1:12">
      <c r="A65" s="465"/>
      <c r="C65" s="466"/>
      <c r="D65" s="930"/>
      <c r="E65" s="930"/>
      <c r="F65" s="935"/>
      <c r="G65" s="927"/>
      <c r="H65" s="623"/>
      <c r="I65" s="623"/>
      <c r="J65" s="623"/>
      <c r="K65" s="623"/>
      <c r="L65" s="623"/>
    </row>
    <row r="66" spans="1:12">
      <c r="A66" s="540"/>
      <c r="B66" s="438" t="s">
        <v>1392</v>
      </c>
      <c r="C66" s="924"/>
      <c r="D66" s="924"/>
      <c r="E66" s="924"/>
      <c r="F66" s="935"/>
      <c r="G66" s="936"/>
      <c r="H66" s="540"/>
      <c r="I66" s="540"/>
      <c r="J66" s="540"/>
      <c r="K66" s="540"/>
      <c r="L66" s="540"/>
    </row>
    <row r="67" spans="1:12">
      <c r="A67" s="540"/>
      <c r="C67" s="924"/>
      <c r="D67" s="924"/>
      <c r="E67" s="924"/>
      <c r="F67" s="935"/>
      <c r="G67" s="936"/>
      <c r="H67" s="540"/>
      <c r="I67" s="540"/>
      <c r="J67" s="540"/>
      <c r="K67" s="540"/>
      <c r="L67" s="540"/>
    </row>
    <row r="68" spans="1:12">
      <c r="A68" s="540"/>
      <c r="B68" s="84" t="s">
        <v>363</v>
      </c>
      <c r="C68" s="449" t="s">
        <v>347</v>
      </c>
      <c r="D68" s="449" t="s">
        <v>348</v>
      </c>
      <c r="E68" s="449" t="s">
        <v>349</v>
      </c>
      <c r="F68" s="450" t="s">
        <v>350</v>
      </c>
      <c r="G68" s="449" t="s">
        <v>351</v>
      </c>
      <c r="H68" s="449" t="s">
        <v>352</v>
      </c>
      <c r="I68" s="449" t="s">
        <v>544</v>
      </c>
      <c r="J68" s="1012" t="s">
        <v>961</v>
      </c>
      <c r="K68" s="363"/>
      <c r="L68" s="84"/>
    </row>
    <row r="69" spans="1:12">
      <c r="A69" s="540"/>
      <c r="C69" s="924" t="s">
        <v>1320</v>
      </c>
      <c r="D69" s="924" t="s">
        <v>1321</v>
      </c>
      <c r="E69" s="924" t="s">
        <v>1322</v>
      </c>
      <c r="F69" s="936" t="s">
        <v>1192</v>
      </c>
      <c r="G69" s="590" t="s">
        <v>1281</v>
      </c>
      <c r="H69" s="591" t="s">
        <v>1687</v>
      </c>
      <c r="I69" s="591" t="s">
        <v>1688</v>
      </c>
      <c r="J69" s="514"/>
      <c r="K69" s="924"/>
      <c r="L69" s="540"/>
    </row>
    <row r="70" spans="1:12">
      <c r="C70" s="924"/>
      <c r="D70" s="924"/>
      <c r="E70" s="924"/>
      <c r="F70" s="935"/>
      <c r="G70" s="936"/>
      <c r="H70" s="540"/>
      <c r="I70" s="540"/>
      <c r="J70" s="924"/>
      <c r="K70" s="924"/>
      <c r="L70" s="540"/>
    </row>
    <row r="71" spans="1:12">
      <c r="A71" s="452"/>
      <c r="B71" s="1389" t="s">
        <v>1285</v>
      </c>
      <c r="C71" s="1380" t="s">
        <v>1288</v>
      </c>
      <c r="D71" s="1381"/>
      <c r="E71" s="1382"/>
      <c r="F71" s="467" t="s">
        <v>1451</v>
      </c>
      <c r="G71" s="1386" t="s">
        <v>1323</v>
      </c>
      <c r="H71" s="1387"/>
      <c r="I71" s="1388"/>
      <c r="J71" s="1013" t="s">
        <v>1754</v>
      </c>
      <c r="K71" s="924"/>
    </row>
    <row r="72" spans="1:12">
      <c r="B72" s="1389"/>
      <c r="C72" s="902" t="s">
        <v>196</v>
      </c>
      <c r="D72" s="454" t="s">
        <v>1289</v>
      </c>
      <c r="E72" s="454" t="s">
        <v>1290</v>
      </c>
      <c r="F72" s="467" t="s">
        <v>435</v>
      </c>
      <c r="G72" s="902" t="s">
        <v>196</v>
      </c>
      <c r="H72" s="454" t="s">
        <v>1289</v>
      </c>
      <c r="I72" s="454" t="s">
        <v>1290</v>
      </c>
      <c r="J72" s="962" t="s">
        <v>205</v>
      </c>
      <c r="K72" s="924"/>
      <c r="L72" s="540"/>
    </row>
    <row r="73" spans="1:12">
      <c r="A73" s="51" t="s">
        <v>332</v>
      </c>
      <c r="B73" s="456" t="s">
        <v>1291</v>
      </c>
      <c r="C73" s="258"/>
      <c r="D73" s="457"/>
      <c r="E73" s="457"/>
      <c r="F73" s="468"/>
      <c r="G73" s="258"/>
      <c r="H73" s="457"/>
      <c r="I73" s="457"/>
      <c r="J73" s="514"/>
      <c r="K73" s="924"/>
      <c r="L73" s="540"/>
    </row>
    <row r="74" spans="1:12">
      <c r="A74" s="111">
        <f>A64+1</f>
        <v>48</v>
      </c>
      <c r="B74" s="521" t="s">
        <v>2408</v>
      </c>
      <c r="C74" s="930">
        <f t="shared" ref="C74:C103" si="16">J11</f>
        <v>9662715.5300000012</v>
      </c>
      <c r="D74" s="930">
        <f t="shared" ref="D74:D103" si="17">K11</f>
        <v>4478898.423420487</v>
      </c>
      <c r="E74" s="930">
        <f t="shared" ref="E74:E103" si="18">L11</f>
        <v>5183817.1065795133</v>
      </c>
      <c r="F74" s="946">
        <f>'27-Allocators'!$D$47</f>
        <v>0.36296750459840588</v>
      </c>
      <c r="G74" s="939">
        <f>SUM(H74:I74)</f>
        <v>3507251.7435683631</v>
      </c>
      <c r="H74" s="939">
        <f>D74*F74</f>
        <v>1625694.5840986685</v>
      </c>
      <c r="I74" s="939">
        <f>E74*F74</f>
        <v>1881557.1594696946</v>
      </c>
      <c r="J74" s="643" t="s">
        <v>2422</v>
      </c>
      <c r="K74" s="924"/>
    </row>
    <row r="75" spans="1:12">
      <c r="A75" s="111">
        <f t="shared" ref="A75:A107" si="19">A74+1</f>
        <v>49</v>
      </c>
      <c r="B75" s="521" t="s">
        <v>1292</v>
      </c>
      <c r="C75" s="930">
        <f t="shared" si="16"/>
        <v>211154.73</v>
      </c>
      <c r="D75" s="930">
        <f t="shared" si="17"/>
        <v>0</v>
      </c>
      <c r="E75" s="930">
        <f t="shared" si="18"/>
        <v>211154.73</v>
      </c>
      <c r="F75" s="946">
        <v>1</v>
      </c>
      <c r="G75" s="939">
        <f t="shared" ref="G75:G103" si="20">SUM(H75:I75)</f>
        <v>211154.73</v>
      </c>
      <c r="H75" s="939">
        <f t="shared" ref="H75:H103" si="21">D75*F75</f>
        <v>0</v>
      </c>
      <c r="I75" s="939">
        <f t="shared" ref="I75:I103" si="22">E75*F75</f>
        <v>211154.73</v>
      </c>
      <c r="J75" s="1227" t="s">
        <v>2604</v>
      </c>
      <c r="K75" s="924"/>
    </row>
    <row r="76" spans="1:12">
      <c r="A76" s="111">
        <f t="shared" si="19"/>
        <v>50</v>
      </c>
      <c r="B76" s="621" t="s">
        <v>2409</v>
      </c>
      <c r="C76" s="930">
        <f t="shared" si="16"/>
        <v>10284004.57</v>
      </c>
      <c r="D76" s="930">
        <f t="shared" si="17"/>
        <v>8327929.8897640426</v>
      </c>
      <c r="E76" s="930">
        <f t="shared" si="18"/>
        <v>1956074.6802359587</v>
      </c>
      <c r="F76" s="946">
        <f>'27-Allocators'!$D$47</f>
        <v>0.36296750459840588</v>
      </c>
      <c r="G76" s="939">
        <f t="shared" si="20"/>
        <v>3732759.4760515029</v>
      </c>
      <c r="H76" s="939">
        <f t="shared" si="21"/>
        <v>3022767.930558132</v>
      </c>
      <c r="I76" s="939">
        <f t="shared" si="22"/>
        <v>709991.54549337062</v>
      </c>
      <c r="J76" s="643" t="s">
        <v>2422</v>
      </c>
      <c r="K76" s="924"/>
    </row>
    <row r="77" spans="1:12">
      <c r="A77" s="111">
        <f t="shared" si="19"/>
        <v>51</v>
      </c>
      <c r="B77" s="621" t="s">
        <v>1293</v>
      </c>
      <c r="C77" s="930">
        <f t="shared" si="16"/>
        <v>0</v>
      </c>
      <c r="D77" s="930">
        <f t="shared" si="17"/>
        <v>0</v>
      </c>
      <c r="E77" s="930">
        <f t="shared" si="18"/>
        <v>0</v>
      </c>
      <c r="F77" s="946">
        <v>0</v>
      </c>
      <c r="G77" s="939">
        <f t="shared" si="20"/>
        <v>0</v>
      </c>
      <c r="H77" s="939">
        <f t="shared" si="21"/>
        <v>0</v>
      </c>
      <c r="I77" s="939">
        <f t="shared" si="22"/>
        <v>0</v>
      </c>
      <c r="J77" s="1227" t="s">
        <v>2605</v>
      </c>
      <c r="K77" s="924"/>
    </row>
    <row r="78" spans="1:12">
      <c r="A78" s="111">
        <f t="shared" si="19"/>
        <v>52</v>
      </c>
      <c r="B78" s="621" t="s">
        <v>2410</v>
      </c>
      <c r="C78" s="930">
        <f t="shared" si="16"/>
        <v>4998172.0100000007</v>
      </c>
      <c r="D78" s="930">
        <f t="shared" si="17"/>
        <v>4185120.3743014466</v>
      </c>
      <c r="E78" s="930">
        <f t="shared" si="18"/>
        <v>813051.63569855434</v>
      </c>
      <c r="F78" s="946">
        <v>1</v>
      </c>
      <c r="G78" s="939">
        <f t="shared" si="20"/>
        <v>4998172.0100000007</v>
      </c>
      <c r="H78" s="939">
        <f t="shared" si="21"/>
        <v>4185120.3743014466</v>
      </c>
      <c r="I78" s="939">
        <f t="shared" si="22"/>
        <v>813051.63569855434</v>
      </c>
      <c r="J78" s="1227" t="s">
        <v>2604</v>
      </c>
      <c r="K78" s="924"/>
    </row>
    <row r="79" spans="1:12">
      <c r="A79" s="111">
        <f t="shared" si="19"/>
        <v>53</v>
      </c>
      <c r="B79" s="621" t="s">
        <v>2411</v>
      </c>
      <c r="C79" s="930">
        <f t="shared" si="16"/>
        <v>22535987.65875772</v>
      </c>
      <c r="D79" s="930">
        <f t="shared" si="17"/>
        <v>18184793.855675373</v>
      </c>
      <c r="E79" s="930">
        <f t="shared" si="18"/>
        <v>4351193.803082346</v>
      </c>
      <c r="F79" s="946">
        <f>'27-Allocators'!$D$47</f>
        <v>0.36296750459840588</v>
      </c>
      <c r="G79" s="939">
        <f t="shared" si="20"/>
        <v>8179831.2041597608</v>
      </c>
      <c r="H79" s="939">
        <f t="shared" si="21"/>
        <v>6600489.2474309141</v>
      </c>
      <c r="I79" s="939">
        <f t="shared" si="22"/>
        <v>1579341.9567288465</v>
      </c>
      <c r="J79" s="643" t="s">
        <v>2422</v>
      </c>
      <c r="K79" s="924"/>
    </row>
    <row r="80" spans="1:12">
      <c r="A80" s="111">
        <f t="shared" si="19"/>
        <v>54</v>
      </c>
      <c r="B80" s="621" t="s">
        <v>1294</v>
      </c>
      <c r="C80" s="930">
        <f t="shared" si="16"/>
        <v>0</v>
      </c>
      <c r="D80" s="930">
        <f t="shared" si="17"/>
        <v>0</v>
      </c>
      <c r="E80" s="930">
        <f t="shared" si="18"/>
        <v>0</v>
      </c>
      <c r="F80" s="946">
        <v>0</v>
      </c>
      <c r="G80" s="939">
        <f t="shared" si="20"/>
        <v>0</v>
      </c>
      <c r="H80" s="939">
        <f t="shared" si="21"/>
        <v>0</v>
      </c>
      <c r="I80" s="939">
        <f t="shared" si="22"/>
        <v>0</v>
      </c>
      <c r="J80" s="1227" t="s">
        <v>2605</v>
      </c>
      <c r="K80" s="924"/>
    </row>
    <row r="81" spans="1:11">
      <c r="A81" s="111">
        <f t="shared" si="19"/>
        <v>55</v>
      </c>
      <c r="B81" s="621" t="s">
        <v>1295</v>
      </c>
      <c r="C81" s="930">
        <f t="shared" si="16"/>
        <v>1003580.31</v>
      </c>
      <c r="D81" s="930">
        <f t="shared" si="17"/>
        <v>84.16</v>
      </c>
      <c r="E81" s="930">
        <f t="shared" si="18"/>
        <v>1003496.15</v>
      </c>
      <c r="F81" s="946">
        <v>1</v>
      </c>
      <c r="G81" s="939">
        <f t="shared" si="20"/>
        <v>1003580.31</v>
      </c>
      <c r="H81" s="939">
        <f t="shared" si="21"/>
        <v>84.16</v>
      </c>
      <c r="I81" s="939">
        <f t="shared" si="22"/>
        <v>1003496.15</v>
      </c>
      <c r="J81" s="1227" t="s">
        <v>2604</v>
      </c>
      <c r="K81" s="930"/>
    </row>
    <row r="82" spans="1:11">
      <c r="A82" s="111">
        <f t="shared" si="19"/>
        <v>56</v>
      </c>
      <c r="B82" s="621" t="s">
        <v>2412</v>
      </c>
      <c r="C82" s="930">
        <f t="shared" si="16"/>
        <v>6707716.1000000006</v>
      </c>
      <c r="D82" s="930">
        <f t="shared" si="17"/>
        <v>3569598.822378898</v>
      </c>
      <c r="E82" s="930">
        <f t="shared" si="18"/>
        <v>3138117.2776211025</v>
      </c>
      <c r="F82" s="946">
        <f>'27-Allocators'!$D$35</f>
        <v>0.46725875186396104</v>
      </c>
      <c r="G82" s="939">
        <f t="shared" si="20"/>
        <v>3134239.0527437972</v>
      </c>
      <c r="H82" s="939">
        <f t="shared" si="21"/>
        <v>1667926.2903998292</v>
      </c>
      <c r="I82" s="939">
        <f t="shared" si="22"/>
        <v>1466312.7623439678</v>
      </c>
      <c r="J82" s="643" t="s">
        <v>2423</v>
      </c>
      <c r="K82" s="924"/>
    </row>
    <row r="83" spans="1:11" ht="12.75" customHeight="1">
      <c r="A83" s="111">
        <f t="shared" si="19"/>
        <v>57</v>
      </c>
      <c r="B83" s="621" t="s">
        <v>2413</v>
      </c>
      <c r="C83" s="937">
        <f t="shared" si="16"/>
        <v>1182483.4000000001</v>
      </c>
      <c r="D83" s="937">
        <f t="shared" si="17"/>
        <v>968761.2454401555</v>
      </c>
      <c r="E83" s="937">
        <f t="shared" si="18"/>
        <v>213722.15455984461</v>
      </c>
      <c r="F83" s="946">
        <f>'27-Allocators'!$D$41</f>
        <v>1.4057263606606991E-2</v>
      </c>
      <c r="G83" s="941">
        <f t="shared" si="20"/>
        <v>16622.480864236899</v>
      </c>
      <c r="H83" s="941">
        <f t="shared" si="21"/>
        <v>13618.13219901716</v>
      </c>
      <c r="I83" s="941">
        <f t="shared" si="22"/>
        <v>3004.348665219738</v>
      </c>
      <c r="J83" s="643" t="s">
        <v>2424</v>
      </c>
      <c r="K83" s="930"/>
    </row>
    <row r="84" spans="1:11">
      <c r="A84" s="111">
        <f t="shared" si="19"/>
        <v>58</v>
      </c>
      <c r="B84" s="621" t="s">
        <v>2414</v>
      </c>
      <c r="C84" s="930">
        <f t="shared" si="16"/>
        <v>5830495.7000000002</v>
      </c>
      <c r="D84" s="930">
        <f t="shared" si="17"/>
        <v>0</v>
      </c>
      <c r="E84" s="930">
        <f t="shared" si="18"/>
        <v>5830495.7000000002</v>
      </c>
      <c r="F84" s="946">
        <v>1</v>
      </c>
      <c r="G84" s="939">
        <f t="shared" si="20"/>
        <v>5830495.7000000002</v>
      </c>
      <c r="H84" s="939">
        <f t="shared" si="21"/>
        <v>0</v>
      </c>
      <c r="I84" s="939">
        <f t="shared" si="22"/>
        <v>5830495.7000000002</v>
      </c>
      <c r="J84" s="1227" t="s">
        <v>2604</v>
      </c>
      <c r="K84" s="924"/>
    </row>
    <row r="85" spans="1:11">
      <c r="A85" s="111">
        <f t="shared" si="19"/>
        <v>59</v>
      </c>
      <c r="B85" s="621" t="s">
        <v>1297</v>
      </c>
      <c r="C85" s="930">
        <f t="shared" si="16"/>
        <v>0</v>
      </c>
      <c r="D85" s="930">
        <f t="shared" si="17"/>
        <v>0</v>
      </c>
      <c r="E85" s="930">
        <f t="shared" si="18"/>
        <v>0</v>
      </c>
      <c r="F85" s="946">
        <v>0</v>
      </c>
      <c r="G85" s="939">
        <f t="shared" si="20"/>
        <v>0</v>
      </c>
      <c r="H85" s="939">
        <f t="shared" si="21"/>
        <v>0</v>
      </c>
      <c r="I85" s="939">
        <f t="shared" si="22"/>
        <v>0</v>
      </c>
      <c r="J85" s="1227" t="s">
        <v>2605</v>
      </c>
      <c r="K85" s="924"/>
    </row>
    <row r="86" spans="1:11">
      <c r="A86" s="111">
        <f t="shared" si="19"/>
        <v>60</v>
      </c>
      <c r="B86" s="621" t="s">
        <v>1298</v>
      </c>
      <c r="C86" s="930">
        <f t="shared" si="16"/>
        <v>242797.53000000003</v>
      </c>
      <c r="D86" s="930">
        <f t="shared" si="17"/>
        <v>0</v>
      </c>
      <c r="E86" s="930">
        <f t="shared" si="18"/>
        <v>242797.53000000003</v>
      </c>
      <c r="F86" s="946">
        <v>0</v>
      </c>
      <c r="G86" s="939">
        <f t="shared" si="20"/>
        <v>0</v>
      </c>
      <c r="H86" s="939">
        <f t="shared" si="21"/>
        <v>0</v>
      </c>
      <c r="I86" s="939">
        <f t="shared" si="22"/>
        <v>0</v>
      </c>
      <c r="J86" s="1227" t="s">
        <v>2605</v>
      </c>
      <c r="K86" s="924"/>
    </row>
    <row r="87" spans="1:11">
      <c r="A87" s="111">
        <f t="shared" si="19"/>
        <v>61</v>
      </c>
      <c r="B87" s="621" t="s">
        <v>2415</v>
      </c>
      <c r="C87" s="930">
        <f t="shared" si="16"/>
        <v>47000859.649451777</v>
      </c>
      <c r="D87" s="930">
        <f t="shared" si="17"/>
        <v>22105384.649801638</v>
      </c>
      <c r="E87" s="930">
        <f t="shared" si="18"/>
        <v>24895474.999650136</v>
      </c>
      <c r="F87" s="946">
        <f>'27-Allocators'!$D$47</f>
        <v>0.36296750459840588</v>
      </c>
      <c r="G87" s="939">
        <f t="shared" si="20"/>
        <v>17059784.740941416</v>
      </c>
      <c r="H87" s="939">
        <f t="shared" si="21"/>
        <v>8023536.3045264063</v>
      </c>
      <c r="I87" s="939">
        <f t="shared" si="22"/>
        <v>9036248.4364150092</v>
      </c>
      <c r="J87" s="643" t="s">
        <v>2422</v>
      </c>
      <c r="K87" s="930"/>
    </row>
    <row r="88" spans="1:11">
      <c r="A88" s="111">
        <f t="shared" si="19"/>
        <v>62</v>
      </c>
      <c r="B88" s="621" t="s">
        <v>1299</v>
      </c>
      <c r="C88" s="930">
        <f t="shared" si="16"/>
        <v>0</v>
      </c>
      <c r="D88" s="930">
        <f t="shared" si="17"/>
        <v>0</v>
      </c>
      <c r="E88" s="930">
        <f t="shared" si="18"/>
        <v>0</v>
      </c>
      <c r="F88" s="946">
        <v>0</v>
      </c>
      <c r="G88" s="939">
        <f t="shared" si="20"/>
        <v>0</v>
      </c>
      <c r="H88" s="939">
        <f t="shared" si="21"/>
        <v>0</v>
      </c>
      <c r="I88" s="939">
        <f t="shared" si="22"/>
        <v>0</v>
      </c>
      <c r="J88" s="1227" t="s">
        <v>2605</v>
      </c>
      <c r="K88" s="924"/>
    </row>
    <row r="89" spans="1:11">
      <c r="A89" s="111">
        <f t="shared" si="19"/>
        <v>63</v>
      </c>
      <c r="B89" s="621" t="s">
        <v>1300</v>
      </c>
      <c r="C89" s="930">
        <f t="shared" si="16"/>
        <v>1048641.1299999999</v>
      </c>
      <c r="D89" s="930">
        <f t="shared" si="17"/>
        <v>0</v>
      </c>
      <c r="E89" s="930">
        <f t="shared" si="18"/>
        <v>1048641.1299999999</v>
      </c>
      <c r="F89" s="946">
        <v>1</v>
      </c>
      <c r="G89" s="939">
        <f t="shared" si="20"/>
        <v>1048641.1299999999</v>
      </c>
      <c r="H89" s="939">
        <f t="shared" si="21"/>
        <v>0</v>
      </c>
      <c r="I89" s="939">
        <f t="shared" si="22"/>
        <v>1048641.1299999999</v>
      </c>
      <c r="J89" s="1227" t="s">
        <v>2604</v>
      </c>
      <c r="K89" s="924"/>
    </row>
    <row r="90" spans="1:11">
      <c r="A90" s="111">
        <f t="shared" si="19"/>
        <v>64</v>
      </c>
      <c r="B90" s="621" t="s">
        <v>2403</v>
      </c>
      <c r="C90" s="930">
        <f t="shared" si="16"/>
        <v>15840955.390000001</v>
      </c>
      <c r="D90" s="930">
        <f t="shared" si="17"/>
        <v>5280.5962258284753</v>
      </c>
      <c r="E90" s="930">
        <f t="shared" si="18"/>
        <v>15835674.793774173</v>
      </c>
      <c r="F90" s="946">
        <f>'27-Allocators'!$D$35</f>
        <v>0.46725875186396104</v>
      </c>
      <c r="G90" s="939">
        <f t="shared" si="20"/>
        <v>7401825.0438640872</v>
      </c>
      <c r="H90" s="939">
        <f t="shared" si="21"/>
        <v>2467.4048015781568</v>
      </c>
      <c r="I90" s="939">
        <f t="shared" si="22"/>
        <v>7399357.6390625089</v>
      </c>
      <c r="J90" s="643" t="s">
        <v>2423</v>
      </c>
      <c r="K90" s="930"/>
    </row>
    <row r="91" spans="1:11">
      <c r="A91" s="111">
        <f t="shared" si="19"/>
        <v>65</v>
      </c>
      <c r="B91" s="621" t="s">
        <v>1301</v>
      </c>
      <c r="C91" s="930">
        <f t="shared" si="16"/>
        <v>49556.990000000013</v>
      </c>
      <c r="D91" s="930">
        <f t="shared" si="17"/>
        <v>0</v>
      </c>
      <c r="E91" s="930">
        <f t="shared" si="18"/>
        <v>49556.990000000013</v>
      </c>
      <c r="F91" s="946">
        <v>1</v>
      </c>
      <c r="G91" s="939">
        <f t="shared" si="20"/>
        <v>49556.990000000013</v>
      </c>
      <c r="H91" s="939">
        <f t="shared" si="21"/>
        <v>0</v>
      </c>
      <c r="I91" s="939">
        <f t="shared" si="22"/>
        <v>49556.990000000013</v>
      </c>
      <c r="J91" s="1227" t="s">
        <v>2604</v>
      </c>
      <c r="K91" s="514"/>
    </row>
    <row r="92" spans="1:11">
      <c r="A92" s="111">
        <f t="shared" si="19"/>
        <v>66</v>
      </c>
      <c r="B92" s="621" t="s">
        <v>1302</v>
      </c>
      <c r="C92" s="930">
        <f t="shared" si="16"/>
        <v>355202.04000000004</v>
      </c>
      <c r="D92" s="930">
        <f t="shared" si="17"/>
        <v>0</v>
      </c>
      <c r="E92" s="930">
        <f t="shared" si="18"/>
        <v>355202.04000000004</v>
      </c>
      <c r="F92" s="946">
        <v>1</v>
      </c>
      <c r="G92" s="939">
        <f t="shared" ref="G92" si="23">SUM(H92:I92)</f>
        <v>355202.04000000004</v>
      </c>
      <c r="H92" s="939">
        <f t="shared" ref="H92" si="24">D92*F92</f>
        <v>0</v>
      </c>
      <c r="I92" s="939">
        <f t="shared" ref="I92" si="25">E92*F92</f>
        <v>355202.04000000004</v>
      </c>
      <c r="J92" s="1227" t="s">
        <v>2604</v>
      </c>
      <c r="K92" s="514"/>
    </row>
    <row r="93" spans="1:11">
      <c r="A93" s="111">
        <f t="shared" si="19"/>
        <v>67</v>
      </c>
      <c r="B93" s="621" t="s">
        <v>2416</v>
      </c>
      <c r="C93" s="930">
        <f t="shared" si="16"/>
        <v>2115851</v>
      </c>
      <c r="D93" s="930">
        <f t="shared" si="17"/>
        <v>1858977.9117888997</v>
      </c>
      <c r="E93" s="930">
        <f t="shared" si="18"/>
        <v>256873.08821110034</v>
      </c>
      <c r="F93" s="946">
        <f>'27-Allocators'!$D$47</f>
        <v>0.36296750459840588</v>
      </c>
      <c r="G93" s="939">
        <f t="shared" si="20"/>
        <v>767985.15757204161</v>
      </c>
      <c r="H93" s="939">
        <f t="shared" si="21"/>
        <v>674748.57374557236</v>
      </c>
      <c r="I93" s="939">
        <f t="shared" si="22"/>
        <v>93236.583826469287</v>
      </c>
      <c r="J93" s="643" t="s">
        <v>2422</v>
      </c>
      <c r="K93" s="924"/>
    </row>
    <row r="94" spans="1:11">
      <c r="A94" s="111">
        <f t="shared" si="19"/>
        <v>68</v>
      </c>
      <c r="B94" s="621" t="s">
        <v>1303</v>
      </c>
      <c r="C94" s="930">
        <f t="shared" si="16"/>
        <v>212544.52</v>
      </c>
      <c r="D94" s="930">
        <f t="shared" si="17"/>
        <v>0</v>
      </c>
      <c r="E94" s="930">
        <f t="shared" si="18"/>
        <v>212544.52</v>
      </c>
      <c r="F94" s="946">
        <v>1</v>
      </c>
      <c r="G94" s="939">
        <f t="shared" si="20"/>
        <v>212544.52</v>
      </c>
      <c r="H94" s="939">
        <f t="shared" si="21"/>
        <v>0</v>
      </c>
      <c r="I94" s="939">
        <f t="shared" si="22"/>
        <v>212544.52</v>
      </c>
      <c r="J94" s="1227" t="s">
        <v>2604</v>
      </c>
      <c r="K94" s="930"/>
    </row>
    <row r="95" spans="1:11">
      <c r="A95" s="111">
        <f t="shared" si="19"/>
        <v>69</v>
      </c>
      <c r="B95" s="621" t="s">
        <v>2417</v>
      </c>
      <c r="C95" s="930">
        <f t="shared" si="16"/>
        <v>803744.18521938229</v>
      </c>
      <c r="D95" s="930">
        <f t="shared" si="17"/>
        <v>70184.366937895684</v>
      </c>
      <c r="E95" s="930">
        <f t="shared" si="18"/>
        <v>733559.81828148663</v>
      </c>
      <c r="F95" s="946">
        <f>'27-Allocators'!$D$47</f>
        <v>0.36296750459840588</v>
      </c>
      <c r="G95" s="939">
        <f t="shared" si="20"/>
        <v>291733.02124455816</v>
      </c>
      <c r="H95" s="939">
        <f t="shared" si="21"/>
        <v>25474.644529266858</v>
      </c>
      <c r="I95" s="939">
        <f t="shared" si="22"/>
        <v>266258.37671529129</v>
      </c>
      <c r="J95" s="643" t="s">
        <v>2422</v>
      </c>
      <c r="K95" s="514"/>
    </row>
    <row r="96" spans="1:11">
      <c r="A96" s="111">
        <f t="shared" si="19"/>
        <v>70</v>
      </c>
      <c r="B96" s="621" t="s">
        <v>1304</v>
      </c>
      <c r="C96" s="930">
        <f t="shared" si="16"/>
        <v>183310.88999999998</v>
      </c>
      <c r="D96" s="930">
        <f t="shared" si="17"/>
        <v>0</v>
      </c>
      <c r="E96" s="930">
        <f t="shared" si="18"/>
        <v>183310.88999999998</v>
      </c>
      <c r="F96" s="946">
        <v>1</v>
      </c>
      <c r="G96" s="939">
        <f t="shared" si="20"/>
        <v>183310.88999999998</v>
      </c>
      <c r="H96" s="939">
        <f t="shared" si="21"/>
        <v>0</v>
      </c>
      <c r="I96" s="939">
        <f t="shared" si="22"/>
        <v>183310.88999999998</v>
      </c>
      <c r="J96" s="1227" t="s">
        <v>2604</v>
      </c>
      <c r="K96" s="514"/>
    </row>
    <row r="97" spans="1:12">
      <c r="A97" s="111">
        <f t="shared" si="19"/>
        <v>71</v>
      </c>
      <c r="B97" s="621" t="s">
        <v>2418</v>
      </c>
      <c r="C97" s="930">
        <f t="shared" si="16"/>
        <v>10701931.49630728</v>
      </c>
      <c r="D97" s="930">
        <f t="shared" si="17"/>
        <v>5504648.4478552863</v>
      </c>
      <c r="E97" s="930">
        <f t="shared" si="18"/>
        <v>5197283.0484519936</v>
      </c>
      <c r="F97" s="946">
        <f>'27-Allocators'!$D$47</f>
        <v>0.36296750459840588</v>
      </c>
      <c r="G97" s="939">
        <f t="shared" si="20"/>
        <v>3884453.3695977377</v>
      </c>
      <c r="H97" s="939">
        <f t="shared" si="21"/>
        <v>1998008.5108095214</v>
      </c>
      <c r="I97" s="939">
        <f t="shared" si="22"/>
        <v>1886444.858788216</v>
      </c>
      <c r="J97" s="643" t="s">
        <v>2422</v>
      </c>
      <c r="K97" s="514"/>
    </row>
    <row r="98" spans="1:12">
      <c r="A98" s="111">
        <f t="shared" si="19"/>
        <v>72</v>
      </c>
      <c r="B98" s="621" t="s">
        <v>1305</v>
      </c>
      <c r="C98" s="930">
        <f t="shared" si="16"/>
        <v>1489320.67</v>
      </c>
      <c r="D98" s="930">
        <f t="shared" si="17"/>
        <v>37.58</v>
      </c>
      <c r="E98" s="930">
        <f t="shared" si="18"/>
        <v>1489283.0899999999</v>
      </c>
      <c r="F98" s="946">
        <v>1</v>
      </c>
      <c r="G98" s="939">
        <f t="shared" si="20"/>
        <v>1489320.67</v>
      </c>
      <c r="H98" s="939">
        <f t="shared" si="21"/>
        <v>37.58</v>
      </c>
      <c r="I98" s="939">
        <f t="shared" si="22"/>
        <v>1489283.0899999999</v>
      </c>
      <c r="J98" s="1227" t="s">
        <v>2604</v>
      </c>
      <c r="K98" s="514"/>
    </row>
    <row r="99" spans="1:12">
      <c r="A99" s="111">
        <f t="shared" si="19"/>
        <v>73</v>
      </c>
      <c r="B99" s="621" t="s">
        <v>2419</v>
      </c>
      <c r="C99" s="930">
        <f t="shared" si="16"/>
        <v>26292455.57</v>
      </c>
      <c r="D99" s="930">
        <f t="shared" si="17"/>
        <v>7755872.7432663431</v>
      </c>
      <c r="E99" s="930">
        <f t="shared" si="18"/>
        <v>18536582.826733656</v>
      </c>
      <c r="F99" s="946">
        <f>'27-Allocators'!$D$35</f>
        <v>0.46725875186396104</v>
      </c>
      <c r="G99" s="939">
        <f t="shared" si="20"/>
        <v>12285379.97307685</v>
      </c>
      <c r="H99" s="939">
        <f t="shared" si="21"/>
        <v>3623999.417634347</v>
      </c>
      <c r="I99" s="939">
        <f t="shared" si="22"/>
        <v>8661380.5554425027</v>
      </c>
      <c r="J99" s="643" t="s">
        <v>2423</v>
      </c>
      <c r="K99" s="514"/>
    </row>
    <row r="100" spans="1:12">
      <c r="A100" s="111">
        <f t="shared" si="19"/>
        <v>74</v>
      </c>
      <c r="B100" s="621" t="s">
        <v>1306</v>
      </c>
      <c r="C100" s="930">
        <f t="shared" si="16"/>
        <v>181120.18</v>
      </c>
      <c r="D100" s="930">
        <f t="shared" si="17"/>
        <v>0</v>
      </c>
      <c r="E100" s="930">
        <f t="shared" si="18"/>
        <v>181120.18</v>
      </c>
      <c r="F100" s="946">
        <v>1</v>
      </c>
      <c r="G100" s="939">
        <f t="shared" si="20"/>
        <v>181120.18</v>
      </c>
      <c r="H100" s="939">
        <f t="shared" si="21"/>
        <v>0</v>
      </c>
      <c r="I100" s="939">
        <f t="shared" si="22"/>
        <v>181120.18</v>
      </c>
      <c r="J100" s="1227" t="s">
        <v>2604</v>
      </c>
      <c r="K100" s="514"/>
    </row>
    <row r="101" spans="1:12">
      <c r="A101" s="111">
        <f t="shared" si="19"/>
        <v>75</v>
      </c>
      <c r="B101" s="621" t="s">
        <v>2420</v>
      </c>
      <c r="C101" s="930">
        <f t="shared" si="16"/>
        <v>257493.72000000003</v>
      </c>
      <c r="D101" s="930">
        <f t="shared" si="17"/>
        <v>112516.927408629</v>
      </c>
      <c r="E101" s="930">
        <f t="shared" si="18"/>
        <v>144976.79259137102</v>
      </c>
      <c r="F101" s="946">
        <f>'27-Allocators'!$D$41</f>
        <v>1.4057263606606991E-2</v>
      </c>
      <c r="G101" s="939">
        <f t="shared" si="20"/>
        <v>3619.6570990858509</v>
      </c>
      <c r="H101" s="939">
        <f t="shared" si="21"/>
        <v>1581.680108788561</v>
      </c>
      <c r="I101" s="939">
        <f t="shared" si="22"/>
        <v>2037.9769902972898</v>
      </c>
      <c r="J101" s="643" t="s">
        <v>2424</v>
      </c>
      <c r="K101" s="514"/>
    </row>
    <row r="102" spans="1:12">
      <c r="A102" s="111">
        <f t="shared" si="19"/>
        <v>76</v>
      </c>
      <c r="B102" s="621" t="s">
        <v>1308</v>
      </c>
      <c r="C102" s="930">
        <f t="shared" si="16"/>
        <v>6518.72</v>
      </c>
      <c r="D102" s="930">
        <f t="shared" si="17"/>
        <v>0</v>
      </c>
      <c r="E102" s="930">
        <f t="shared" si="18"/>
        <v>6518.72</v>
      </c>
      <c r="F102" s="946">
        <v>1</v>
      </c>
      <c r="G102" s="939">
        <f t="shared" si="20"/>
        <v>6518.72</v>
      </c>
      <c r="H102" s="939">
        <f t="shared" si="21"/>
        <v>0</v>
      </c>
      <c r="I102" s="939">
        <f t="shared" si="22"/>
        <v>6518.72</v>
      </c>
      <c r="J102" s="1227" t="s">
        <v>2604</v>
      </c>
      <c r="K102" s="514"/>
    </row>
    <row r="103" spans="1:12">
      <c r="A103" s="111">
        <f t="shared" si="19"/>
        <v>77</v>
      </c>
      <c r="B103" s="621" t="s">
        <v>2421</v>
      </c>
      <c r="C103" s="930">
        <f t="shared" si="16"/>
        <v>3685779.5200000005</v>
      </c>
      <c r="D103" s="930">
        <f t="shared" si="17"/>
        <v>1205499.7158744005</v>
      </c>
      <c r="E103" s="930">
        <f t="shared" si="18"/>
        <v>2480279.8041256</v>
      </c>
      <c r="F103" s="946">
        <f>'27-Allocators'!$D$47</f>
        <v>0.36296750459840588</v>
      </c>
      <c r="G103" s="939">
        <f t="shared" si="20"/>
        <v>1337818.1948743104</v>
      </c>
      <c r="H103" s="939">
        <f t="shared" si="21"/>
        <v>437557.22366501845</v>
      </c>
      <c r="I103" s="939">
        <f t="shared" si="22"/>
        <v>900260.97120929195</v>
      </c>
      <c r="J103" s="643" t="s">
        <v>2422</v>
      </c>
      <c r="K103" s="514"/>
    </row>
    <row r="104" spans="1:12">
      <c r="A104" s="111">
        <f t="shared" si="19"/>
        <v>78</v>
      </c>
      <c r="B104" s="558" t="s">
        <v>513</v>
      </c>
      <c r="C104" s="915" t="s">
        <v>76</v>
      </c>
      <c r="D104" s="915" t="s">
        <v>76</v>
      </c>
      <c r="E104" s="915" t="s">
        <v>76</v>
      </c>
      <c r="F104" s="915" t="s">
        <v>76</v>
      </c>
      <c r="G104" s="915" t="s">
        <v>76</v>
      </c>
      <c r="H104" s="915" t="s">
        <v>76</v>
      </c>
      <c r="I104" s="915" t="s">
        <v>76</v>
      </c>
      <c r="J104" s="514"/>
      <c r="K104" s="514"/>
    </row>
    <row r="105" spans="1:12">
      <c r="A105" s="111">
        <f t="shared" si="19"/>
        <v>79</v>
      </c>
      <c r="B105" s="621" t="s">
        <v>2039</v>
      </c>
      <c r="C105" s="942">
        <f>J42</f>
        <v>9522009.6815752909</v>
      </c>
      <c r="D105" s="942">
        <f>K42</f>
        <v>9522009.6815752909</v>
      </c>
      <c r="E105" s="942">
        <f>L42</f>
        <v>0</v>
      </c>
      <c r="F105" s="943"/>
      <c r="G105" s="944">
        <f>SUM(H105:I105)</f>
        <v>3878052.0977073926</v>
      </c>
      <c r="H105" s="944">
        <f>D105*C150</f>
        <v>3878052.0977073926</v>
      </c>
      <c r="I105" s="944">
        <v>0</v>
      </c>
      <c r="J105" s="514"/>
      <c r="K105" s="514"/>
    </row>
    <row r="106" spans="1:12">
      <c r="A106" s="111">
        <f t="shared" si="19"/>
        <v>80</v>
      </c>
      <c r="B106" s="460" t="s">
        <v>1324</v>
      </c>
      <c r="C106" s="928">
        <f>SUM(C74:C105)</f>
        <v>182406402.89131144</v>
      </c>
      <c r="D106" s="928">
        <f>SUM(D74:D105)</f>
        <v>87855599.391714603</v>
      </c>
      <c r="E106" s="928">
        <f>SUM(E74:E105)</f>
        <v>94550803.499596879</v>
      </c>
      <c r="F106" s="945"/>
      <c r="G106" s="928">
        <f>SUM(G74:G105)</f>
        <v>81050973.103365153</v>
      </c>
      <c r="H106" s="928">
        <f>SUM(H74:H105)</f>
        <v>35781164.156515896</v>
      </c>
      <c r="I106" s="928">
        <f>SUM(I74:I105)</f>
        <v>45269808.946849249</v>
      </c>
      <c r="J106" s="514"/>
      <c r="K106" s="904"/>
      <c r="L106" s="514"/>
    </row>
    <row r="107" spans="1:12">
      <c r="A107" s="111">
        <f t="shared" si="19"/>
        <v>81</v>
      </c>
      <c r="B107" s="540"/>
      <c r="C107" s="623"/>
      <c r="D107" s="623"/>
      <c r="E107" s="623"/>
      <c r="F107" s="945"/>
      <c r="G107" s="946"/>
      <c r="H107" s="939"/>
      <c r="I107" s="939"/>
      <c r="J107" s="939"/>
      <c r="K107" s="904"/>
    </row>
    <row r="108" spans="1:12">
      <c r="A108" s="111"/>
      <c r="B108" s="461"/>
      <c r="C108" s="469"/>
      <c r="D108" s="469"/>
      <c r="E108" s="469"/>
      <c r="F108" s="470"/>
      <c r="G108" s="471"/>
      <c r="H108" s="469"/>
      <c r="I108" s="469"/>
      <c r="J108" s="469"/>
      <c r="K108" s="514"/>
    </row>
    <row r="109" spans="1:12">
      <c r="A109" s="111"/>
      <c r="B109" s="84" t="s">
        <v>363</v>
      </c>
      <c r="C109" s="449" t="s">
        <v>347</v>
      </c>
      <c r="D109" s="449" t="s">
        <v>348</v>
      </c>
      <c r="E109" s="449" t="s">
        <v>349</v>
      </c>
      <c r="F109" s="450" t="s">
        <v>350</v>
      </c>
      <c r="G109" s="449" t="s">
        <v>351</v>
      </c>
      <c r="H109" s="449" t="s">
        <v>352</v>
      </c>
      <c r="I109" s="449" t="s">
        <v>544</v>
      </c>
      <c r="J109" s="1012" t="s">
        <v>961</v>
      </c>
      <c r="K109" s="514"/>
    </row>
    <row r="110" spans="1:12">
      <c r="A110" s="111"/>
      <c r="C110" s="924" t="s">
        <v>1320</v>
      </c>
      <c r="D110" s="924" t="s">
        <v>1321</v>
      </c>
      <c r="E110" s="924" t="s">
        <v>1322</v>
      </c>
      <c r="F110" s="936" t="s">
        <v>1192</v>
      </c>
      <c r="G110" s="590" t="s">
        <v>1281</v>
      </c>
      <c r="H110" s="591" t="s">
        <v>1687</v>
      </c>
      <c r="I110" s="591" t="s">
        <v>1688</v>
      </c>
      <c r="J110" s="514"/>
      <c r="K110" s="514"/>
    </row>
    <row r="111" spans="1:12">
      <c r="A111" s="111"/>
      <c r="C111" s="924"/>
      <c r="D111" s="924"/>
      <c r="E111" s="924"/>
      <c r="F111" s="935"/>
      <c r="G111" s="936"/>
      <c r="H111" s="540"/>
      <c r="I111" s="540"/>
      <c r="J111" s="924"/>
      <c r="K111" s="514"/>
    </row>
    <row r="112" spans="1:12">
      <c r="A112" s="111"/>
      <c r="B112" s="1389" t="s">
        <v>1285</v>
      </c>
      <c r="C112" s="1380" t="s">
        <v>1288</v>
      </c>
      <c r="D112" s="1381"/>
      <c r="E112" s="1382"/>
      <c r="F112" s="467" t="s">
        <v>1451</v>
      </c>
      <c r="G112" s="1386" t="s">
        <v>1323</v>
      </c>
      <c r="H112" s="1387"/>
      <c r="I112" s="1388"/>
      <c r="J112" s="1013" t="s">
        <v>1754</v>
      </c>
      <c r="K112" s="514"/>
    </row>
    <row r="113" spans="1:11">
      <c r="A113" s="111"/>
      <c r="B113" s="1389"/>
      <c r="C113" s="902" t="s">
        <v>196</v>
      </c>
      <c r="D113" s="454" t="s">
        <v>1289</v>
      </c>
      <c r="E113" s="454" t="s">
        <v>1290</v>
      </c>
      <c r="F113" s="467" t="s">
        <v>435</v>
      </c>
      <c r="G113" s="902" t="s">
        <v>196</v>
      </c>
      <c r="H113" s="454" t="s">
        <v>1289</v>
      </c>
      <c r="I113" s="454" t="s">
        <v>1290</v>
      </c>
      <c r="J113" s="962" t="s">
        <v>205</v>
      </c>
      <c r="K113" s="514"/>
    </row>
    <row r="114" spans="1:11" ht="12.75" customHeight="1">
      <c r="A114" s="111"/>
      <c r="B114" s="462" t="s">
        <v>1310</v>
      </c>
      <c r="C114" s="623"/>
      <c r="D114" s="623"/>
      <c r="E114" s="623"/>
      <c r="F114" s="945"/>
      <c r="G114" s="946"/>
      <c r="H114" s="939"/>
      <c r="I114" s="939"/>
      <c r="J114" s="939"/>
      <c r="K114" s="514"/>
    </row>
    <row r="115" spans="1:11" ht="12.75" customHeight="1">
      <c r="A115" s="111">
        <f>A107+1</f>
        <v>82</v>
      </c>
      <c r="B115" s="621" t="s">
        <v>2406</v>
      </c>
      <c r="C115" s="623">
        <f t="shared" ref="C115:E118" si="26">J52</f>
        <v>33377981.566479139</v>
      </c>
      <c r="D115" s="623">
        <f t="shared" si="26"/>
        <v>25670084.699221842</v>
      </c>
      <c r="E115" s="623">
        <f t="shared" si="26"/>
        <v>7707896.867257297</v>
      </c>
      <c r="F115" s="946">
        <f>'27-Allocators'!$D$53</f>
        <v>0</v>
      </c>
      <c r="G115" s="939">
        <f t="shared" ref="G115:G118" si="27">SUM(H115:I115)</f>
        <v>0</v>
      </c>
      <c r="H115" s="939">
        <f>D115*F115</f>
        <v>0</v>
      </c>
      <c r="I115" s="939">
        <f>E115*F115</f>
        <v>0</v>
      </c>
      <c r="J115" s="643" t="s">
        <v>2425</v>
      </c>
      <c r="K115" s="514"/>
    </row>
    <row r="116" spans="1:11" ht="12.75" customHeight="1">
      <c r="A116" s="111">
        <f t="shared" ref="A116:A125" si="28">A115+1</f>
        <v>83</v>
      </c>
      <c r="B116" s="621" t="s">
        <v>1311</v>
      </c>
      <c r="C116" s="623">
        <f t="shared" si="26"/>
        <v>2112515.0599999996</v>
      </c>
      <c r="D116" s="623">
        <f t="shared" si="26"/>
        <v>1853870.6365942005</v>
      </c>
      <c r="E116" s="623">
        <f t="shared" si="26"/>
        <v>258644.42340579926</v>
      </c>
      <c r="F116" s="946">
        <f>'27-Allocators'!$D$53</f>
        <v>0</v>
      </c>
      <c r="G116" s="939">
        <f t="shared" si="27"/>
        <v>0</v>
      </c>
      <c r="H116" s="939">
        <f t="shared" ref="H116:H119" si="29">D116*F116</f>
        <v>0</v>
      </c>
      <c r="I116" s="939">
        <f t="shared" ref="I116:I119" si="30">E116*F116</f>
        <v>0</v>
      </c>
      <c r="J116" s="643" t="s">
        <v>2425</v>
      </c>
      <c r="K116" s="514"/>
    </row>
    <row r="117" spans="1:11" ht="12.75" customHeight="1">
      <c r="A117" s="111">
        <f t="shared" si="28"/>
        <v>84</v>
      </c>
      <c r="B117" s="621" t="s">
        <v>1312</v>
      </c>
      <c r="C117" s="623">
        <f t="shared" si="26"/>
        <v>133487.50999999998</v>
      </c>
      <c r="D117" s="623">
        <f t="shared" si="26"/>
        <v>14745.973196954805</v>
      </c>
      <c r="E117" s="623">
        <f t="shared" si="26"/>
        <v>118741.53680304518</v>
      </c>
      <c r="F117" s="946">
        <f>'27-Allocators'!$D$53</f>
        <v>0</v>
      </c>
      <c r="G117" s="939">
        <f t="shared" si="27"/>
        <v>0</v>
      </c>
      <c r="H117" s="939">
        <f t="shared" si="29"/>
        <v>0</v>
      </c>
      <c r="I117" s="939">
        <f t="shared" si="30"/>
        <v>0</v>
      </c>
      <c r="J117" s="643" t="s">
        <v>2425</v>
      </c>
      <c r="K117" s="514"/>
    </row>
    <row r="118" spans="1:11" ht="12.75" customHeight="1">
      <c r="A118" s="111">
        <f t="shared" si="28"/>
        <v>85</v>
      </c>
      <c r="B118" s="621" t="s">
        <v>2407</v>
      </c>
      <c r="C118" s="623">
        <f t="shared" si="26"/>
        <v>9319393.3499999978</v>
      </c>
      <c r="D118" s="623">
        <f t="shared" si="26"/>
        <v>5105566.5302779768</v>
      </c>
      <c r="E118" s="623">
        <f t="shared" si="26"/>
        <v>4213826.819722021</v>
      </c>
      <c r="F118" s="946">
        <f>'27-Allocators'!$D$53</f>
        <v>0</v>
      </c>
      <c r="G118" s="939">
        <f t="shared" si="27"/>
        <v>0</v>
      </c>
      <c r="H118" s="939">
        <f t="shared" si="29"/>
        <v>0</v>
      </c>
      <c r="I118" s="939">
        <f t="shared" si="30"/>
        <v>0</v>
      </c>
      <c r="J118" s="643" t="s">
        <v>2425</v>
      </c>
      <c r="K118" s="514"/>
    </row>
    <row r="119" spans="1:11" ht="12.75" customHeight="1">
      <c r="A119" s="111">
        <f t="shared" si="28"/>
        <v>86</v>
      </c>
      <c r="B119" s="947" t="s">
        <v>1313</v>
      </c>
      <c r="C119" s="948">
        <f t="shared" ref="C119:E120" si="31">J56</f>
        <v>473712057.54838765</v>
      </c>
      <c r="D119" s="623">
        <f t="shared" si="31"/>
        <v>195499195.89127371</v>
      </c>
      <c r="E119" s="623">
        <f t="shared" si="31"/>
        <v>278212861.65711391</v>
      </c>
      <c r="F119" s="1018">
        <v>0</v>
      </c>
      <c r="G119" s="472">
        <v>0</v>
      </c>
      <c r="H119" s="939">
        <f t="shared" si="29"/>
        <v>0</v>
      </c>
      <c r="I119" s="939">
        <f t="shared" si="30"/>
        <v>0</v>
      </c>
      <c r="J119" s="1014" t="s">
        <v>2605</v>
      </c>
      <c r="K119" s="514"/>
    </row>
    <row r="120" spans="1:11" ht="12.75" customHeight="1">
      <c r="A120" s="111">
        <f t="shared" si="28"/>
        <v>87</v>
      </c>
      <c r="B120" s="621" t="s">
        <v>2040</v>
      </c>
      <c r="C120" s="933">
        <f t="shared" si="31"/>
        <v>27724752.443699665</v>
      </c>
      <c r="D120" s="933">
        <f t="shared" si="31"/>
        <v>27724752.443699665</v>
      </c>
      <c r="E120" s="933">
        <f t="shared" si="31"/>
        <v>0</v>
      </c>
      <c r="F120" s="1019">
        <v>0</v>
      </c>
      <c r="G120" s="944">
        <f>SUM(H120:I120)</f>
        <v>0</v>
      </c>
      <c r="H120" s="944">
        <f>D120*F120</f>
        <v>0</v>
      </c>
      <c r="I120" s="944">
        <f>E120*F120</f>
        <v>0</v>
      </c>
      <c r="J120" s="1014" t="s">
        <v>2605</v>
      </c>
      <c r="K120" s="514"/>
    </row>
    <row r="121" spans="1:11">
      <c r="A121" s="111">
        <f t="shared" si="28"/>
        <v>88</v>
      </c>
      <c r="B121" s="461" t="s">
        <v>1325</v>
      </c>
      <c r="C121" s="623">
        <f>SUM(C115:C120)</f>
        <v>546380187.47856653</v>
      </c>
      <c r="D121" s="623">
        <f>SUM(D115:D120)</f>
        <v>255868216.17426434</v>
      </c>
      <c r="E121" s="623">
        <f>SUM(E115:E120)</f>
        <v>290511971.3043021</v>
      </c>
      <c r="F121" s="470"/>
      <c r="G121" s="928">
        <f>SUM(G115:G120)</f>
        <v>0</v>
      </c>
      <c r="H121" s="928">
        <f>SUM(H115:H120)</f>
        <v>0</v>
      </c>
      <c r="I121" s="928">
        <f>SUM(I115:I120)</f>
        <v>0</v>
      </c>
      <c r="J121" s="514"/>
      <c r="K121" s="514"/>
    </row>
    <row r="122" spans="1:11">
      <c r="A122" s="111">
        <f t="shared" si="28"/>
        <v>89</v>
      </c>
      <c r="B122" s="461"/>
      <c r="C122" s="623"/>
      <c r="D122" s="623"/>
      <c r="E122" s="623"/>
      <c r="F122" s="470"/>
      <c r="G122" s="928"/>
      <c r="H122" s="925"/>
      <c r="I122" s="473"/>
      <c r="J122" s="514"/>
      <c r="K122" s="514"/>
    </row>
    <row r="123" spans="1:11">
      <c r="A123" s="111">
        <f t="shared" si="28"/>
        <v>90</v>
      </c>
      <c r="B123" s="924"/>
      <c r="C123" s="930"/>
      <c r="D123" s="930"/>
      <c r="E123" s="930"/>
      <c r="F123" s="945"/>
      <c r="G123" s="939"/>
      <c r="H123" s="939"/>
      <c r="I123" s="939"/>
    </row>
    <row r="124" spans="1:11">
      <c r="A124" s="111">
        <f t="shared" si="28"/>
        <v>91</v>
      </c>
      <c r="B124" s="461" t="s">
        <v>1690</v>
      </c>
      <c r="C124" s="930">
        <f>+C106+C121</f>
        <v>728786590.36987793</v>
      </c>
      <c r="D124" s="930">
        <f>+D106+D121</f>
        <v>343723815.56597894</v>
      </c>
      <c r="E124" s="930">
        <f>+E106+E121</f>
        <v>385062774.80389899</v>
      </c>
      <c r="F124" s="458"/>
      <c r="G124" s="939">
        <f>SUM(H124:I124)</f>
        <v>81050973.103365153</v>
      </c>
      <c r="H124" s="930">
        <f>+H106+H121</f>
        <v>35781164.156515896</v>
      </c>
      <c r="I124" s="930">
        <f>+I106+I121</f>
        <v>45269808.946849249</v>
      </c>
    </row>
    <row r="125" spans="1:11">
      <c r="A125" s="111">
        <f t="shared" si="28"/>
        <v>92</v>
      </c>
      <c r="B125" s="516" t="str">
        <f>"Line "&amp;A106&amp;" +  Line "&amp;A121&amp;""</f>
        <v>Line 80 +  Line 88</v>
      </c>
    </row>
    <row r="126" spans="1:11">
      <c r="A126" s="514"/>
    </row>
    <row r="127" spans="1:11">
      <c r="A127" s="514"/>
      <c r="B127" s="474" t="s">
        <v>232</v>
      </c>
    </row>
    <row r="128" spans="1:11">
      <c r="A128" s="514"/>
      <c r="B128" s="950" t="s">
        <v>1326</v>
      </c>
      <c r="G128" s="951"/>
      <c r="H128" s="952"/>
      <c r="I128" s="952"/>
      <c r="J128" s="514"/>
      <c r="K128" s="514"/>
    </row>
    <row r="129" spans="1:12">
      <c r="A129" s="514"/>
      <c r="B129" s="953" t="s">
        <v>1327</v>
      </c>
      <c r="G129" s="951"/>
      <c r="H129" s="952"/>
      <c r="I129" s="952"/>
      <c r="J129" s="514"/>
      <c r="K129" s="514"/>
    </row>
    <row r="130" spans="1:12">
      <c r="A130" s="514"/>
      <c r="B130" s="954" t="s">
        <v>1328</v>
      </c>
      <c r="G130" s="951"/>
      <c r="H130" s="952"/>
      <c r="I130" s="952"/>
      <c r="J130" s="514"/>
      <c r="K130" s="514"/>
    </row>
    <row r="131" spans="1:12">
      <c r="A131" s="514"/>
      <c r="B131" s="626" t="s">
        <v>1329</v>
      </c>
      <c r="G131" s="951"/>
      <c r="H131" s="952"/>
      <c r="I131" s="952"/>
      <c r="J131" s="514"/>
      <c r="K131" s="514"/>
    </row>
    <row r="132" spans="1:12">
      <c r="A132" s="514"/>
      <c r="B132" s="626" t="s">
        <v>1330</v>
      </c>
      <c r="G132" s="951"/>
      <c r="H132" s="952"/>
      <c r="I132" s="952"/>
      <c r="J132" s="514"/>
      <c r="K132" s="514"/>
    </row>
    <row r="133" spans="1:12">
      <c r="A133" s="514"/>
      <c r="B133" s="626" t="s">
        <v>1331</v>
      </c>
      <c r="G133" s="951"/>
      <c r="H133" s="952"/>
      <c r="I133" s="952"/>
      <c r="J133" s="514"/>
      <c r="K133" s="514"/>
    </row>
    <row r="134" spans="1:12">
      <c r="A134" s="514"/>
      <c r="B134" s="1015" t="s">
        <v>2256</v>
      </c>
      <c r="G134" s="951"/>
      <c r="H134" s="952"/>
      <c r="I134" s="952"/>
      <c r="J134" s="514"/>
      <c r="K134" s="514"/>
    </row>
    <row r="135" spans="1:12">
      <c r="A135" s="514"/>
      <c r="B135" s="626" t="s">
        <v>2359</v>
      </c>
      <c r="G135" s="951"/>
      <c r="H135" s="952"/>
      <c r="I135" s="952"/>
      <c r="J135" s="514"/>
      <c r="K135" s="514"/>
    </row>
    <row r="136" spans="1:12">
      <c r="A136" s="514"/>
      <c r="B136" s="626" t="s">
        <v>2360</v>
      </c>
      <c r="G136" s="951"/>
      <c r="H136" s="952"/>
      <c r="I136" s="952"/>
      <c r="J136" s="514"/>
      <c r="K136" s="514"/>
    </row>
    <row r="137" spans="1:12">
      <c r="A137" s="514"/>
      <c r="B137" s="955"/>
      <c r="C137" s="913"/>
      <c r="D137" s="913"/>
      <c r="E137" s="913"/>
      <c r="F137" s="914"/>
      <c r="G137" s="956"/>
      <c r="H137" s="957"/>
      <c r="I137" s="957"/>
      <c r="J137" s="913"/>
      <c r="K137" s="514"/>
      <c r="L137" s="514"/>
    </row>
    <row r="138" spans="1:12">
      <c r="A138" s="514"/>
      <c r="B138" s="955"/>
      <c r="C138" s="1158"/>
      <c r="D138" s="1158"/>
      <c r="E138" s="1158"/>
      <c r="F138" s="914"/>
      <c r="G138" s="956"/>
      <c r="H138" s="957"/>
      <c r="I138" s="957"/>
      <c r="J138" s="913"/>
      <c r="K138" s="514"/>
      <c r="L138" s="514"/>
    </row>
    <row r="139" spans="1:12">
      <c r="A139" s="514"/>
      <c r="B139" s="514" t="s">
        <v>2050</v>
      </c>
      <c r="G139" s="951"/>
      <c r="H139" s="952"/>
      <c r="I139" s="952"/>
      <c r="J139" s="514"/>
      <c r="K139" s="514"/>
    </row>
    <row r="140" spans="1:12">
      <c r="A140" s="514"/>
      <c r="B140" s="514" t="s">
        <v>2041</v>
      </c>
      <c r="G140" s="951"/>
      <c r="H140" s="952"/>
      <c r="I140" s="952"/>
      <c r="J140" s="514"/>
      <c r="K140" s="514"/>
    </row>
    <row r="141" spans="1:12">
      <c r="A141" s="514"/>
      <c r="G141" s="951"/>
      <c r="H141" s="952"/>
      <c r="I141" s="952"/>
      <c r="J141" s="514"/>
      <c r="K141" s="514"/>
    </row>
    <row r="142" spans="1:12">
      <c r="A142" s="514"/>
      <c r="B142" s="1016" t="s">
        <v>2042</v>
      </c>
      <c r="C142" s="913">
        <v>47</v>
      </c>
      <c r="G142" s="951"/>
      <c r="H142" s="952"/>
      <c r="I142" s="952"/>
      <c r="J142" s="514"/>
      <c r="K142" s="514"/>
    </row>
    <row r="143" spans="1:12">
      <c r="A143" s="514"/>
      <c r="G143" s="951"/>
      <c r="H143" s="952"/>
      <c r="I143" s="952"/>
      <c r="J143" s="514"/>
      <c r="K143" s="514"/>
    </row>
    <row r="144" spans="1:12">
      <c r="A144" s="514"/>
      <c r="B144" s="958"/>
      <c r="C144" s="495" t="s">
        <v>1452</v>
      </c>
      <c r="D144" s="495" t="s">
        <v>154</v>
      </c>
      <c r="G144" s="951"/>
      <c r="H144" s="952"/>
      <c r="I144" s="952"/>
      <c r="J144" s="514"/>
      <c r="K144" s="514"/>
    </row>
    <row r="145" spans="1:11">
      <c r="A145" s="514"/>
      <c r="B145" s="958" t="s">
        <v>2043</v>
      </c>
      <c r="C145" s="959">
        <f>D43/D60</f>
        <v>0.25564664250678137</v>
      </c>
      <c r="D145" s="958" t="str">
        <f>"Line "&amp;A43&amp;", Col 3 / Line "&amp;A60&amp;", Col 3"</f>
        <v>Line 33, Col 3 / Line 43, Col 3</v>
      </c>
      <c r="G145" s="951"/>
      <c r="H145" s="952"/>
      <c r="I145" s="952"/>
      <c r="J145" s="514"/>
      <c r="K145" s="514"/>
    </row>
    <row r="146" spans="1:11">
      <c r="A146" s="514"/>
      <c r="B146" s="958" t="s">
        <v>2044</v>
      </c>
      <c r="C146" s="959">
        <f>D58/D60</f>
        <v>0.74435335749321863</v>
      </c>
      <c r="D146" s="958" t="str">
        <f>"Line "&amp;A58&amp;", Col 3 / Line "&amp;A60&amp;", Col 3"</f>
        <v>Line 41, Col 3 / Line 43, Col 3</v>
      </c>
      <c r="G146" s="951"/>
      <c r="H146" s="952"/>
      <c r="I146" s="952"/>
      <c r="J146" s="514"/>
      <c r="K146" s="514"/>
    </row>
    <row r="147" spans="1:11">
      <c r="A147" s="514"/>
      <c r="G147" s="951"/>
      <c r="H147" s="952"/>
      <c r="I147" s="952"/>
      <c r="J147" s="514"/>
      <c r="K147" s="514"/>
    </row>
    <row r="148" spans="1:11">
      <c r="A148" s="514"/>
      <c r="B148" s="514" t="s">
        <v>2045</v>
      </c>
      <c r="G148" s="951"/>
      <c r="H148" s="952"/>
      <c r="I148" s="952"/>
      <c r="J148" s="514"/>
      <c r="K148" s="514"/>
    </row>
    <row r="149" spans="1:11">
      <c r="A149" s="514"/>
      <c r="B149" s="514" t="s">
        <v>2046</v>
      </c>
      <c r="G149" s="951"/>
      <c r="H149" s="952"/>
      <c r="I149" s="952"/>
      <c r="J149" s="514"/>
      <c r="K149" s="514"/>
    </row>
    <row r="150" spans="1:11">
      <c r="A150" s="514"/>
      <c r="B150" s="514" t="s">
        <v>1753</v>
      </c>
      <c r="C150" s="1017">
        <f>(SUM(H74:H103)/SUM(D74:D103))</f>
        <v>0.40727243800342577</v>
      </c>
      <c r="G150" s="951"/>
      <c r="H150" s="952"/>
      <c r="I150" s="952"/>
      <c r="J150" s="514"/>
      <c r="K150" s="514"/>
    </row>
    <row r="151" spans="1:11">
      <c r="A151" s="514"/>
      <c r="B151" s="514" t="s">
        <v>1689</v>
      </c>
      <c r="G151" s="951"/>
      <c r="H151" s="952"/>
      <c r="I151" s="952"/>
      <c r="J151" s="514"/>
      <c r="K151" s="514"/>
    </row>
    <row r="152" spans="1:11">
      <c r="A152" s="514"/>
      <c r="B152" s="514" t="s">
        <v>2606</v>
      </c>
      <c r="G152" s="951"/>
      <c r="H152" s="952"/>
      <c r="I152" s="952"/>
      <c r="J152" s="514"/>
      <c r="K152" s="514"/>
    </row>
    <row r="153" spans="1:11">
      <c r="A153" s="514"/>
      <c r="B153" s="514" t="s">
        <v>1839</v>
      </c>
      <c r="G153" s="951"/>
      <c r="H153" s="952"/>
      <c r="I153" s="952"/>
      <c r="J153" s="514"/>
      <c r="K153" s="514"/>
    </row>
    <row r="154" spans="1:11">
      <c r="A154" s="514"/>
      <c r="B154" s="514"/>
      <c r="G154" s="951"/>
      <c r="H154" s="952"/>
      <c r="I154" s="952"/>
      <c r="J154" s="514"/>
      <c r="K154" s="514"/>
    </row>
    <row r="155" spans="1:11">
      <c r="A155" s="514"/>
    </row>
    <row r="156" spans="1:11">
      <c r="A156" s="514"/>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&amp;RExhibit SCE-4
TO2018 Formula Rate Spreadsheet</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
  <sheetViews>
    <sheetView zoomScaleNormal="100" workbookViewId="0"/>
  </sheetViews>
  <sheetFormatPr defaultRowHeight="12.75"/>
  <cols>
    <col min="1" max="1" width="4.7109375" customWidth="1"/>
    <col min="2" max="2" width="2.7109375" customWidth="1"/>
    <col min="3" max="3" width="6.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282</v>
      </c>
      <c r="F1" s="43" t="s">
        <v>17</v>
      </c>
      <c r="G1" s="97"/>
      <c r="H1" s="61"/>
      <c r="I1" s="61"/>
    </row>
    <row r="2" spans="1:24">
      <c r="E2" s="84" t="s">
        <v>363</v>
      </c>
      <c r="F2" s="84" t="s">
        <v>347</v>
      </c>
      <c r="G2" s="84" t="s">
        <v>348</v>
      </c>
      <c r="H2" s="84" t="s">
        <v>349</v>
      </c>
      <c r="I2" s="61"/>
    </row>
    <row r="3" spans="1:24">
      <c r="G3" s="61" t="s">
        <v>212</v>
      </c>
    </row>
    <row r="4" spans="1:24">
      <c r="E4" s="2" t="s">
        <v>484</v>
      </c>
      <c r="F4" s="26" t="s">
        <v>194</v>
      </c>
      <c r="G4" s="2" t="s">
        <v>1391</v>
      </c>
      <c r="I4" s="2"/>
    </row>
    <row r="5" spans="1:24">
      <c r="A5" s="53" t="s">
        <v>322</v>
      </c>
      <c r="B5" s="3"/>
      <c r="C5" s="3" t="s">
        <v>115</v>
      </c>
      <c r="D5" s="3" t="s">
        <v>100</v>
      </c>
      <c r="E5" s="3" t="s">
        <v>175</v>
      </c>
      <c r="F5" s="25" t="s">
        <v>179</v>
      </c>
      <c r="G5" s="3" t="s">
        <v>116</v>
      </c>
      <c r="H5" s="3" t="s">
        <v>266</v>
      </c>
      <c r="I5" s="3" t="s">
        <v>168</v>
      </c>
      <c r="K5" s="3"/>
      <c r="L5" s="3"/>
      <c r="M5" s="3"/>
      <c r="N5" s="3"/>
      <c r="O5" s="3"/>
      <c r="P5" s="3"/>
      <c r="Q5" s="3"/>
      <c r="R5" s="3"/>
      <c r="S5" s="3"/>
      <c r="T5" s="3"/>
      <c r="U5" s="3"/>
      <c r="V5" s="3"/>
      <c r="W5" s="3"/>
      <c r="X5" s="3"/>
    </row>
    <row r="6" spans="1:24">
      <c r="A6" s="2">
        <v>1</v>
      </c>
      <c r="C6" s="61">
        <v>920</v>
      </c>
      <c r="D6" t="s">
        <v>102</v>
      </c>
      <c r="E6" s="80">
        <v>370948767</v>
      </c>
      <c r="F6" s="61" t="s">
        <v>117</v>
      </c>
      <c r="G6" s="63">
        <f>D37</f>
        <v>55730841.915756166</v>
      </c>
      <c r="H6" s="7">
        <f t="shared" ref="H6:H19" si="0">E6-G6</f>
        <v>315217925.08424383</v>
      </c>
      <c r="J6" s="503"/>
    </row>
    <row r="7" spans="1:24">
      <c r="A7" s="2">
        <f>A6+1</f>
        <v>2</v>
      </c>
      <c r="C7" s="61">
        <v>921</v>
      </c>
      <c r="D7" t="s">
        <v>103</v>
      </c>
      <c r="E7" s="80">
        <v>213803210</v>
      </c>
      <c r="F7" s="61" t="s">
        <v>118</v>
      </c>
      <c r="G7" s="63">
        <f t="shared" ref="G7:G19" si="1">D38</f>
        <v>409078.91968707397</v>
      </c>
      <c r="H7" s="7">
        <f t="shared" si="0"/>
        <v>213394131.08031294</v>
      </c>
      <c r="J7" s="503"/>
    </row>
    <row r="8" spans="1:24">
      <c r="A8" s="2">
        <f>A7+1</f>
        <v>3</v>
      </c>
      <c r="C8" s="61">
        <v>922</v>
      </c>
      <c r="D8" t="s">
        <v>104</v>
      </c>
      <c r="E8" s="80">
        <v>-119273668</v>
      </c>
      <c r="F8" s="61" t="s">
        <v>119</v>
      </c>
      <c r="G8" s="63">
        <f t="shared" si="1"/>
        <v>-29401381.544</v>
      </c>
      <c r="H8" s="7">
        <f t="shared" si="0"/>
        <v>-89872286.456</v>
      </c>
      <c r="I8" s="114" t="s">
        <v>1778</v>
      </c>
      <c r="J8" s="503"/>
    </row>
    <row r="9" spans="1:24">
      <c r="A9" s="2">
        <f t="shared" ref="A9:A20" si="2">A8+1</f>
        <v>4</v>
      </c>
      <c r="B9" s="2"/>
      <c r="C9" s="61">
        <v>923</v>
      </c>
      <c r="D9" t="s">
        <v>105</v>
      </c>
      <c r="E9" s="80">
        <v>60667969</v>
      </c>
      <c r="F9" s="61" t="s">
        <v>120</v>
      </c>
      <c r="G9" s="63">
        <f t="shared" si="1"/>
        <v>7725398.1400000006</v>
      </c>
      <c r="H9" s="7">
        <f t="shared" si="0"/>
        <v>52942570.859999999</v>
      </c>
      <c r="J9" s="503"/>
    </row>
    <row r="10" spans="1:24">
      <c r="A10" s="2">
        <f t="shared" si="2"/>
        <v>5</v>
      </c>
      <c r="B10" s="2"/>
      <c r="C10" s="61">
        <v>924</v>
      </c>
      <c r="D10" t="s">
        <v>106</v>
      </c>
      <c r="E10" s="80">
        <v>14124920</v>
      </c>
      <c r="F10" s="61" t="s">
        <v>121</v>
      </c>
      <c r="G10" s="63">
        <f t="shared" si="1"/>
        <v>0</v>
      </c>
      <c r="H10" s="7">
        <f t="shared" si="0"/>
        <v>14124920</v>
      </c>
      <c r="J10" s="503"/>
    </row>
    <row r="11" spans="1:24">
      <c r="A11" s="2">
        <f t="shared" si="2"/>
        <v>6</v>
      </c>
      <c r="B11" s="2"/>
      <c r="C11" s="61">
        <v>925</v>
      </c>
      <c r="D11" t="s">
        <v>107</v>
      </c>
      <c r="E11" s="80">
        <v>90935394</v>
      </c>
      <c r="F11" s="61" t="s">
        <v>122</v>
      </c>
      <c r="G11" s="63">
        <f t="shared" si="1"/>
        <v>0</v>
      </c>
      <c r="H11" s="7">
        <f t="shared" si="0"/>
        <v>90935394</v>
      </c>
      <c r="J11" s="503"/>
    </row>
    <row r="12" spans="1:24">
      <c r="A12" s="2">
        <f t="shared" si="2"/>
        <v>7</v>
      </c>
      <c r="B12" s="2"/>
      <c r="C12" s="61">
        <v>926</v>
      </c>
      <c r="D12" t="s">
        <v>108</v>
      </c>
      <c r="E12" s="80">
        <v>169577000</v>
      </c>
      <c r="F12" s="61" t="s">
        <v>123</v>
      </c>
      <c r="G12" s="63">
        <f t="shared" si="1"/>
        <v>-23052225.655999999</v>
      </c>
      <c r="H12" s="7">
        <f t="shared" si="0"/>
        <v>192629225.65599999</v>
      </c>
      <c r="J12" s="503"/>
    </row>
    <row r="13" spans="1:24">
      <c r="A13" s="2">
        <f t="shared" si="2"/>
        <v>8</v>
      </c>
      <c r="B13" s="2"/>
      <c r="C13" s="61">
        <v>927</v>
      </c>
      <c r="D13" t="s">
        <v>109</v>
      </c>
      <c r="E13" s="80">
        <v>104853533</v>
      </c>
      <c r="F13" s="61" t="s">
        <v>124</v>
      </c>
      <c r="G13" s="63">
        <f t="shared" si="1"/>
        <v>104853533</v>
      </c>
      <c r="H13" s="7">
        <f t="shared" si="0"/>
        <v>0</v>
      </c>
      <c r="J13" s="503"/>
    </row>
    <row r="14" spans="1:24">
      <c r="A14" s="2">
        <f t="shared" si="2"/>
        <v>9</v>
      </c>
      <c r="B14" s="2"/>
      <c r="C14" s="61">
        <v>928</v>
      </c>
      <c r="D14" s="12" t="s">
        <v>110</v>
      </c>
      <c r="E14" s="80">
        <v>39330186</v>
      </c>
      <c r="F14" s="61" t="s">
        <v>125</v>
      </c>
      <c r="G14" s="63">
        <f t="shared" si="1"/>
        <v>40447590.189999998</v>
      </c>
      <c r="H14" s="7">
        <f t="shared" si="0"/>
        <v>-1117404.1899999976</v>
      </c>
      <c r="J14" s="503"/>
    </row>
    <row r="15" spans="1:24">
      <c r="A15" s="2">
        <f t="shared" si="2"/>
        <v>10</v>
      </c>
      <c r="B15" s="2"/>
      <c r="C15" s="61">
        <v>929</v>
      </c>
      <c r="D15" t="s">
        <v>111</v>
      </c>
      <c r="E15" s="80">
        <v>0</v>
      </c>
      <c r="F15" s="61" t="s">
        <v>126</v>
      </c>
      <c r="G15" s="63">
        <f t="shared" si="1"/>
        <v>0</v>
      </c>
      <c r="H15" s="7">
        <f t="shared" si="0"/>
        <v>0</v>
      </c>
      <c r="J15" s="503"/>
    </row>
    <row r="16" spans="1:24">
      <c r="A16" s="2">
        <f t="shared" si="2"/>
        <v>11</v>
      </c>
      <c r="B16" s="2"/>
      <c r="C16" s="61">
        <v>930.1</v>
      </c>
      <c r="D16" t="s">
        <v>112</v>
      </c>
      <c r="E16" s="80">
        <v>4740534</v>
      </c>
      <c r="F16" s="61" t="s">
        <v>127</v>
      </c>
      <c r="G16" s="63">
        <f t="shared" si="1"/>
        <v>0</v>
      </c>
      <c r="H16" s="7">
        <f t="shared" si="0"/>
        <v>4740534</v>
      </c>
      <c r="J16" s="503"/>
    </row>
    <row r="17" spans="1:11">
      <c r="A17" s="2">
        <f t="shared" si="2"/>
        <v>12</v>
      </c>
      <c r="B17" s="2"/>
      <c r="C17" s="61">
        <v>930.2</v>
      </c>
      <c r="D17" t="s">
        <v>88</v>
      </c>
      <c r="E17" s="80">
        <v>18871749</v>
      </c>
      <c r="F17" s="61" t="s">
        <v>128</v>
      </c>
      <c r="G17" s="63">
        <f t="shared" si="1"/>
        <v>22065925.93</v>
      </c>
      <c r="H17" s="7">
        <f t="shared" si="0"/>
        <v>-3194176.9299999997</v>
      </c>
      <c r="J17" s="503"/>
    </row>
    <row r="18" spans="1:11">
      <c r="A18" s="2">
        <f t="shared" si="2"/>
        <v>13</v>
      </c>
      <c r="B18" s="2"/>
      <c r="C18" s="61">
        <v>931</v>
      </c>
      <c r="D18" t="s">
        <v>113</v>
      </c>
      <c r="E18" s="80">
        <v>17771530</v>
      </c>
      <c r="F18" s="61" t="s">
        <v>129</v>
      </c>
      <c r="G18" s="63">
        <f t="shared" si="1"/>
        <v>0</v>
      </c>
      <c r="H18" s="7">
        <f t="shared" si="0"/>
        <v>17771530</v>
      </c>
      <c r="J18" s="503"/>
    </row>
    <row r="19" spans="1:11">
      <c r="A19" s="2">
        <f t="shared" si="2"/>
        <v>14</v>
      </c>
      <c r="B19" s="2"/>
      <c r="C19" s="61">
        <v>935</v>
      </c>
      <c r="D19" t="s">
        <v>114</v>
      </c>
      <c r="E19" s="1240">
        <v>13400370</v>
      </c>
      <c r="F19" s="61" t="s">
        <v>130</v>
      </c>
      <c r="G19" s="63">
        <f t="shared" si="1"/>
        <v>718532</v>
      </c>
      <c r="H19" s="91">
        <f t="shared" si="0"/>
        <v>12681838</v>
      </c>
      <c r="J19" s="503"/>
    </row>
    <row r="20" spans="1:11">
      <c r="A20" s="2">
        <f t="shared" si="2"/>
        <v>15</v>
      </c>
      <c r="E20" s="7">
        <f>SUM(E6:E19)</f>
        <v>999751494</v>
      </c>
      <c r="G20" s="37" t="s">
        <v>131</v>
      </c>
      <c r="H20" s="101">
        <f>SUM(H6:H19)</f>
        <v>820254201.10455692</v>
      </c>
    </row>
    <row r="22" spans="1:11">
      <c r="F22" s="3" t="s">
        <v>175</v>
      </c>
      <c r="G22" s="3" t="s">
        <v>179</v>
      </c>
    </row>
    <row r="23" spans="1:11">
      <c r="A23" s="2">
        <f>A20+1</f>
        <v>16</v>
      </c>
      <c r="E23" s="969" t="s">
        <v>2026</v>
      </c>
      <c r="F23" s="63">
        <f>H20</f>
        <v>820254201.10455692</v>
      </c>
      <c r="G23" s="46" t="str">
        <f>"Line "&amp;A20&amp;""</f>
        <v>Line 15</v>
      </c>
      <c r="H23" s="14"/>
      <c r="I23" s="14"/>
      <c r="J23" s="14"/>
      <c r="K23" s="14"/>
    </row>
    <row r="24" spans="1:11">
      <c r="A24" s="2">
        <f t="shared" ref="A24:A30" si="3">A23+1</f>
        <v>17</v>
      </c>
      <c r="E24" s="368" t="s">
        <v>295</v>
      </c>
      <c r="F24" s="112">
        <f>E10</f>
        <v>14124920</v>
      </c>
      <c r="G24" s="46" t="str">
        <f>"Line "&amp;A10&amp;""</f>
        <v>Line 5</v>
      </c>
      <c r="H24" s="14"/>
      <c r="I24" s="14"/>
      <c r="J24" s="14"/>
      <c r="K24" s="14"/>
    </row>
    <row r="25" spans="1:11">
      <c r="A25" s="2">
        <f t="shared" si="3"/>
        <v>18</v>
      </c>
      <c r="E25" s="368" t="s">
        <v>1386</v>
      </c>
      <c r="F25" s="63">
        <f>F23-F24</f>
        <v>806129281.10455692</v>
      </c>
      <c r="G25" s="46" t="str">
        <f>"Line "&amp;A23&amp;" - Line "&amp;A24&amp;""</f>
        <v>Line 16 - Line 17</v>
      </c>
      <c r="H25" s="14"/>
      <c r="I25" s="14"/>
      <c r="J25" s="14"/>
      <c r="K25" s="14"/>
    </row>
    <row r="26" spans="1:11">
      <c r="A26" s="2">
        <f t="shared" si="3"/>
        <v>19</v>
      </c>
      <c r="E26" s="79" t="s">
        <v>132</v>
      </c>
      <c r="F26" s="1020">
        <f>'27-Allocators'!G14</f>
        <v>6.1650013139118928E-2</v>
      </c>
      <c r="G26" s="46" t="str">
        <f>"27-Allocators, Line "&amp;'27-Allocators'!A14&amp;""</f>
        <v>27-Allocators, Line 9</v>
      </c>
      <c r="H26" s="14"/>
      <c r="I26" s="14"/>
      <c r="J26" s="14"/>
      <c r="K26" s="14"/>
    </row>
    <row r="27" spans="1:11">
      <c r="A27" s="2">
        <f t="shared" si="3"/>
        <v>20</v>
      </c>
      <c r="E27" s="368" t="s">
        <v>1387</v>
      </c>
      <c r="F27" s="63">
        <f>F25*F26</f>
        <v>49697880.771924429</v>
      </c>
      <c r="G27" s="46" t="str">
        <f>"Line "&amp;A25&amp;" * Line "&amp;A26&amp;""</f>
        <v>Line 18 * Line 19</v>
      </c>
      <c r="H27" s="14"/>
      <c r="I27" s="14"/>
      <c r="J27" s="14"/>
      <c r="K27" s="14"/>
    </row>
    <row r="28" spans="1:11">
      <c r="A28" s="2">
        <f t="shared" si="3"/>
        <v>21</v>
      </c>
      <c r="E28" s="368" t="s">
        <v>94</v>
      </c>
      <c r="F28" s="67">
        <f>'27-Allocators'!G27</f>
        <v>0.1931425858096622</v>
      </c>
      <c r="G28" s="114" t="str">
        <f>"27-Allocators, Line "&amp;'27-Allocators'!A27&amp;""</f>
        <v>27-Allocators, Line 22</v>
      </c>
      <c r="H28" s="14"/>
      <c r="I28" s="14"/>
      <c r="J28" s="14"/>
      <c r="K28" s="14"/>
    </row>
    <row r="29" spans="1:11">
      <c r="A29" s="2">
        <f t="shared" si="3"/>
        <v>22</v>
      </c>
      <c r="E29" s="368" t="s">
        <v>296</v>
      </c>
      <c r="F29" s="112">
        <f>H10*F28</f>
        <v>2728123.5731546138</v>
      </c>
      <c r="G29" s="46" t="str">
        <f>"Line "&amp;A10&amp;" Col 4 * Line "&amp;A28&amp;""</f>
        <v>Line 5 Col 4 * Line 21</v>
      </c>
      <c r="H29" s="14"/>
      <c r="I29" s="14"/>
      <c r="J29" s="14"/>
      <c r="K29" s="14"/>
    </row>
    <row r="30" spans="1:11">
      <c r="A30" s="2">
        <f t="shared" si="3"/>
        <v>23</v>
      </c>
      <c r="E30" s="368" t="s">
        <v>297</v>
      </c>
      <c r="F30" s="517">
        <f>F27+F29</f>
        <v>52426004.345079042</v>
      </c>
      <c r="G30" s="46" t="str">
        <f>"Line "&amp;A27&amp;" + Line "&amp;A29&amp;""</f>
        <v>Line 20 + Line 22</v>
      </c>
      <c r="H30" s="14"/>
      <c r="I30" s="14"/>
      <c r="J30" s="14"/>
      <c r="K30" s="14"/>
    </row>
    <row r="31" spans="1:11">
      <c r="E31" s="14"/>
      <c r="F31" s="14"/>
      <c r="G31" s="14"/>
      <c r="H31" s="14"/>
      <c r="I31" s="14"/>
      <c r="J31" s="14"/>
      <c r="K31" s="14"/>
    </row>
    <row r="32" spans="1:11">
      <c r="B32" s="1" t="s">
        <v>491</v>
      </c>
      <c r="E32" s="363" t="s">
        <v>363</v>
      </c>
      <c r="F32" s="363" t="s">
        <v>347</v>
      </c>
      <c r="G32" s="363" t="s">
        <v>348</v>
      </c>
      <c r="H32" s="363" t="s">
        <v>349</v>
      </c>
      <c r="I32" s="14"/>
      <c r="J32" s="14"/>
      <c r="K32" s="14"/>
    </row>
    <row r="33" spans="1:11">
      <c r="B33" s="1"/>
      <c r="E33" s="111" t="s">
        <v>486</v>
      </c>
      <c r="F33" s="363"/>
      <c r="G33" s="363"/>
      <c r="H33" s="363"/>
      <c r="I33" s="14"/>
      <c r="J33" s="14"/>
      <c r="K33" s="14"/>
    </row>
    <row r="34" spans="1:11">
      <c r="E34" s="111" t="s">
        <v>552</v>
      </c>
      <c r="F34" s="14"/>
      <c r="G34" s="14"/>
      <c r="H34" s="14"/>
      <c r="I34" s="14"/>
      <c r="J34" s="14"/>
      <c r="K34" s="14"/>
    </row>
    <row r="35" spans="1:11">
      <c r="D35" s="2" t="s">
        <v>485</v>
      </c>
      <c r="E35" s="111" t="s">
        <v>551</v>
      </c>
      <c r="F35" s="111" t="s">
        <v>487</v>
      </c>
      <c r="G35" s="111"/>
      <c r="H35" s="111"/>
      <c r="I35" s="14"/>
      <c r="J35" s="14"/>
      <c r="K35" s="14"/>
    </row>
    <row r="36" spans="1:11">
      <c r="C36" s="3" t="s">
        <v>115</v>
      </c>
      <c r="D36" s="84" t="s">
        <v>1109</v>
      </c>
      <c r="E36" s="125" t="s">
        <v>1287</v>
      </c>
      <c r="F36" s="125" t="s">
        <v>488</v>
      </c>
      <c r="G36" s="125" t="s">
        <v>2027</v>
      </c>
      <c r="H36" s="125" t="s">
        <v>489</v>
      </c>
      <c r="I36" s="125" t="s">
        <v>168</v>
      </c>
      <c r="J36" s="14"/>
      <c r="K36" s="14"/>
    </row>
    <row r="37" spans="1:11">
      <c r="A37" s="2">
        <f>A30+1</f>
        <v>24</v>
      </c>
      <c r="C37" s="61">
        <v>920</v>
      </c>
      <c r="D37" s="142">
        <f>SUM(E37:H37)</f>
        <v>55730841.915756166</v>
      </c>
      <c r="E37" s="537">
        <v>-29416675.319687072</v>
      </c>
      <c r="F37" s="107"/>
      <c r="G37" s="63">
        <f>G57</f>
        <v>85147517.235443234</v>
      </c>
      <c r="H37" s="107"/>
      <c r="I37" s="502" t="s">
        <v>1789</v>
      </c>
      <c r="J37" s="14"/>
    </row>
    <row r="38" spans="1:11">
      <c r="A38" s="2">
        <f>A37+1</f>
        <v>25</v>
      </c>
      <c r="C38" s="61">
        <v>921</v>
      </c>
      <c r="D38" s="142">
        <f t="shared" ref="D38:D50" si="4">SUM(E38:H38)</f>
        <v>409078.91968707397</v>
      </c>
      <c r="E38" s="537">
        <v>409078.91968707397</v>
      </c>
      <c r="F38" s="107"/>
      <c r="G38" s="1136">
        <v>0</v>
      </c>
      <c r="H38" s="107"/>
      <c r="I38" s="16"/>
    </row>
    <row r="39" spans="1:11">
      <c r="A39" s="2">
        <f t="shared" ref="A39:A50" si="5">A38+1</f>
        <v>26</v>
      </c>
      <c r="C39" s="61">
        <v>922</v>
      </c>
      <c r="D39" s="142">
        <f t="shared" si="4"/>
        <v>-29401381.544</v>
      </c>
      <c r="E39" s="537">
        <v>-7665954.5440000007</v>
      </c>
      <c r="F39" s="107"/>
      <c r="G39" s="1111">
        <v>-21735427</v>
      </c>
      <c r="H39" s="107"/>
      <c r="I39" s="16"/>
    </row>
    <row r="40" spans="1:11">
      <c r="A40" s="2">
        <f t="shared" si="5"/>
        <v>27</v>
      </c>
      <c r="C40" s="61">
        <v>923</v>
      </c>
      <c r="D40" s="142">
        <f t="shared" si="4"/>
        <v>7725398.1400000006</v>
      </c>
      <c r="E40" s="1140">
        <v>7725398.1400000006</v>
      </c>
      <c r="F40" s="107"/>
      <c r="G40" s="1136">
        <v>0</v>
      </c>
      <c r="H40" s="107"/>
      <c r="I40" s="16"/>
      <c r="J40" s="3"/>
      <c r="K40" s="3"/>
    </row>
    <row r="41" spans="1:11">
      <c r="A41" s="2">
        <f t="shared" si="5"/>
        <v>28</v>
      </c>
      <c r="C41" s="61">
        <v>924</v>
      </c>
      <c r="D41" s="142">
        <f t="shared" si="4"/>
        <v>0</v>
      </c>
      <c r="E41" s="537">
        <v>0</v>
      </c>
      <c r="F41" s="107"/>
      <c r="G41" s="1136">
        <v>0</v>
      </c>
      <c r="H41" s="107"/>
      <c r="I41" s="16"/>
      <c r="K41" s="7"/>
    </row>
    <row r="42" spans="1:11">
      <c r="A42" s="2">
        <f t="shared" si="5"/>
        <v>29</v>
      </c>
      <c r="C42" s="61">
        <v>925</v>
      </c>
      <c r="D42" s="142">
        <f t="shared" si="4"/>
        <v>0</v>
      </c>
      <c r="E42" s="537">
        <v>0</v>
      </c>
      <c r="F42" s="107"/>
      <c r="G42" s="1136">
        <v>0</v>
      </c>
      <c r="H42" s="107"/>
      <c r="I42" s="13"/>
      <c r="K42" s="7"/>
    </row>
    <row r="43" spans="1:11">
      <c r="A43" s="2">
        <f t="shared" si="5"/>
        <v>30</v>
      </c>
      <c r="C43" s="61">
        <v>926</v>
      </c>
      <c r="D43" s="142">
        <f t="shared" si="4"/>
        <v>-23052225.655999999</v>
      </c>
      <c r="E43" s="537">
        <v>-9115140.6559999995</v>
      </c>
      <c r="F43" s="107"/>
      <c r="G43" s="1136">
        <v>0</v>
      </c>
      <c r="H43" s="63">
        <f>E70</f>
        <v>-13937085</v>
      </c>
      <c r="I43" s="13" t="s">
        <v>284</v>
      </c>
      <c r="K43" s="7"/>
    </row>
    <row r="44" spans="1:11">
      <c r="A44" s="2">
        <f t="shared" si="5"/>
        <v>31</v>
      </c>
      <c r="C44" s="61">
        <v>927</v>
      </c>
      <c r="D44" s="142">
        <f t="shared" si="4"/>
        <v>104853533</v>
      </c>
      <c r="E44" s="63">
        <v>0</v>
      </c>
      <c r="F44" s="498">
        <f>E13</f>
        <v>104853533</v>
      </c>
      <c r="G44" s="63">
        <v>0</v>
      </c>
      <c r="H44" s="63">
        <v>0</v>
      </c>
      <c r="I44" s="16" t="s">
        <v>963</v>
      </c>
      <c r="K44" s="7"/>
    </row>
    <row r="45" spans="1:11">
      <c r="A45" s="2">
        <f t="shared" si="5"/>
        <v>32</v>
      </c>
      <c r="C45" s="61">
        <v>928</v>
      </c>
      <c r="D45" s="142">
        <f t="shared" si="4"/>
        <v>40447590.189999998</v>
      </c>
      <c r="E45" s="1140">
        <v>40447590.189999998</v>
      </c>
      <c r="F45" s="1136"/>
      <c r="G45" s="1136">
        <v>0</v>
      </c>
      <c r="H45" s="1136"/>
      <c r="I45" s="16"/>
      <c r="K45" s="7"/>
    </row>
    <row r="46" spans="1:11">
      <c r="A46" s="2">
        <f t="shared" si="5"/>
        <v>33</v>
      </c>
      <c r="C46" s="61">
        <v>929</v>
      </c>
      <c r="D46" s="142">
        <f t="shared" si="4"/>
        <v>0</v>
      </c>
      <c r="E46" s="537">
        <v>0</v>
      </c>
      <c r="F46" s="1136"/>
      <c r="G46" s="1136">
        <v>0</v>
      </c>
      <c r="H46" s="1136"/>
      <c r="I46" s="16"/>
      <c r="K46" s="7"/>
    </row>
    <row r="47" spans="1:11">
      <c r="A47" s="2">
        <f t="shared" si="5"/>
        <v>34</v>
      </c>
      <c r="C47" s="61">
        <v>930.1</v>
      </c>
      <c r="D47" s="142">
        <f t="shared" si="4"/>
        <v>0</v>
      </c>
      <c r="E47" s="537">
        <v>0</v>
      </c>
      <c r="F47" s="1136"/>
      <c r="G47" s="1136">
        <v>0</v>
      </c>
      <c r="H47" s="1136"/>
      <c r="I47" s="16"/>
      <c r="K47" s="7"/>
    </row>
    <row r="48" spans="1:11">
      <c r="A48" s="2">
        <f t="shared" si="5"/>
        <v>35</v>
      </c>
      <c r="C48" s="61">
        <v>930.2</v>
      </c>
      <c r="D48" s="142">
        <f t="shared" si="4"/>
        <v>22065925.93</v>
      </c>
      <c r="E48" s="537">
        <v>22065925.93</v>
      </c>
      <c r="F48" s="1136"/>
      <c r="G48" s="1136">
        <v>0</v>
      </c>
      <c r="H48" s="1136"/>
      <c r="I48" s="16"/>
      <c r="J48" s="510"/>
    </row>
    <row r="49" spans="1:10">
      <c r="A49" s="2">
        <f t="shared" si="5"/>
        <v>36</v>
      </c>
      <c r="C49" s="61">
        <v>931</v>
      </c>
      <c r="D49" s="142">
        <f t="shared" si="4"/>
        <v>0</v>
      </c>
      <c r="E49" s="537">
        <v>0</v>
      </c>
      <c r="F49" s="1136"/>
      <c r="G49" s="1136">
        <v>0</v>
      </c>
      <c r="H49" s="1136"/>
      <c r="I49" s="16"/>
      <c r="J49" s="7"/>
    </row>
    <row r="50" spans="1:10">
      <c r="A50" s="2">
        <f t="shared" si="5"/>
        <v>37</v>
      </c>
      <c r="C50" s="61">
        <v>935</v>
      </c>
      <c r="D50" s="142">
        <f t="shared" si="4"/>
        <v>718532</v>
      </c>
      <c r="E50" s="537">
        <v>718532</v>
      </c>
      <c r="F50" s="1136"/>
      <c r="G50" s="1136">
        <v>0</v>
      </c>
      <c r="H50" s="1136"/>
      <c r="I50" s="16"/>
    </row>
    <row r="51" spans="1:10">
      <c r="B51" s="44" t="s">
        <v>2028</v>
      </c>
      <c r="C51" s="14"/>
      <c r="D51" s="14"/>
      <c r="E51" s="14"/>
      <c r="F51" s="14"/>
      <c r="G51" s="14"/>
      <c r="H51" s="14"/>
    </row>
    <row r="52" spans="1:10">
      <c r="B52" s="44"/>
      <c r="C52" s="505" t="s">
        <v>2029</v>
      </c>
      <c r="D52" s="14"/>
      <c r="E52" s="14"/>
      <c r="F52" s="14"/>
      <c r="G52" s="111"/>
      <c r="H52" s="111"/>
    </row>
    <row r="53" spans="1:10">
      <c r="B53" s="44"/>
      <c r="C53" s="643" t="s">
        <v>2208</v>
      </c>
      <c r="D53" s="627"/>
      <c r="E53" s="627"/>
      <c r="F53" s="14"/>
      <c r="G53" s="111"/>
      <c r="H53" s="111"/>
    </row>
    <row r="54" spans="1:10">
      <c r="B54" s="44"/>
      <c r="C54" s="14"/>
      <c r="D54" s="14"/>
      <c r="E54" s="14"/>
      <c r="F54" s="14"/>
      <c r="G54" s="125" t="s">
        <v>175</v>
      </c>
      <c r="H54" s="125" t="s">
        <v>179</v>
      </c>
    </row>
    <row r="55" spans="1:10">
      <c r="A55" s="2"/>
      <c r="B55" s="600" t="s">
        <v>1700</v>
      </c>
      <c r="E55" s="14"/>
      <c r="F55" s="969" t="s">
        <v>2030</v>
      </c>
      <c r="G55" s="537">
        <v>108677132.81</v>
      </c>
      <c r="H55" s="502" t="s">
        <v>33</v>
      </c>
    </row>
    <row r="56" spans="1:10">
      <c r="A56" s="2"/>
      <c r="B56" s="600" t="s">
        <v>1701</v>
      </c>
      <c r="C56" s="12"/>
      <c r="E56" s="14"/>
      <c r="F56" s="969" t="s">
        <v>2031</v>
      </c>
      <c r="G56" s="102">
        <f>E60</f>
        <v>23529615.574556775</v>
      </c>
      <c r="H56" s="507" t="str">
        <f>"Note 2, "&amp;B60&amp;""</f>
        <v>Note 2, d</v>
      </c>
    </row>
    <row r="57" spans="1:10">
      <c r="A57" s="2"/>
      <c r="B57" s="600" t="s">
        <v>1702</v>
      </c>
      <c r="F57" s="501" t="s">
        <v>1706</v>
      </c>
      <c r="G57" s="7">
        <f>G55-G56</f>
        <v>85147517.235443234</v>
      </c>
    </row>
    <row r="58" spans="1:10">
      <c r="A58" s="2"/>
      <c r="C58" s="643" t="s">
        <v>2207</v>
      </c>
      <c r="D58" s="627"/>
      <c r="E58" s="627"/>
      <c r="G58" s="7"/>
    </row>
    <row r="59" spans="1:10">
      <c r="A59" s="2"/>
      <c r="D59" s="51" t="s">
        <v>1388</v>
      </c>
      <c r="E59" s="3" t="s">
        <v>175</v>
      </c>
      <c r="F59" s="62" t="s">
        <v>179</v>
      </c>
      <c r="G59" s="7"/>
    </row>
    <row r="60" spans="1:10">
      <c r="A60" s="2"/>
      <c r="B60" s="600" t="s">
        <v>1703</v>
      </c>
      <c r="D60" t="s">
        <v>1389</v>
      </c>
      <c r="E60" s="1111">
        <v>23529615.574556775</v>
      </c>
      <c r="F60" s="502" t="s">
        <v>2025</v>
      </c>
      <c r="G60" s="63"/>
      <c r="I60" s="14"/>
    </row>
    <row r="61" spans="1:10">
      <c r="A61" s="2"/>
      <c r="B61" s="111" t="s">
        <v>1704</v>
      </c>
      <c r="C61" s="14"/>
      <c r="D61" s="505" t="s">
        <v>361</v>
      </c>
      <c r="E61" s="1111">
        <v>11215512.300168263</v>
      </c>
      <c r="F61" s="502" t="s">
        <v>2025</v>
      </c>
      <c r="G61" s="63"/>
      <c r="I61" s="631"/>
    </row>
    <row r="62" spans="1:10">
      <c r="A62" s="2"/>
      <c r="B62" s="111" t="s">
        <v>1705</v>
      </c>
      <c r="C62" s="14"/>
      <c r="D62" s="505" t="s">
        <v>1390</v>
      </c>
      <c r="E62" s="775">
        <v>37246762.125274956</v>
      </c>
      <c r="F62" s="502" t="s">
        <v>2025</v>
      </c>
      <c r="G62" s="63"/>
      <c r="I62" s="63"/>
    </row>
    <row r="63" spans="1:10">
      <c r="A63" s="2"/>
      <c r="B63" s="111" t="s">
        <v>1707</v>
      </c>
      <c r="C63" s="14"/>
      <c r="D63" s="368" t="s">
        <v>4</v>
      </c>
      <c r="E63" s="7">
        <f>SUM(E60:E62)</f>
        <v>71991890</v>
      </c>
      <c r="F63" s="46" t="str">
        <f>"Sum of "&amp;B60&amp;" to "&amp;B62&amp;""</f>
        <v>Sum of d to f</v>
      </c>
      <c r="G63" s="63"/>
      <c r="I63" s="14"/>
    </row>
    <row r="64" spans="1:10">
      <c r="F64" s="14"/>
      <c r="G64" s="14"/>
    </row>
    <row r="65" spans="1:10">
      <c r="B65" s="1144" t="s">
        <v>493</v>
      </c>
      <c r="C65" s="60"/>
      <c r="D65" s="60"/>
      <c r="E65" s="60"/>
      <c r="F65" s="560"/>
      <c r="G65" s="560"/>
    </row>
    <row r="66" spans="1:10">
      <c r="B66" s="60"/>
      <c r="C66" s="60"/>
      <c r="D66" s="60"/>
      <c r="E66" s="62" t="s">
        <v>175</v>
      </c>
      <c r="F66" s="1141" t="s">
        <v>238</v>
      </c>
      <c r="G66" s="560"/>
    </row>
    <row r="67" spans="1:10">
      <c r="A67" s="2"/>
      <c r="B67" s="195" t="s">
        <v>1700</v>
      </c>
      <c r="C67" s="60"/>
      <c r="D67" s="1149" t="s">
        <v>1995</v>
      </c>
      <c r="E67" s="1159">
        <v>40171333</v>
      </c>
      <c r="F67" s="5" t="s">
        <v>495</v>
      </c>
      <c r="G67" s="560"/>
    </row>
    <row r="68" spans="1:10" s="1112" customFormat="1">
      <c r="A68" s="600"/>
      <c r="B68" s="195" t="s">
        <v>1701</v>
      </c>
      <c r="C68" s="60"/>
      <c r="D68" s="1149" t="s">
        <v>2597</v>
      </c>
      <c r="E68" s="1289">
        <v>37714779</v>
      </c>
      <c r="F68" s="1147" t="s">
        <v>2598</v>
      </c>
      <c r="G68" s="560"/>
    </row>
    <row r="69" spans="1:10">
      <c r="A69" s="2"/>
      <c r="B69" s="195" t="s">
        <v>1702</v>
      </c>
      <c r="C69" s="60"/>
      <c r="D69" s="1149" t="s">
        <v>490</v>
      </c>
      <c r="E69" s="1143">
        <v>23777694</v>
      </c>
      <c r="F69" s="995" t="s">
        <v>33</v>
      </c>
      <c r="G69" s="560"/>
    </row>
    <row r="70" spans="1:10">
      <c r="A70" s="2"/>
      <c r="B70" s="195" t="s">
        <v>1703</v>
      </c>
      <c r="C70" s="60"/>
      <c r="D70" s="1142" t="s">
        <v>492</v>
      </c>
      <c r="E70" s="1145">
        <f>E69-E68</f>
        <v>-13937085</v>
      </c>
      <c r="F70" s="1146" t="str">
        <f>""&amp;B69&amp;" - "&amp;B68&amp;""</f>
        <v>c - b</v>
      </c>
      <c r="G70" s="60"/>
    </row>
    <row r="71" spans="1:10">
      <c r="A71" s="497"/>
      <c r="B71" s="1" t="s">
        <v>1463</v>
      </c>
      <c r="D71" s="94"/>
      <c r="E71" s="143"/>
      <c r="F71" s="13"/>
    </row>
    <row r="72" spans="1:10">
      <c r="A72" s="497"/>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4"/>
      <c r="E72" s="143"/>
      <c r="F72" s="13"/>
    </row>
    <row r="73" spans="1:10">
      <c r="A73" s="497"/>
      <c r="B73" s="1"/>
      <c r="C73" s="12" t="s">
        <v>1464</v>
      </c>
      <c r="D73" s="94"/>
      <c r="E73" s="143"/>
      <c r="F73" s="13"/>
    </row>
    <row r="75" spans="1:10">
      <c r="B75" s="1" t="s">
        <v>382</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505" t="s">
        <v>2032</v>
      </c>
      <c r="D77" s="14"/>
      <c r="E77" s="14"/>
      <c r="F77" s="14"/>
      <c r="G77" s="14" t="str">
        <f>"Column 3, Line "&amp;A37&amp;""</f>
        <v>Column 3, Line 24</v>
      </c>
      <c r="H77" s="14"/>
      <c r="I77" s="14"/>
      <c r="J77" s="14"/>
    </row>
    <row r="78" spans="1:10">
      <c r="C78" s="502"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502" t="s">
        <v>1691</v>
      </c>
      <c r="D79" s="14"/>
      <c r="E79" s="14"/>
      <c r="F79" s="14"/>
      <c r="G79" s="14"/>
      <c r="H79" s="14"/>
      <c r="I79" s="14"/>
      <c r="J79" s="14"/>
    </row>
    <row r="80" spans="1:10">
      <c r="C80" s="502" t="s">
        <v>1776</v>
      </c>
      <c r="D80" s="368"/>
      <c r="E80" s="498"/>
      <c r="F80" s="46"/>
      <c r="G80" s="14"/>
      <c r="H80" s="14"/>
      <c r="I80" s="14"/>
      <c r="J80" s="14"/>
    </row>
    <row r="81" spans="3:10">
      <c r="C81" s="502" t="s">
        <v>1772</v>
      </c>
      <c r="D81" s="368"/>
      <c r="E81" s="498"/>
      <c r="F81" s="46"/>
      <c r="G81" s="14"/>
      <c r="H81" s="14"/>
      <c r="I81" s="14"/>
      <c r="J81" s="14"/>
    </row>
    <row r="82" spans="3:10">
      <c r="C82" s="502" t="s">
        <v>1773</v>
      </c>
      <c r="D82" s="14"/>
      <c r="E82" s="14"/>
      <c r="F82" s="14"/>
      <c r="G82" s="14"/>
      <c r="H82" s="14"/>
      <c r="I82" s="14"/>
      <c r="J82" s="14"/>
    </row>
    <row r="83" spans="3:10">
      <c r="C83" s="46" t="s">
        <v>494</v>
      </c>
      <c r="D83" s="14"/>
      <c r="E83" s="14"/>
      <c r="F83" s="14"/>
      <c r="G83" s="14"/>
      <c r="H83" s="14"/>
      <c r="I83" s="14"/>
      <c r="J83" s="14"/>
    </row>
    <row r="84" spans="3:10">
      <c r="C84" s="502" t="s">
        <v>1774</v>
      </c>
      <c r="D84" s="14"/>
      <c r="E84" s="14"/>
      <c r="F84" s="14"/>
      <c r="G84" s="14"/>
      <c r="H84" s="14"/>
      <c r="I84" s="14"/>
      <c r="J84" s="14"/>
    </row>
    <row r="85" spans="3:10">
      <c r="C85" s="502" t="s">
        <v>1472</v>
      </c>
      <c r="D85" s="14"/>
      <c r="E85" s="14"/>
      <c r="F85" s="14"/>
      <c r="G85" s="14"/>
      <c r="H85" s="14"/>
      <c r="I85" s="14"/>
      <c r="J85" s="14"/>
    </row>
    <row r="86" spans="3:10">
      <c r="C86" s="502" t="s">
        <v>1775</v>
      </c>
      <c r="D86" s="14"/>
      <c r="E86" s="14"/>
      <c r="F86" s="14"/>
      <c r="G86" s="14"/>
      <c r="H86" s="14"/>
      <c r="I86" s="14"/>
      <c r="J86" s="14"/>
    </row>
    <row r="87" spans="3:10">
      <c r="C87" s="502" t="s">
        <v>1797</v>
      </c>
      <c r="D87" s="505"/>
      <c r="E87" s="1021"/>
      <c r="F87" s="1021"/>
      <c r="G87" s="1021"/>
      <c r="H87" s="14"/>
      <c r="I87" s="14"/>
      <c r="J87" s="14"/>
    </row>
    <row r="88" spans="3:10">
      <c r="C88" s="972" t="s">
        <v>1795</v>
      </c>
      <c r="D88" s="505"/>
      <c r="E88" s="1021"/>
      <c r="F88" s="1021"/>
      <c r="G88" s="1021"/>
      <c r="H88" s="14"/>
      <c r="I88" s="14"/>
      <c r="J88" s="14"/>
    </row>
    <row r="89" spans="3:10">
      <c r="C89" s="972" t="s">
        <v>1796</v>
      </c>
      <c r="D89" s="505"/>
      <c r="E89" s="1021"/>
      <c r="F89" s="1021"/>
      <c r="G89" s="1021"/>
      <c r="H89" s="14"/>
      <c r="I89" s="14"/>
      <c r="J89" s="14"/>
    </row>
    <row r="90" spans="3:10">
      <c r="C90" s="972" t="s">
        <v>1798</v>
      </c>
      <c r="D90" s="505"/>
      <c r="E90" s="1021"/>
      <c r="F90" s="1021"/>
      <c r="G90" s="1021"/>
      <c r="H90" s="14"/>
      <c r="I90" s="14"/>
      <c r="J90" s="14"/>
    </row>
    <row r="91" spans="3:10">
      <c r="C91" s="502" t="s">
        <v>1876</v>
      </c>
      <c r="D91" s="505"/>
      <c r="E91" s="1021"/>
      <c r="F91" s="1021"/>
      <c r="G91" s="1021"/>
      <c r="H91" s="14"/>
      <c r="I91" s="14"/>
      <c r="J91" s="14"/>
    </row>
    <row r="92" spans="3:10">
      <c r="C92" s="972" t="s">
        <v>1874</v>
      </c>
      <c r="D92" s="505"/>
      <c r="E92" s="1021"/>
      <c r="F92" s="1021"/>
      <c r="G92" s="1021"/>
      <c r="H92" s="14"/>
      <c r="I92" s="14"/>
      <c r="J92" s="14"/>
    </row>
    <row r="93" spans="3:10">
      <c r="C93" s="972" t="s">
        <v>1875</v>
      </c>
      <c r="D93" s="505"/>
      <c r="E93" s="1021"/>
      <c r="F93" s="1021"/>
      <c r="G93" s="1021"/>
      <c r="H93" s="14"/>
      <c r="I93" s="14"/>
      <c r="J93" s="14"/>
    </row>
    <row r="94" spans="3:10">
      <c r="C94" s="972" t="s">
        <v>2444</v>
      </c>
      <c r="D94" s="505"/>
      <c r="E94" s="1021"/>
      <c r="F94" s="1021"/>
      <c r="G94" s="1021"/>
      <c r="H94" s="14"/>
      <c r="I94" s="14"/>
      <c r="J94" s="14"/>
    </row>
    <row r="95" spans="3:10">
      <c r="C95" s="972" t="s">
        <v>1877</v>
      </c>
      <c r="D95" s="505"/>
      <c r="E95" s="1021"/>
      <c r="F95" s="1021"/>
      <c r="G95" s="1021"/>
      <c r="H95" s="14"/>
      <c r="I95" s="14"/>
      <c r="J95" s="14"/>
    </row>
    <row r="96" spans="3:10">
      <c r="C96" s="1022" t="s">
        <v>2033</v>
      </c>
      <c r="D96" s="627"/>
      <c r="E96" s="627"/>
      <c r="F96" s="627"/>
      <c r="G96" s="627"/>
      <c r="H96" s="627"/>
      <c r="I96" s="627"/>
      <c r="J96" s="627"/>
    </row>
    <row r="97" spans="3:10">
      <c r="C97" s="505" t="s">
        <v>2034</v>
      </c>
      <c r="D97" s="14"/>
      <c r="E97" s="14"/>
      <c r="F97" s="14"/>
      <c r="G97" s="14"/>
      <c r="H97" s="14"/>
      <c r="I97" s="14"/>
      <c r="J97" s="14"/>
    </row>
    <row r="98" spans="3:10">
      <c r="C98" s="1022" t="s">
        <v>2035</v>
      </c>
      <c r="D98" s="643"/>
      <c r="E98" s="643"/>
      <c r="F98" s="643"/>
      <c r="G98" s="643"/>
      <c r="H98" s="643"/>
      <c r="I98" s="643"/>
      <c r="J98" s="14"/>
    </row>
    <row r="99" spans="3:10">
      <c r="C99" s="15" t="str">
        <f>"4) Determine the PBOPs exclusion.  The authorized amount of PBOPs expense (line "&amp;B67&amp;") may only be revised"</f>
        <v>4) Determine the PBOPs exclusion.  The authorized amount of PBOPs expense (line a) may only be revised</v>
      </c>
      <c r="D99" s="14"/>
      <c r="E99" s="14"/>
      <c r="F99" s="14"/>
      <c r="G99" s="14"/>
      <c r="H99" s="14"/>
      <c r="I99" s="14"/>
      <c r="J99" s="14"/>
    </row>
    <row r="100" spans="3:10">
      <c r="C100" s="15" t="s">
        <v>1108</v>
      </c>
      <c r="D100" s="14"/>
      <c r="E100" s="14"/>
      <c r="F100" s="14"/>
      <c r="G100" s="14"/>
      <c r="H100" s="14"/>
      <c r="I100" s="14"/>
      <c r="J100" s="14"/>
    </row>
    <row r="101" spans="3:10">
      <c r="C101" s="505" t="s">
        <v>2599</v>
      </c>
      <c r="D101" s="14"/>
      <c r="E101" s="14"/>
      <c r="F101" s="14"/>
      <c r="G101" s="14"/>
      <c r="H101" s="14"/>
      <c r="I101" s="14"/>
      <c r="J101" s="14"/>
    </row>
    <row r="102" spans="3:10" ht="15">
      <c r="C102" s="505" t="s">
        <v>2600</v>
      </c>
      <c r="D102" s="14"/>
      <c r="E102" s="14"/>
      <c r="F102" s="14"/>
      <c r="G102" s="14"/>
      <c r="H102" s="14"/>
      <c r="I102" s="1363"/>
      <c r="J102" s="1148" t="s">
        <v>2816</v>
      </c>
    </row>
    <row r="103" spans="3:10">
      <c r="C103" s="505" t="s">
        <v>1840</v>
      </c>
      <c r="D103" s="14"/>
      <c r="E103" s="14"/>
      <c r="F103" s="14"/>
      <c r="G103" s="14"/>
      <c r="H103" s="14"/>
      <c r="I103" s="14"/>
    </row>
  </sheetData>
  <phoneticPr fontId="23" type="noConversion"/>
  <pageMargins left="0.75" right="0.75" top="1" bottom="1" header="0.5" footer="0.5"/>
  <pageSetup scale="73" orientation="landscape" cellComments="asDisplayed" r:id="rId1"/>
  <headerFooter alignWithMargins="0">
    <oddHeader>&amp;CSchedule 20
Administrative and General Expenses
&amp;RExhibit SCE-4
TO2018 Formula Rate Spreadsheet</oddHeader>
    <oddFooter>&amp;R&amp;A</oddFooter>
  </headerFooter>
  <rowBreaks count="2" manualBreakCount="2">
    <brk id="50" max="9" man="1"/>
    <brk id="7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9"/>
  <sheetViews>
    <sheetView zoomScale="90" zoomScaleNormal="90" zoomScalePageLayoutView="80" workbookViewId="0">
      <selection activeCell="A3" sqref="A3"/>
    </sheetView>
  </sheetViews>
  <sheetFormatPr defaultRowHeight="12.75"/>
  <cols>
    <col min="1" max="1" width="6.28515625" style="227" customWidth="1"/>
    <col min="2" max="2" width="8.5703125" style="41" customWidth="1"/>
    <col min="3" max="3" width="9.85546875" style="227" customWidth="1"/>
    <col min="4" max="4" width="51.5703125" style="41" customWidth="1"/>
    <col min="5" max="5" width="16.28515625" style="362" customWidth="1"/>
    <col min="6" max="6" width="16.140625" style="362" customWidth="1"/>
    <col min="7" max="7" width="18.42578125" style="362" bestFit="1" customWidth="1"/>
    <col min="8" max="8" width="15.85546875" style="225" bestFit="1" customWidth="1"/>
    <col min="9" max="9" width="16.85546875" style="225" bestFit="1" customWidth="1"/>
    <col min="10" max="10" width="15.7109375" style="362" customWidth="1"/>
    <col min="11" max="11" width="6.5703125" style="318" customWidth="1"/>
    <col min="12" max="12" width="16.42578125" style="304" customWidth="1"/>
    <col min="13" max="13" width="17.140625" style="217" bestFit="1" customWidth="1"/>
    <col min="14" max="14" width="18.42578125" style="362" bestFit="1" customWidth="1"/>
    <col min="15" max="15" width="8.5703125" style="217" customWidth="1"/>
  </cols>
  <sheetData>
    <row r="1" spans="1:15">
      <c r="A1" s="340"/>
      <c r="B1" s="196" t="s">
        <v>561</v>
      </c>
      <c r="C1" s="197" t="s">
        <v>562</v>
      </c>
      <c r="D1" s="196" t="s">
        <v>563</v>
      </c>
      <c r="E1" s="197" t="s">
        <v>564</v>
      </c>
      <c r="F1" s="196" t="s">
        <v>565</v>
      </c>
      <c r="G1" s="197" t="s">
        <v>566</v>
      </c>
      <c r="H1" s="196" t="s">
        <v>567</v>
      </c>
      <c r="I1" s="197" t="s">
        <v>568</v>
      </c>
      <c r="J1" s="196" t="s">
        <v>569</v>
      </c>
      <c r="K1" s="197" t="s">
        <v>570</v>
      </c>
      <c r="L1" s="196" t="s">
        <v>571</v>
      </c>
      <c r="M1" s="197" t="s">
        <v>572</v>
      </c>
      <c r="N1" s="196" t="s">
        <v>573</v>
      </c>
      <c r="O1" s="197" t="s">
        <v>574</v>
      </c>
    </row>
    <row r="2" spans="1:15">
      <c r="A2" s="337"/>
      <c r="B2" s="338"/>
      <c r="C2" s="338"/>
      <c r="D2" s="338"/>
      <c r="E2" s="339"/>
      <c r="F2" s="339"/>
      <c r="G2" s="1412" t="s">
        <v>575</v>
      </c>
      <c r="H2" s="1413"/>
      <c r="I2" s="1414"/>
      <c r="J2" s="1412" t="s">
        <v>576</v>
      </c>
      <c r="K2" s="1413"/>
      <c r="L2" s="1413"/>
      <c r="M2" s="1414"/>
      <c r="N2" s="321" t="s">
        <v>577</v>
      </c>
      <c r="O2" s="337"/>
    </row>
    <row r="3" spans="1:15" ht="25.5">
      <c r="A3" s="198" t="s">
        <v>332</v>
      </c>
      <c r="B3" s="199" t="s">
        <v>578</v>
      </c>
      <c r="C3" s="200" t="s">
        <v>579</v>
      </c>
      <c r="D3" s="199" t="s">
        <v>580</v>
      </c>
      <c r="E3" s="294" t="s">
        <v>581</v>
      </c>
      <c r="F3" s="295" t="s">
        <v>582</v>
      </c>
      <c r="G3" s="295" t="s">
        <v>196</v>
      </c>
      <c r="H3" s="201" t="s">
        <v>435</v>
      </c>
      <c r="I3" s="201" t="s">
        <v>583</v>
      </c>
      <c r="J3" s="294" t="s">
        <v>196</v>
      </c>
      <c r="K3" s="317" t="s">
        <v>584</v>
      </c>
      <c r="L3" s="297" t="s">
        <v>585</v>
      </c>
      <c r="M3" s="202" t="s">
        <v>299</v>
      </c>
      <c r="N3" s="294" t="s">
        <v>196</v>
      </c>
      <c r="O3" s="202" t="s">
        <v>168</v>
      </c>
    </row>
    <row r="4" spans="1:15">
      <c r="A4" s="203" t="s">
        <v>586</v>
      </c>
      <c r="B4" s="204">
        <v>450</v>
      </c>
      <c r="C4" s="204" t="s">
        <v>587</v>
      </c>
      <c r="D4" s="205" t="s">
        <v>1213</v>
      </c>
      <c r="E4" s="1133">
        <v>5497689.6799999997</v>
      </c>
      <c r="F4" s="306" t="str">
        <f>$G$2</f>
        <v>Traditional OOR</v>
      </c>
      <c r="G4" s="302">
        <f>IF(F4=$G$2,E4,0)</f>
        <v>5497689.6799999997</v>
      </c>
      <c r="H4" s="206">
        <v>0</v>
      </c>
      <c r="I4" s="207">
        <f>G4-H4</f>
        <v>5497689.6799999997</v>
      </c>
      <c r="J4" s="302">
        <f>IF(F4=$J$2,E4,0)</f>
        <v>0</v>
      </c>
      <c r="K4" s="296"/>
      <c r="L4" s="306"/>
      <c r="M4" s="208">
        <f>J4-L4</f>
        <v>0</v>
      </c>
      <c r="N4" s="302">
        <f>IF(F4=$N$2,E4,0)</f>
        <v>0</v>
      </c>
      <c r="O4" s="206">
        <v>1</v>
      </c>
    </row>
    <row r="5" spans="1:15">
      <c r="A5" s="209" t="s">
        <v>588</v>
      </c>
      <c r="B5" s="204">
        <v>450</v>
      </c>
      <c r="C5" s="210" t="s">
        <v>589</v>
      </c>
      <c r="D5" s="205" t="s">
        <v>590</v>
      </c>
      <c r="E5" s="1133">
        <v>10731848.529999999</v>
      </c>
      <c r="F5" s="306" t="str">
        <f>$G$2</f>
        <v>Traditional OOR</v>
      </c>
      <c r="G5" s="302">
        <f>IF(F5=$G$2,E5,0)</f>
        <v>10731848.529999999</v>
      </c>
      <c r="H5" s="206">
        <v>0</v>
      </c>
      <c r="I5" s="207">
        <f>G5-H5</f>
        <v>10731848.529999999</v>
      </c>
      <c r="J5" s="302">
        <f>IF(F5=$J$2,E5,0)</f>
        <v>0</v>
      </c>
      <c r="K5" s="296"/>
      <c r="L5" s="306"/>
      <c r="M5" s="208">
        <f>J5-L5</f>
        <v>0</v>
      </c>
      <c r="N5" s="302">
        <f>IF(F5=$N$2,E5,0)</f>
        <v>0</v>
      </c>
      <c r="O5" s="211">
        <v>1</v>
      </c>
    </row>
    <row r="6" spans="1:15">
      <c r="A6" s="336"/>
      <c r="B6" s="332"/>
      <c r="C6" s="331"/>
      <c r="D6" s="333"/>
      <c r="E6" s="311"/>
      <c r="F6" s="311"/>
      <c r="G6" s="306"/>
      <c r="H6" s="307"/>
      <c r="I6" s="308"/>
      <c r="J6" s="306"/>
      <c r="K6" s="310"/>
      <c r="L6" s="306"/>
      <c r="M6" s="308"/>
      <c r="N6" s="306"/>
      <c r="O6" s="307"/>
    </row>
    <row r="7" spans="1:15">
      <c r="A7" s="336"/>
      <c r="B7" s="332"/>
      <c r="C7" s="331"/>
      <c r="D7" s="333"/>
      <c r="E7" s="311"/>
      <c r="F7" s="311"/>
      <c r="G7" s="306"/>
      <c r="H7" s="307"/>
      <c r="I7" s="308"/>
      <c r="J7" s="306"/>
      <c r="K7" s="310"/>
      <c r="L7" s="306"/>
      <c r="M7" s="308"/>
      <c r="N7" s="306"/>
      <c r="O7" s="307"/>
    </row>
    <row r="8" spans="1:15">
      <c r="A8" s="209">
        <v>2</v>
      </c>
      <c r="B8" s="1393" t="s">
        <v>592</v>
      </c>
      <c r="C8" s="1394"/>
      <c r="D8" s="1395"/>
      <c r="E8" s="299">
        <f>SUM(E4:E7)</f>
        <v>16229538.209999999</v>
      </c>
      <c r="F8" s="324"/>
      <c r="G8" s="299">
        <f>SUM(G4:G7)</f>
        <v>16229538.209999999</v>
      </c>
      <c r="H8" s="197">
        <f>SUM(H4:H7)</f>
        <v>0</v>
      </c>
      <c r="I8" s="315">
        <f>SUM(I4:I7)</f>
        <v>16229538.209999999</v>
      </c>
      <c r="J8" s="299">
        <f>SUM(J4:J7)</f>
        <v>0</v>
      </c>
      <c r="K8" s="324"/>
      <c r="L8" s="299">
        <f>SUM(L4:L7)</f>
        <v>0</v>
      </c>
      <c r="M8" s="299">
        <f>SUM(M4:M7)</f>
        <v>0</v>
      </c>
      <c r="N8" s="299">
        <f>SUM(N4:N7)</f>
        <v>0</v>
      </c>
      <c r="O8" s="211"/>
    </row>
    <row r="9" spans="1:15" ht="12.75" customHeight="1">
      <c r="A9" s="209">
        <v>3</v>
      </c>
      <c r="B9" s="1415" t="s">
        <v>1246</v>
      </c>
      <c r="C9" s="1416"/>
      <c r="D9" s="1417"/>
      <c r="E9" s="1269">
        <v>16229538</v>
      </c>
      <c r="F9" s="314"/>
      <c r="G9" s="300"/>
      <c r="H9" s="314"/>
      <c r="I9" s="314"/>
      <c r="J9" s="300"/>
      <c r="K9" s="314"/>
      <c r="L9" s="300"/>
      <c r="M9" s="300"/>
      <c r="N9" s="300"/>
      <c r="O9" s="195"/>
    </row>
    <row r="10" spans="1:15">
      <c r="A10" s="212"/>
      <c r="B10" s="213"/>
      <c r="C10" s="214"/>
      <c r="D10" s="215"/>
      <c r="E10" s="300"/>
      <c r="F10" s="300"/>
      <c r="G10" s="300"/>
      <c r="H10" s="314"/>
      <c r="I10" s="314"/>
      <c r="J10" s="300"/>
      <c r="K10" s="314"/>
      <c r="L10" s="300"/>
      <c r="M10" s="300"/>
      <c r="N10" s="300"/>
      <c r="O10" s="195"/>
    </row>
    <row r="11" spans="1:15">
      <c r="A11" s="209" t="s">
        <v>593</v>
      </c>
      <c r="B11" s="204">
        <v>451</v>
      </c>
      <c r="C11" s="210" t="s">
        <v>594</v>
      </c>
      <c r="D11" s="205" t="s">
        <v>595</v>
      </c>
      <c r="E11" s="1133">
        <v>141269.32999999999</v>
      </c>
      <c r="F11" s="306" t="str">
        <f t="shared" ref="F11:F17" si="0">$G$2</f>
        <v>Traditional OOR</v>
      </c>
      <c r="G11" s="302">
        <f t="shared" ref="G11:G27" si="1">IF(F11=$G$2,E11,0)</f>
        <v>141269.32999999999</v>
      </c>
      <c r="H11" s="206">
        <v>0</v>
      </c>
      <c r="I11" s="207">
        <f t="shared" ref="I11:I27" si="2">G11-H11</f>
        <v>141269.32999999999</v>
      </c>
      <c r="J11" s="302">
        <f t="shared" ref="J11:J27" si="3">IF(F11=$J$2,E11,0)</f>
        <v>0</v>
      </c>
      <c r="K11" s="302"/>
      <c r="L11" s="774"/>
      <c r="M11" s="208">
        <f t="shared" ref="M11:M17" si="4">J11-L11</f>
        <v>0</v>
      </c>
      <c r="N11" s="302">
        <f t="shared" ref="N11:N27" si="5">IF(F11=$N$2,E11,0)</f>
        <v>0</v>
      </c>
      <c r="O11" s="211">
        <v>1</v>
      </c>
    </row>
    <row r="12" spans="1:15">
      <c r="A12" s="209" t="s">
        <v>596</v>
      </c>
      <c r="B12" s="204">
        <v>451</v>
      </c>
      <c r="C12" s="210" t="s">
        <v>597</v>
      </c>
      <c r="D12" s="205" t="s">
        <v>598</v>
      </c>
      <c r="E12" s="1133">
        <v>581923.03</v>
      </c>
      <c r="F12" s="306" t="str">
        <f t="shared" si="0"/>
        <v>Traditional OOR</v>
      </c>
      <c r="G12" s="302">
        <f t="shared" si="1"/>
        <v>581923.03</v>
      </c>
      <c r="H12" s="206">
        <v>0</v>
      </c>
      <c r="I12" s="207">
        <f t="shared" si="2"/>
        <v>581923.03</v>
      </c>
      <c r="J12" s="302">
        <f t="shared" si="3"/>
        <v>0</v>
      </c>
      <c r="K12" s="302"/>
      <c r="L12" s="774"/>
      <c r="M12" s="208">
        <f t="shared" si="4"/>
        <v>0</v>
      </c>
      <c r="N12" s="302">
        <f t="shared" si="5"/>
        <v>0</v>
      </c>
      <c r="O12" s="211">
        <v>1</v>
      </c>
    </row>
    <row r="13" spans="1:15">
      <c r="A13" s="209" t="s">
        <v>599</v>
      </c>
      <c r="B13" s="204">
        <v>451</v>
      </c>
      <c r="C13" s="210" t="s">
        <v>600</v>
      </c>
      <c r="D13" s="205" t="s">
        <v>601</v>
      </c>
      <c r="E13" s="1133">
        <v>124032620</v>
      </c>
      <c r="F13" s="306" t="str">
        <f t="shared" si="0"/>
        <v>Traditional OOR</v>
      </c>
      <c r="G13" s="302">
        <f t="shared" si="1"/>
        <v>124032620</v>
      </c>
      <c r="H13" s="206">
        <v>0</v>
      </c>
      <c r="I13" s="207">
        <f t="shared" si="2"/>
        <v>124032620</v>
      </c>
      <c r="J13" s="302">
        <f t="shared" si="3"/>
        <v>0</v>
      </c>
      <c r="K13" s="302"/>
      <c r="L13" s="774"/>
      <c r="M13" s="208">
        <f t="shared" si="4"/>
        <v>0</v>
      </c>
      <c r="N13" s="302">
        <f t="shared" si="5"/>
        <v>0</v>
      </c>
      <c r="O13" s="211">
        <v>1</v>
      </c>
    </row>
    <row r="14" spans="1:15">
      <c r="A14" s="209" t="s">
        <v>602</v>
      </c>
      <c r="B14" s="204">
        <v>451</v>
      </c>
      <c r="C14" s="210" t="s">
        <v>603</v>
      </c>
      <c r="D14" s="205" t="s">
        <v>604</v>
      </c>
      <c r="E14" s="1133">
        <v>1330081.08</v>
      </c>
      <c r="F14" s="306" t="str">
        <f t="shared" si="0"/>
        <v>Traditional OOR</v>
      </c>
      <c r="G14" s="302">
        <f t="shared" si="1"/>
        <v>1330081.08</v>
      </c>
      <c r="H14" s="206">
        <v>0</v>
      </c>
      <c r="I14" s="207">
        <f t="shared" si="2"/>
        <v>1330081.08</v>
      </c>
      <c r="J14" s="302">
        <f t="shared" si="3"/>
        <v>0</v>
      </c>
      <c r="K14" s="302"/>
      <c r="L14" s="774"/>
      <c r="M14" s="208">
        <f t="shared" si="4"/>
        <v>0</v>
      </c>
      <c r="N14" s="302">
        <f t="shared" si="5"/>
        <v>0</v>
      </c>
      <c r="O14" s="211">
        <v>1</v>
      </c>
    </row>
    <row r="15" spans="1:15">
      <c r="A15" s="209" t="s">
        <v>605</v>
      </c>
      <c r="B15" s="204">
        <v>451</v>
      </c>
      <c r="C15" s="210" t="s">
        <v>606</v>
      </c>
      <c r="D15" s="205" t="s">
        <v>607</v>
      </c>
      <c r="E15" s="1133">
        <v>6930.92</v>
      </c>
      <c r="F15" s="306" t="str">
        <f t="shared" si="0"/>
        <v>Traditional OOR</v>
      </c>
      <c r="G15" s="302">
        <f t="shared" si="1"/>
        <v>6930.92</v>
      </c>
      <c r="H15" s="206">
        <v>0</v>
      </c>
      <c r="I15" s="207">
        <f t="shared" si="2"/>
        <v>6930.92</v>
      </c>
      <c r="J15" s="302">
        <f t="shared" si="3"/>
        <v>0</v>
      </c>
      <c r="K15" s="302"/>
      <c r="L15" s="774"/>
      <c r="M15" s="208">
        <f t="shared" si="4"/>
        <v>0</v>
      </c>
      <c r="N15" s="302">
        <f t="shared" si="5"/>
        <v>0</v>
      </c>
      <c r="O15" s="211">
        <v>1</v>
      </c>
    </row>
    <row r="16" spans="1:15">
      <c r="A16" s="209" t="s">
        <v>608</v>
      </c>
      <c r="B16" s="204">
        <v>451</v>
      </c>
      <c r="C16" s="210" t="s">
        <v>609</v>
      </c>
      <c r="D16" s="205" t="s">
        <v>610</v>
      </c>
      <c r="E16" s="1133">
        <v>-41.12</v>
      </c>
      <c r="F16" s="306" t="str">
        <f t="shared" si="0"/>
        <v>Traditional OOR</v>
      </c>
      <c r="G16" s="302">
        <f t="shared" si="1"/>
        <v>-41.12</v>
      </c>
      <c r="H16" s="206">
        <v>0</v>
      </c>
      <c r="I16" s="207">
        <f t="shared" si="2"/>
        <v>-41.12</v>
      </c>
      <c r="J16" s="302">
        <f t="shared" si="3"/>
        <v>0</v>
      </c>
      <c r="K16" s="302"/>
      <c r="L16" s="774"/>
      <c r="M16" s="208">
        <f t="shared" si="4"/>
        <v>0</v>
      </c>
      <c r="N16" s="302">
        <f t="shared" si="5"/>
        <v>0</v>
      </c>
      <c r="O16" s="211">
        <v>1</v>
      </c>
    </row>
    <row r="17" spans="1:15">
      <c r="A17" s="209" t="s">
        <v>611</v>
      </c>
      <c r="B17" s="204">
        <v>451</v>
      </c>
      <c r="C17" s="210" t="s">
        <v>612</v>
      </c>
      <c r="D17" s="205" t="s">
        <v>613</v>
      </c>
      <c r="E17" s="1133">
        <v>34</v>
      </c>
      <c r="F17" s="306" t="str">
        <f t="shared" si="0"/>
        <v>Traditional OOR</v>
      </c>
      <c r="G17" s="302">
        <f t="shared" si="1"/>
        <v>34</v>
      </c>
      <c r="H17" s="206">
        <v>0</v>
      </c>
      <c r="I17" s="207">
        <f t="shared" si="2"/>
        <v>34</v>
      </c>
      <c r="J17" s="302">
        <f t="shared" si="3"/>
        <v>0</v>
      </c>
      <c r="K17" s="302"/>
      <c r="L17" s="774"/>
      <c r="M17" s="208">
        <f t="shared" si="4"/>
        <v>0</v>
      </c>
      <c r="N17" s="302">
        <f t="shared" si="5"/>
        <v>0</v>
      </c>
      <c r="O17" s="211">
        <v>1</v>
      </c>
    </row>
    <row r="18" spans="1:15">
      <c r="A18" s="209" t="s">
        <v>614</v>
      </c>
      <c r="B18" s="204">
        <v>451</v>
      </c>
      <c r="C18" s="210" t="s">
        <v>615</v>
      </c>
      <c r="D18" s="205" t="s">
        <v>616</v>
      </c>
      <c r="E18" s="1133">
        <v>60.7</v>
      </c>
      <c r="F18" s="306" t="str">
        <f>$J$2</f>
        <v>GRSM</v>
      </c>
      <c r="G18" s="302">
        <f t="shared" si="1"/>
        <v>0</v>
      </c>
      <c r="H18" s="206">
        <v>0</v>
      </c>
      <c r="I18" s="207">
        <f t="shared" si="2"/>
        <v>0</v>
      </c>
      <c r="J18" s="302">
        <f t="shared" si="3"/>
        <v>60.7</v>
      </c>
      <c r="K18" s="341" t="s">
        <v>617</v>
      </c>
      <c r="L18" s="774">
        <v>14.544864913970001</v>
      </c>
      <c r="M18" s="208">
        <f>J18-L18</f>
        <v>46.15513508603</v>
      </c>
      <c r="N18" s="302">
        <f t="shared" si="5"/>
        <v>0</v>
      </c>
      <c r="O18" s="211">
        <v>2</v>
      </c>
    </row>
    <row r="19" spans="1:15">
      <c r="A19" s="209" t="s">
        <v>618</v>
      </c>
      <c r="B19" s="204">
        <v>451</v>
      </c>
      <c r="C19" s="210" t="s">
        <v>619</v>
      </c>
      <c r="D19" s="205" t="s">
        <v>620</v>
      </c>
      <c r="E19" s="1133">
        <v>329733.03000000003</v>
      </c>
      <c r="F19" s="306" t="str">
        <f>$N$2</f>
        <v>Other Ratemaking</v>
      </c>
      <c r="G19" s="302">
        <f t="shared" si="1"/>
        <v>0</v>
      </c>
      <c r="H19" s="206">
        <v>0</v>
      </c>
      <c r="I19" s="207">
        <f t="shared" si="2"/>
        <v>0</v>
      </c>
      <c r="J19" s="302">
        <f t="shared" si="3"/>
        <v>0</v>
      </c>
      <c r="K19" s="302"/>
      <c r="L19" s="774"/>
      <c r="M19" s="208">
        <f>J19-L19</f>
        <v>0</v>
      </c>
      <c r="N19" s="302">
        <f t="shared" si="5"/>
        <v>329733.03000000003</v>
      </c>
      <c r="O19" s="211">
        <v>6</v>
      </c>
    </row>
    <row r="20" spans="1:15">
      <c r="A20" s="203" t="s">
        <v>2085</v>
      </c>
      <c r="B20" s="204">
        <v>451</v>
      </c>
      <c r="C20" s="204">
        <v>4182120</v>
      </c>
      <c r="D20" s="222" t="s">
        <v>2086</v>
      </c>
      <c r="E20" s="1133">
        <v>2586.79</v>
      </c>
      <c r="F20" s="306" t="s">
        <v>575</v>
      </c>
      <c r="G20" s="302">
        <f t="shared" si="1"/>
        <v>2586.79</v>
      </c>
      <c r="H20" s="206">
        <v>0</v>
      </c>
      <c r="I20" s="207">
        <f t="shared" si="2"/>
        <v>2586.79</v>
      </c>
      <c r="J20" s="302">
        <f t="shared" si="3"/>
        <v>0</v>
      </c>
      <c r="K20" s="302"/>
      <c r="L20" s="774"/>
      <c r="M20" s="207">
        <f t="shared" ref="M20:M27" si="6">J20-L20</f>
        <v>0</v>
      </c>
      <c r="N20" s="302">
        <f t="shared" si="5"/>
        <v>0</v>
      </c>
      <c r="O20" s="206">
        <v>1</v>
      </c>
    </row>
    <row r="21" spans="1:15">
      <c r="A21" s="203" t="s">
        <v>2087</v>
      </c>
      <c r="B21" s="204">
        <v>451</v>
      </c>
      <c r="C21" s="204">
        <v>4192152</v>
      </c>
      <c r="D21" s="222" t="s">
        <v>2088</v>
      </c>
      <c r="E21" s="1133">
        <v>1770</v>
      </c>
      <c r="F21" s="306" t="s">
        <v>577</v>
      </c>
      <c r="G21" s="302">
        <f t="shared" si="1"/>
        <v>0</v>
      </c>
      <c r="H21" s="206">
        <v>0</v>
      </c>
      <c r="I21" s="207">
        <f t="shared" si="2"/>
        <v>0</v>
      </c>
      <c r="J21" s="302">
        <f t="shared" si="3"/>
        <v>0</v>
      </c>
      <c r="K21" s="302"/>
      <c r="L21" s="774"/>
      <c r="M21" s="207">
        <f t="shared" si="6"/>
        <v>0</v>
      </c>
      <c r="N21" s="302">
        <f t="shared" si="5"/>
        <v>1770</v>
      </c>
      <c r="O21" s="206">
        <v>1</v>
      </c>
    </row>
    <row r="22" spans="1:15">
      <c r="A22" s="203" t="s">
        <v>2089</v>
      </c>
      <c r="B22" s="204">
        <v>451</v>
      </c>
      <c r="C22" s="204">
        <v>4192155</v>
      </c>
      <c r="D22" s="222" t="s">
        <v>2090</v>
      </c>
      <c r="E22" s="1133">
        <v>65755</v>
      </c>
      <c r="F22" s="306" t="s">
        <v>577</v>
      </c>
      <c r="G22" s="302">
        <f t="shared" si="1"/>
        <v>0</v>
      </c>
      <c r="H22" s="206">
        <v>0</v>
      </c>
      <c r="I22" s="207">
        <f t="shared" si="2"/>
        <v>0</v>
      </c>
      <c r="J22" s="302">
        <f t="shared" si="3"/>
        <v>0</v>
      </c>
      <c r="K22" s="302"/>
      <c r="L22" s="774"/>
      <c r="M22" s="207">
        <f t="shared" si="6"/>
        <v>0</v>
      </c>
      <c r="N22" s="302">
        <f t="shared" si="5"/>
        <v>65755</v>
      </c>
      <c r="O22" s="206">
        <v>1</v>
      </c>
    </row>
    <row r="23" spans="1:15">
      <c r="A23" s="203" t="s">
        <v>2091</v>
      </c>
      <c r="B23" s="204">
        <v>451</v>
      </c>
      <c r="C23" s="204">
        <v>4192158</v>
      </c>
      <c r="D23" s="222" t="s">
        <v>2092</v>
      </c>
      <c r="E23" s="1133">
        <v>50925</v>
      </c>
      <c r="F23" s="306" t="s">
        <v>577</v>
      </c>
      <c r="G23" s="302">
        <f t="shared" si="1"/>
        <v>0</v>
      </c>
      <c r="H23" s="206">
        <v>0</v>
      </c>
      <c r="I23" s="207">
        <f t="shared" si="2"/>
        <v>0</v>
      </c>
      <c r="J23" s="302">
        <f t="shared" si="3"/>
        <v>0</v>
      </c>
      <c r="K23" s="302"/>
      <c r="L23" s="774"/>
      <c r="M23" s="207">
        <f t="shared" si="6"/>
        <v>0</v>
      </c>
      <c r="N23" s="302">
        <f t="shared" si="5"/>
        <v>50925</v>
      </c>
      <c r="O23" s="206">
        <v>1</v>
      </c>
    </row>
    <row r="24" spans="1:15">
      <c r="A24" s="203" t="s">
        <v>2093</v>
      </c>
      <c r="B24" s="204">
        <v>451</v>
      </c>
      <c r="C24" s="204">
        <v>4192160</v>
      </c>
      <c r="D24" s="222" t="s">
        <v>2094</v>
      </c>
      <c r="E24" s="1133">
        <v>464105</v>
      </c>
      <c r="F24" s="306" t="s">
        <v>577</v>
      </c>
      <c r="G24" s="302">
        <f t="shared" si="1"/>
        <v>0</v>
      </c>
      <c r="H24" s="206">
        <v>0</v>
      </c>
      <c r="I24" s="207">
        <f t="shared" si="2"/>
        <v>0</v>
      </c>
      <c r="J24" s="302">
        <f t="shared" si="3"/>
        <v>0</v>
      </c>
      <c r="K24" s="302"/>
      <c r="L24" s="774"/>
      <c r="M24" s="207">
        <f t="shared" si="6"/>
        <v>0</v>
      </c>
      <c r="N24" s="302">
        <f t="shared" si="5"/>
        <v>464105</v>
      </c>
      <c r="O24" s="206">
        <v>1</v>
      </c>
    </row>
    <row r="25" spans="1:15" s="1112" customFormat="1">
      <c r="A25" s="203" t="s">
        <v>2244</v>
      </c>
      <c r="B25" s="204">
        <v>451</v>
      </c>
      <c r="C25" s="204">
        <v>4192135</v>
      </c>
      <c r="D25" s="1131" t="s">
        <v>2245</v>
      </c>
      <c r="E25" s="1133">
        <v>5808216.8099999996</v>
      </c>
      <c r="F25" s="1220" t="s">
        <v>575</v>
      </c>
      <c r="G25" s="302">
        <f t="shared" si="1"/>
        <v>5808216.8099999996</v>
      </c>
      <c r="H25" s="206">
        <v>0</v>
      </c>
      <c r="I25" s="207">
        <f t="shared" si="2"/>
        <v>5808216.8099999996</v>
      </c>
      <c r="J25" s="302">
        <f t="shared" si="3"/>
        <v>0</v>
      </c>
      <c r="K25" s="302"/>
      <c r="L25" s="774"/>
      <c r="M25" s="207">
        <f t="shared" si="6"/>
        <v>0</v>
      </c>
      <c r="N25" s="302">
        <f t="shared" si="5"/>
        <v>0</v>
      </c>
      <c r="O25" s="206">
        <v>1</v>
      </c>
    </row>
    <row r="26" spans="1:15" s="1112" customFormat="1">
      <c r="A26" s="203" t="s">
        <v>2246</v>
      </c>
      <c r="B26" s="204">
        <v>451</v>
      </c>
      <c r="C26" s="204">
        <v>4192145</v>
      </c>
      <c r="D26" s="1131" t="s">
        <v>2247</v>
      </c>
      <c r="E26" s="1133">
        <v>2197297.34</v>
      </c>
      <c r="F26" s="1220" t="s">
        <v>575</v>
      </c>
      <c r="G26" s="302">
        <f t="shared" si="1"/>
        <v>2197297.34</v>
      </c>
      <c r="H26" s="206">
        <v>0</v>
      </c>
      <c r="I26" s="207">
        <f t="shared" si="2"/>
        <v>2197297.34</v>
      </c>
      <c r="J26" s="302">
        <f t="shared" si="3"/>
        <v>0</v>
      </c>
      <c r="K26" s="302"/>
      <c r="L26" s="774"/>
      <c r="M26" s="207">
        <f t="shared" si="6"/>
        <v>0</v>
      </c>
      <c r="N26" s="302">
        <f t="shared" si="5"/>
        <v>0</v>
      </c>
      <c r="O26" s="206">
        <v>1</v>
      </c>
    </row>
    <row r="27" spans="1:15" s="1112" customFormat="1">
      <c r="A27" s="203" t="s">
        <v>2248</v>
      </c>
      <c r="B27" s="204">
        <v>451</v>
      </c>
      <c r="C27" s="204">
        <v>4192150</v>
      </c>
      <c r="D27" s="1131" t="s">
        <v>2249</v>
      </c>
      <c r="E27" s="1133">
        <v>20731.88</v>
      </c>
      <c r="F27" s="1220" t="s">
        <v>575</v>
      </c>
      <c r="G27" s="302">
        <f t="shared" si="1"/>
        <v>20731.88</v>
      </c>
      <c r="H27" s="206">
        <v>0</v>
      </c>
      <c r="I27" s="207">
        <f t="shared" si="2"/>
        <v>20731.88</v>
      </c>
      <c r="J27" s="302">
        <f t="shared" si="3"/>
        <v>0</v>
      </c>
      <c r="K27" s="302"/>
      <c r="L27" s="774"/>
      <c r="M27" s="207">
        <f t="shared" si="6"/>
        <v>0</v>
      </c>
      <c r="N27" s="302">
        <f t="shared" si="5"/>
        <v>0</v>
      </c>
      <c r="O27" s="206">
        <v>1</v>
      </c>
    </row>
    <row r="28" spans="1:15">
      <c r="A28" s="336"/>
      <c r="B28" s="332"/>
      <c r="C28" s="332"/>
      <c r="D28" s="773"/>
      <c r="E28" s="306"/>
      <c r="F28" s="306"/>
      <c r="G28" s="306"/>
      <c r="H28" s="307"/>
      <c r="I28" s="308"/>
      <c r="J28" s="306"/>
      <c r="K28" s="306"/>
      <c r="L28" s="308"/>
      <c r="M28" s="308"/>
      <c r="N28" s="306"/>
      <c r="O28" s="307"/>
    </row>
    <row r="29" spans="1:15">
      <c r="A29" s="336"/>
      <c r="B29" s="332"/>
      <c r="C29" s="331"/>
      <c r="D29" s="773"/>
      <c r="E29" s="306"/>
      <c r="F29" s="306"/>
      <c r="G29" s="310"/>
      <c r="H29" s="307"/>
      <c r="I29" s="308"/>
      <c r="J29" s="306"/>
      <c r="K29" s="306"/>
      <c r="L29" s="308"/>
      <c r="M29" s="308"/>
      <c r="N29" s="306"/>
      <c r="O29" s="307"/>
    </row>
    <row r="30" spans="1:15">
      <c r="A30" s="209">
        <v>5</v>
      </c>
      <c r="B30" s="1393" t="s">
        <v>621</v>
      </c>
      <c r="C30" s="1394"/>
      <c r="D30" s="1395"/>
      <c r="E30" s="299">
        <f>SUM(E11:E29)</f>
        <v>135033998.78999999</v>
      </c>
      <c r="F30" s="324"/>
      <c r="G30" s="299">
        <f>SUM(G11:G29)</f>
        <v>134121650.06</v>
      </c>
      <c r="H30" s="197">
        <f>SUM(H11:H29)</f>
        <v>0</v>
      </c>
      <c r="I30" s="315">
        <f>SUM(I11:I29)</f>
        <v>134121650.06</v>
      </c>
      <c r="J30" s="299">
        <f>SUM(J11:J29)</f>
        <v>60.7</v>
      </c>
      <c r="K30" s="324"/>
      <c r="L30" s="299">
        <f>SUM(L11:L29)</f>
        <v>14.544864913970001</v>
      </c>
      <c r="M30" s="299">
        <f>SUM(M11:M29)</f>
        <v>46.15513508603</v>
      </c>
      <c r="N30" s="299">
        <f>SUM(N11:N29)</f>
        <v>912288.03</v>
      </c>
      <c r="O30" s="211"/>
    </row>
    <row r="31" spans="1:15" ht="25.5" customHeight="1">
      <c r="A31" s="209">
        <v>6</v>
      </c>
      <c r="B31" s="1415" t="s">
        <v>1247</v>
      </c>
      <c r="C31" s="1416"/>
      <c r="D31" s="1417"/>
      <c r="E31" s="1269">
        <v>135033999</v>
      </c>
      <c r="F31" s="314"/>
      <c r="G31" s="300"/>
      <c r="H31" s="216"/>
      <c r="I31" s="216"/>
      <c r="J31" s="300"/>
      <c r="K31" s="314"/>
      <c r="L31" s="300"/>
      <c r="M31" s="300"/>
      <c r="N31" s="300"/>
    </row>
    <row r="32" spans="1:15">
      <c r="A32" s="218"/>
      <c r="B32" s="213"/>
      <c r="C32" s="214"/>
      <c r="D32" s="215"/>
      <c r="E32" s="300"/>
      <c r="F32" s="300"/>
      <c r="G32" s="300"/>
      <c r="H32" s="216"/>
      <c r="I32" s="216"/>
      <c r="J32" s="300"/>
      <c r="K32" s="314"/>
      <c r="L32" s="300"/>
      <c r="M32" s="300"/>
      <c r="N32" s="300"/>
    </row>
    <row r="33" spans="1:15">
      <c r="A33" s="336"/>
      <c r="B33" s="332"/>
      <c r="C33" s="331"/>
      <c r="D33" s="333"/>
      <c r="E33" s="306"/>
      <c r="F33" s="306"/>
      <c r="G33" s="310"/>
      <c r="H33" s="307"/>
      <c r="I33" s="308"/>
      <c r="J33" s="306"/>
      <c r="K33" s="306"/>
      <c r="L33" s="308"/>
      <c r="M33" s="308"/>
      <c r="N33" s="306"/>
      <c r="O33" s="307"/>
    </row>
    <row r="34" spans="1:15">
      <c r="A34" s="336"/>
      <c r="B34" s="332"/>
      <c r="C34" s="331"/>
      <c r="D34" s="333"/>
      <c r="E34" s="306"/>
      <c r="F34" s="306"/>
      <c r="G34" s="310"/>
      <c r="H34" s="307"/>
      <c r="I34" s="308"/>
      <c r="J34" s="306"/>
      <c r="K34" s="306"/>
      <c r="L34" s="308"/>
      <c r="M34" s="308"/>
      <c r="N34" s="306"/>
      <c r="O34" s="307"/>
    </row>
    <row r="35" spans="1:15">
      <c r="A35" s="209">
        <v>8</v>
      </c>
      <c r="B35" s="1393" t="s">
        <v>622</v>
      </c>
      <c r="C35" s="1394"/>
      <c r="D35" s="1395"/>
      <c r="E35" s="315">
        <f>SUM(E33:E34)</f>
        <v>0</v>
      </c>
      <c r="F35" s="324"/>
      <c r="G35" s="315">
        <f>SUM(G33:G34)</f>
        <v>0</v>
      </c>
      <c r="H35" s="197">
        <f>SUM(H33:H34)</f>
        <v>0</v>
      </c>
      <c r="I35" s="315">
        <f>SUM(I33:I34)</f>
        <v>0</v>
      </c>
      <c r="J35" s="315">
        <f>SUM(J33:J34)</f>
        <v>0</v>
      </c>
      <c r="K35" s="324"/>
      <c r="L35" s="315">
        <f>SUM(L33:L34)</f>
        <v>0</v>
      </c>
      <c r="M35" s="315">
        <f>SUM(M33:M34)</f>
        <v>0</v>
      </c>
      <c r="N35" s="315">
        <f>SUM(N33:N34)</f>
        <v>0</v>
      </c>
      <c r="O35" s="197"/>
    </row>
    <row r="36" spans="1:15" ht="25.5" customHeight="1">
      <c r="A36" s="209">
        <v>9</v>
      </c>
      <c r="B36" s="1418" t="s">
        <v>1248</v>
      </c>
      <c r="C36" s="1409"/>
      <c r="D36" s="1409"/>
      <c r="E36" s="327"/>
      <c r="F36" s="314"/>
      <c r="G36" s="300"/>
      <c r="H36" s="216"/>
      <c r="I36" s="220"/>
      <c r="J36" s="300"/>
      <c r="K36" s="314"/>
      <c r="L36" s="300"/>
      <c r="M36" s="300"/>
      <c r="N36" s="300"/>
      <c r="O36" s="195"/>
    </row>
    <row r="37" spans="1:15">
      <c r="A37" s="212"/>
      <c r="B37" s="213"/>
      <c r="C37" s="214"/>
      <c r="D37" s="215"/>
      <c r="E37" s="300"/>
      <c r="F37" s="300"/>
      <c r="G37" s="300"/>
      <c r="H37" s="216"/>
      <c r="I37" s="220"/>
      <c r="J37" s="300"/>
      <c r="K37" s="314"/>
      <c r="L37" s="300"/>
      <c r="M37" s="300"/>
      <c r="N37" s="300"/>
      <c r="O37" s="195"/>
    </row>
    <row r="38" spans="1:15">
      <c r="A38" s="209" t="s">
        <v>623</v>
      </c>
      <c r="B38" s="204">
        <v>454</v>
      </c>
      <c r="C38" s="205" t="s">
        <v>627</v>
      </c>
      <c r="D38" s="205" t="s">
        <v>628</v>
      </c>
      <c r="E38" s="1133">
        <v>519853.4</v>
      </c>
      <c r="F38" s="306" t="str">
        <f t="shared" ref="F38:F41" si="7">$G$2</f>
        <v>Traditional OOR</v>
      </c>
      <c r="G38" s="302">
        <f>IF(F38=$G$2,E38,0)</f>
        <v>519853.4</v>
      </c>
      <c r="H38" s="207">
        <v>0</v>
      </c>
      <c r="I38" s="207">
        <f t="shared" ref="I38:I46" si="8">G38-H38</f>
        <v>519853.4</v>
      </c>
      <c r="J38" s="302">
        <f t="shared" ref="J38:J63" si="9">IF(F38=$J$2,E38,0)</f>
        <v>0</v>
      </c>
      <c r="K38" s="302"/>
      <c r="L38" s="774"/>
      <c r="M38" s="207">
        <f t="shared" ref="M38:M41" si="10">J38-L38</f>
        <v>0</v>
      </c>
      <c r="N38" s="302">
        <f t="shared" ref="N38:N61" si="11">IF(F38=$N$2,E38,0)</f>
        <v>0</v>
      </c>
      <c r="O38" s="206">
        <v>4</v>
      </c>
    </row>
    <row r="39" spans="1:15">
      <c r="A39" s="209" t="s">
        <v>624</v>
      </c>
      <c r="B39" s="204">
        <v>454</v>
      </c>
      <c r="C39" s="210" t="s">
        <v>630</v>
      </c>
      <c r="D39" s="205" t="s">
        <v>631</v>
      </c>
      <c r="E39" s="1133">
        <v>3323161.54</v>
      </c>
      <c r="F39" s="306" t="str">
        <f t="shared" si="7"/>
        <v>Traditional OOR</v>
      </c>
      <c r="G39" s="302">
        <f t="shared" ref="G39:G61" si="12">IF(F39=$G$2,E39,0)</f>
        <v>3323161.54</v>
      </c>
      <c r="H39" s="207">
        <v>0</v>
      </c>
      <c r="I39" s="207">
        <f t="shared" si="8"/>
        <v>3323161.54</v>
      </c>
      <c r="J39" s="302">
        <f t="shared" si="9"/>
        <v>0</v>
      </c>
      <c r="K39" s="302"/>
      <c r="L39" s="774"/>
      <c r="M39" s="208">
        <f t="shared" si="10"/>
        <v>0</v>
      </c>
      <c r="N39" s="302">
        <f t="shared" si="11"/>
        <v>0</v>
      </c>
      <c r="O39" s="211">
        <v>4</v>
      </c>
    </row>
    <row r="40" spans="1:15">
      <c r="A40" s="209" t="s">
        <v>625</v>
      </c>
      <c r="B40" s="204">
        <v>454</v>
      </c>
      <c r="C40" s="210" t="s">
        <v>633</v>
      </c>
      <c r="D40" s="205" t="s">
        <v>634</v>
      </c>
      <c r="E40" s="1133">
        <v>599120</v>
      </c>
      <c r="F40" s="306" t="str">
        <f t="shared" si="7"/>
        <v>Traditional OOR</v>
      </c>
      <c r="G40" s="302">
        <f t="shared" si="12"/>
        <v>599120</v>
      </c>
      <c r="H40" s="207">
        <v>0</v>
      </c>
      <c r="I40" s="207">
        <f t="shared" si="8"/>
        <v>599120</v>
      </c>
      <c r="J40" s="302">
        <f t="shared" si="9"/>
        <v>0</v>
      </c>
      <c r="K40" s="302"/>
      <c r="L40" s="774"/>
      <c r="M40" s="208">
        <f t="shared" si="10"/>
        <v>0</v>
      </c>
      <c r="N40" s="302">
        <f t="shared" si="11"/>
        <v>0</v>
      </c>
      <c r="O40" s="211">
        <v>4</v>
      </c>
    </row>
    <row r="41" spans="1:15">
      <c r="A41" s="1359" t="s">
        <v>626</v>
      </c>
      <c r="B41" s="204">
        <v>454</v>
      </c>
      <c r="C41" s="221">
        <v>4184120</v>
      </c>
      <c r="D41" s="205" t="s">
        <v>1393</v>
      </c>
      <c r="E41" s="1133">
        <v>421500</v>
      </c>
      <c r="F41" s="306" t="str">
        <f t="shared" si="7"/>
        <v>Traditional OOR</v>
      </c>
      <c r="G41" s="302">
        <f>IF(F41=$G$2,E41,0)</f>
        <v>421500</v>
      </c>
      <c r="H41" s="207">
        <v>0</v>
      </c>
      <c r="I41" s="207">
        <f>G41-H41</f>
        <v>421500</v>
      </c>
      <c r="J41" s="302">
        <f t="shared" si="9"/>
        <v>0</v>
      </c>
      <c r="K41" s="302"/>
      <c r="L41" s="774"/>
      <c r="M41" s="208">
        <f t="shared" si="10"/>
        <v>0</v>
      </c>
      <c r="N41" s="302">
        <f t="shared" si="11"/>
        <v>0</v>
      </c>
      <c r="O41" s="211">
        <v>4</v>
      </c>
    </row>
    <row r="42" spans="1:15">
      <c r="A42" s="1358" t="s">
        <v>629</v>
      </c>
      <c r="B42" s="204">
        <v>454</v>
      </c>
      <c r="C42" s="210" t="s">
        <v>638</v>
      </c>
      <c r="D42" s="205" t="s">
        <v>639</v>
      </c>
      <c r="E42" s="1133">
        <v>134802.57999999999</v>
      </c>
      <c r="F42" s="306" t="str">
        <f>$J$2</f>
        <v>GRSM</v>
      </c>
      <c r="G42" s="302">
        <f t="shared" si="12"/>
        <v>0</v>
      </c>
      <c r="H42" s="207">
        <v>0</v>
      </c>
      <c r="I42" s="207">
        <f t="shared" si="8"/>
        <v>0</v>
      </c>
      <c r="J42" s="302">
        <f t="shared" si="9"/>
        <v>134802.57999999999</v>
      </c>
      <c r="K42" s="341" t="s">
        <v>617</v>
      </c>
      <c r="L42" s="1134">
        <v>28370.1403622213</v>
      </c>
      <c r="M42" s="208">
        <f>J42-L42</f>
        <v>106432.43963777869</v>
      </c>
      <c r="N42" s="302">
        <f t="shared" si="11"/>
        <v>0</v>
      </c>
      <c r="O42" s="211">
        <v>2</v>
      </c>
    </row>
    <row r="43" spans="1:15">
      <c r="A43" s="209" t="s">
        <v>632</v>
      </c>
      <c r="B43" s="204">
        <v>454</v>
      </c>
      <c r="C43" s="210" t="s">
        <v>641</v>
      </c>
      <c r="D43" s="205" t="s">
        <v>642</v>
      </c>
      <c r="E43" s="1133">
        <v>43296</v>
      </c>
      <c r="F43" s="306" t="str">
        <f>$J$2</f>
        <v>GRSM</v>
      </c>
      <c r="G43" s="302">
        <f t="shared" si="12"/>
        <v>0</v>
      </c>
      <c r="H43" s="207">
        <v>0</v>
      </c>
      <c r="I43" s="207">
        <f t="shared" si="8"/>
        <v>0</v>
      </c>
      <c r="J43" s="302">
        <f t="shared" si="9"/>
        <v>43296</v>
      </c>
      <c r="K43" s="341" t="s">
        <v>617</v>
      </c>
      <c r="L43" s="1134">
        <v>17760</v>
      </c>
      <c r="M43" s="208">
        <f t="shared" ref="M43:M63" si="13">J43-L43</f>
        <v>25536</v>
      </c>
      <c r="N43" s="302">
        <f t="shared" si="11"/>
        <v>0</v>
      </c>
      <c r="O43" s="211">
        <v>2</v>
      </c>
    </row>
    <row r="44" spans="1:15">
      <c r="A44" s="209" t="s">
        <v>635</v>
      </c>
      <c r="B44" s="204">
        <v>454</v>
      </c>
      <c r="C44" s="210" t="s">
        <v>644</v>
      </c>
      <c r="D44" s="205" t="s">
        <v>645</v>
      </c>
      <c r="E44" s="1133">
        <v>-640</v>
      </c>
      <c r="F44" s="306" t="str">
        <f>$J$2</f>
        <v>GRSM</v>
      </c>
      <c r="G44" s="302">
        <f t="shared" si="12"/>
        <v>0</v>
      </c>
      <c r="H44" s="207">
        <v>0</v>
      </c>
      <c r="I44" s="207">
        <f t="shared" si="8"/>
        <v>0</v>
      </c>
      <c r="J44" s="302">
        <f t="shared" si="9"/>
        <v>-640</v>
      </c>
      <c r="K44" s="341" t="s">
        <v>617</v>
      </c>
      <c r="L44" s="1134">
        <v>-464.95325033466997</v>
      </c>
      <c r="M44" s="208">
        <f t="shared" si="13"/>
        <v>-175.04674966533003</v>
      </c>
      <c r="N44" s="302">
        <f t="shared" si="11"/>
        <v>0</v>
      </c>
      <c r="O44" s="211">
        <v>2</v>
      </c>
    </row>
    <row r="45" spans="1:15">
      <c r="A45" s="209" t="s">
        <v>636</v>
      </c>
      <c r="B45" s="204">
        <v>454</v>
      </c>
      <c r="C45" s="221" t="s">
        <v>647</v>
      </c>
      <c r="D45" s="205" t="s">
        <v>648</v>
      </c>
      <c r="E45" s="1133">
        <v>9989.65</v>
      </c>
      <c r="F45" s="306" t="str">
        <f>$J$2</f>
        <v>GRSM</v>
      </c>
      <c r="G45" s="302">
        <f t="shared" si="12"/>
        <v>0</v>
      </c>
      <c r="H45" s="207">
        <v>0</v>
      </c>
      <c r="I45" s="207">
        <f t="shared" si="8"/>
        <v>0</v>
      </c>
      <c r="J45" s="302">
        <f t="shared" si="9"/>
        <v>9989.65</v>
      </c>
      <c r="K45" s="341" t="s">
        <v>617</v>
      </c>
      <c r="L45" s="1134">
        <v>2634.2061534783002</v>
      </c>
      <c r="M45" s="208">
        <f t="shared" si="13"/>
        <v>7355.443846521699</v>
      </c>
      <c r="N45" s="302">
        <f t="shared" si="11"/>
        <v>0</v>
      </c>
      <c r="O45" s="206">
        <v>2</v>
      </c>
    </row>
    <row r="46" spans="1:15">
      <c r="A46" s="209" t="s">
        <v>637</v>
      </c>
      <c r="B46" s="204">
        <v>454</v>
      </c>
      <c r="C46" s="205" t="s">
        <v>650</v>
      </c>
      <c r="D46" s="205" t="s">
        <v>1244</v>
      </c>
      <c r="E46" s="1133">
        <v>-168171.31</v>
      </c>
      <c r="F46" s="306" t="str">
        <f>$G$2</f>
        <v>Traditional OOR</v>
      </c>
      <c r="G46" s="302">
        <f t="shared" si="12"/>
        <v>-168171.31</v>
      </c>
      <c r="H46" s="207">
        <v>0</v>
      </c>
      <c r="I46" s="207">
        <f t="shared" si="8"/>
        <v>-168171.31</v>
      </c>
      <c r="J46" s="302">
        <f t="shared" si="9"/>
        <v>0</v>
      </c>
      <c r="K46" s="302"/>
      <c r="L46" s="774"/>
      <c r="M46" s="208">
        <f t="shared" si="13"/>
        <v>0</v>
      </c>
      <c r="N46" s="302">
        <f t="shared" si="11"/>
        <v>0</v>
      </c>
      <c r="O46" s="206">
        <v>4</v>
      </c>
    </row>
    <row r="47" spans="1:15">
      <c r="A47" s="209" t="s">
        <v>640</v>
      </c>
      <c r="B47" s="204">
        <v>454</v>
      </c>
      <c r="C47" s="210" t="s">
        <v>652</v>
      </c>
      <c r="D47" s="205" t="s">
        <v>653</v>
      </c>
      <c r="E47" s="1133">
        <v>268318.90999999997</v>
      </c>
      <c r="F47" s="306" t="str">
        <f>$N$2</f>
        <v>Other Ratemaking</v>
      </c>
      <c r="G47" s="302">
        <f>I47+H47</f>
        <v>15881.796282899999</v>
      </c>
      <c r="H47" s="207">
        <f>E47*$D$231</f>
        <v>15881.796282899999</v>
      </c>
      <c r="I47" s="207">
        <v>0</v>
      </c>
      <c r="J47" s="302">
        <f t="shared" si="9"/>
        <v>0</v>
      </c>
      <c r="K47" s="302"/>
      <c r="L47" s="774"/>
      <c r="M47" s="208">
        <f t="shared" si="13"/>
        <v>0</v>
      </c>
      <c r="N47" s="302">
        <f>IF(F47=$N$2,E47-H47,0)</f>
        <v>252437.11371709997</v>
      </c>
      <c r="O47" s="211" t="s">
        <v>654</v>
      </c>
    </row>
    <row r="48" spans="1:15">
      <c r="A48" s="209" t="s">
        <v>643</v>
      </c>
      <c r="B48" s="204">
        <v>454</v>
      </c>
      <c r="C48" s="210" t="s">
        <v>656</v>
      </c>
      <c r="D48" s="205" t="s">
        <v>657</v>
      </c>
      <c r="E48" s="1133"/>
      <c r="F48" s="306" t="str">
        <f>$G$2</f>
        <v>Traditional OOR</v>
      </c>
      <c r="G48" s="302">
        <f t="shared" si="12"/>
        <v>0</v>
      </c>
      <c r="H48" s="207">
        <f>E48*$D$231</f>
        <v>0</v>
      </c>
      <c r="I48" s="207">
        <f>G48-H48</f>
        <v>0</v>
      </c>
      <c r="J48" s="302">
        <f t="shared" si="9"/>
        <v>0</v>
      </c>
      <c r="K48" s="302"/>
      <c r="L48" s="774"/>
      <c r="M48" s="208">
        <f t="shared" si="13"/>
        <v>0</v>
      </c>
      <c r="N48" s="302">
        <f t="shared" si="11"/>
        <v>0</v>
      </c>
      <c r="O48" s="211">
        <v>7</v>
      </c>
    </row>
    <row r="49" spans="1:15">
      <c r="A49" s="209" t="s">
        <v>646</v>
      </c>
      <c r="B49" s="204">
        <v>454</v>
      </c>
      <c r="C49" s="205" t="s">
        <v>659</v>
      </c>
      <c r="D49" s="205" t="s">
        <v>660</v>
      </c>
      <c r="E49" s="1133">
        <v>1478792.88</v>
      </c>
      <c r="F49" s="306" t="str">
        <f>$N$2</f>
        <v>Other Ratemaking</v>
      </c>
      <c r="G49" s="302">
        <f>I49+H49</f>
        <v>87529.750567199997</v>
      </c>
      <c r="H49" s="207">
        <f>E49*$D$231</f>
        <v>87529.750567199997</v>
      </c>
      <c r="I49" s="207">
        <v>0</v>
      </c>
      <c r="J49" s="302">
        <f t="shared" si="9"/>
        <v>0</v>
      </c>
      <c r="K49" s="302"/>
      <c r="L49" s="774"/>
      <c r="M49" s="207">
        <f t="shared" si="13"/>
        <v>0</v>
      </c>
      <c r="N49" s="302">
        <f>IF(F49=$N$2,E49-H49,0)</f>
        <v>1391263.1294328</v>
      </c>
      <c r="O49" s="206" t="s">
        <v>654</v>
      </c>
    </row>
    <row r="50" spans="1:15">
      <c r="A50" s="209" t="s">
        <v>649</v>
      </c>
      <c r="B50" s="204">
        <v>454</v>
      </c>
      <c r="C50" s="210" t="s">
        <v>662</v>
      </c>
      <c r="D50" s="205" t="s">
        <v>663</v>
      </c>
      <c r="E50" s="1133"/>
      <c r="F50" s="306" t="str">
        <f t="shared" ref="F50:F55" si="14">$G$2</f>
        <v>Traditional OOR</v>
      </c>
      <c r="G50" s="302">
        <f t="shared" si="12"/>
        <v>0</v>
      </c>
      <c r="H50" s="207">
        <f>E50*$D$225</f>
        <v>0</v>
      </c>
      <c r="I50" s="207">
        <f t="shared" ref="I50:I61" si="15">G50-H50</f>
        <v>0</v>
      </c>
      <c r="J50" s="302">
        <f t="shared" si="9"/>
        <v>0</v>
      </c>
      <c r="K50" s="302"/>
      <c r="L50" s="774"/>
      <c r="M50" s="208">
        <f t="shared" si="13"/>
        <v>0</v>
      </c>
      <c r="N50" s="302">
        <f t="shared" si="11"/>
        <v>0</v>
      </c>
      <c r="O50" s="211">
        <v>7</v>
      </c>
    </row>
    <row r="51" spans="1:15">
      <c r="A51" s="209" t="s">
        <v>651</v>
      </c>
      <c r="B51" s="204">
        <v>454</v>
      </c>
      <c r="C51" s="210" t="s">
        <v>665</v>
      </c>
      <c r="D51" s="205" t="s">
        <v>666</v>
      </c>
      <c r="E51" s="1133"/>
      <c r="F51" s="306" t="str">
        <f t="shared" si="14"/>
        <v>Traditional OOR</v>
      </c>
      <c r="G51" s="302">
        <f t="shared" si="12"/>
        <v>0</v>
      </c>
      <c r="H51" s="207">
        <v>0</v>
      </c>
      <c r="I51" s="207">
        <f t="shared" si="15"/>
        <v>0</v>
      </c>
      <c r="J51" s="302">
        <f t="shared" si="9"/>
        <v>0</v>
      </c>
      <c r="K51" s="302"/>
      <c r="L51" s="774"/>
      <c r="M51" s="208">
        <f t="shared" si="13"/>
        <v>0</v>
      </c>
      <c r="N51" s="302">
        <f t="shared" si="11"/>
        <v>0</v>
      </c>
      <c r="O51" s="211">
        <v>1</v>
      </c>
    </row>
    <row r="52" spans="1:15">
      <c r="A52" s="209" t="s">
        <v>655</v>
      </c>
      <c r="B52" s="204">
        <v>454</v>
      </c>
      <c r="C52" s="210" t="s">
        <v>668</v>
      </c>
      <c r="D52" s="205" t="s">
        <v>669</v>
      </c>
      <c r="E52" s="1133">
        <v>10732509.529999999</v>
      </c>
      <c r="F52" s="306" t="str">
        <f t="shared" si="14"/>
        <v>Traditional OOR</v>
      </c>
      <c r="G52" s="302">
        <f t="shared" si="12"/>
        <v>10732509.529999999</v>
      </c>
      <c r="H52" s="207">
        <v>0</v>
      </c>
      <c r="I52" s="207">
        <f t="shared" si="15"/>
        <v>10732509.529999999</v>
      </c>
      <c r="J52" s="302">
        <f t="shared" si="9"/>
        <v>0</v>
      </c>
      <c r="K52" s="302"/>
      <c r="L52" s="774"/>
      <c r="M52" s="208">
        <f t="shared" si="13"/>
        <v>0</v>
      </c>
      <c r="N52" s="302">
        <f t="shared" si="11"/>
        <v>0</v>
      </c>
      <c r="O52" s="211">
        <v>4</v>
      </c>
    </row>
    <row r="53" spans="1:15">
      <c r="A53" s="209" t="s">
        <v>658</v>
      </c>
      <c r="B53" s="204">
        <v>454</v>
      </c>
      <c r="C53" s="210" t="s">
        <v>671</v>
      </c>
      <c r="D53" s="205" t="s">
        <v>672</v>
      </c>
      <c r="E53" s="1133">
        <v>662749.72</v>
      </c>
      <c r="F53" s="306" t="str">
        <f t="shared" si="14"/>
        <v>Traditional OOR</v>
      </c>
      <c r="G53" s="302">
        <f t="shared" si="12"/>
        <v>662749.72</v>
      </c>
      <c r="H53" s="207">
        <v>0</v>
      </c>
      <c r="I53" s="207">
        <f>G53-H53</f>
        <v>662749.72</v>
      </c>
      <c r="J53" s="302">
        <f t="shared" si="9"/>
        <v>0</v>
      </c>
      <c r="K53" s="302"/>
      <c r="L53" s="774"/>
      <c r="M53" s="208">
        <f t="shared" si="13"/>
        <v>0</v>
      </c>
      <c r="N53" s="302">
        <f t="shared" si="11"/>
        <v>0</v>
      </c>
      <c r="O53" s="211">
        <v>4</v>
      </c>
    </row>
    <row r="54" spans="1:15">
      <c r="A54" s="209" t="s">
        <v>661</v>
      </c>
      <c r="B54" s="204">
        <v>454</v>
      </c>
      <c r="C54" s="210" t="s">
        <v>674</v>
      </c>
      <c r="D54" s="205" t="s">
        <v>675</v>
      </c>
      <c r="E54" s="1133">
        <v>23706988.559999999</v>
      </c>
      <c r="F54" s="306" t="str">
        <f t="shared" si="14"/>
        <v>Traditional OOR</v>
      </c>
      <c r="G54" s="302">
        <f t="shared" si="12"/>
        <v>23706988.559999999</v>
      </c>
      <c r="H54" s="207">
        <v>0</v>
      </c>
      <c r="I54" s="207">
        <f t="shared" si="15"/>
        <v>23706988.559999999</v>
      </c>
      <c r="J54" s="302">
        <f t="shared" si="9"/>
        <v>0</v>
      </c>
      <c r="K54" s="302"/>
      <c r="L54" s="774"/>
      <c r="M54" s="208">
        <f t="shared" si="13"/>
        <v>0</v>
      </c>
      <c r="N54" s="302">
        <f t="shared" si="11"/>
        <v>0</v>
      </c>
      <c r="O54" s="211">
        <v>4</v>
      </c>
    </row>
    <row r="55" spans="1:15">
      <c r="A55" s="209" t="s">
        <v>664</v>
      </c>
      <c r="B55" s="204">
        <v>454</v>
      </c>
      <c r="C55" s="210" t="s">
        <v>677</v>
      </c>
      <c r="D55" s="205" t="s">
        <v>678</v>
      </c>
      <c r="E55" s="1133">
        <v>13656799.34</v>
      </c>
      <c r="F55" s="306" t="str">
        <f t="shared" si="14"/>
        <v>Traditional OOR</v>
      </c>
      <c r="G55" s="302">
        <f t="shared" si="12"/>
        <v>13656799.34</v>
      </c>
      <c r="H55" s="774">
        <v>3842260</v>
      </c>
      <c r="I55" s="207">
        <f>G55-H55</f>
        <v>9814539.3399999999</v>
      </c>
      <c r="J55" s="302">
        <f t="shared" si="9"/>
        <v>0</v>
      </c>
      <c r="K55" s="302"/>
      <c r="L55" s="774"/>
      <c r="M55" s="208">
        <f t="shared" si="13"/>
        <v>0</v>
      </c>
      <c r="N55" s="302">
        <f t="shared" si="11"/>
        <v>0</v>
      </c>
      <c r="O55" s="211">
        <v>8</v>
      </c>
    </row>
    <row r="56" spans="1:15">
      <c r="A56" s="209" t="s">
        <v>667</v>
      </c>
      <c r="B56" s="204">
        <v>454</v>
      </c>
      <c r="C56" s="205" t="s">
        <v>680</v>
      </c>
      <c r="D56" s="205" t="s">
        <v>681</v>
      </c>
      <c r="E56" s="1133">
        <f>20353830.16+20914.54</f>
        <v>20374744.699999999</v>
      </c>
      <c r="F56" s="306" t="str">
        <f>$J$2</f>
        <v>GRSM</v>
      </c>
      <c r="G56" s="302">
        <f t="shared" si="12"/>
        <v>0</v>
      </c>
      <c r="H56" s="207">
        <v>0</v>
      </c>
      <c r="I56" s="207">
        <f t="shared" si="15"/>
        <v>0</v>
      </c>
      <c r="J56" s="302">
        <f t="shared" si="9"/>
        <v>20374744.699999999</v>
      </c>
      <c r="K56" s="341" t="s">
        <v>617</v>
      </c>
      <c r="L56" s="1134">
        <v>4250081.3988080304</v>
      </c>
      <c r="M56" s="208">
        <f t="shared" si="13"/>
        <v>16124663.301191969</v>
      </c>
      <c r="N56" s="302">
        <f t="shared" si="11"/>
        <v>0</v>
      </c>
      <c r="O56" s="206">
        <v>2</v>
      </c>
    </row>
    <row r="57" spans="1:15">
      <c r="A57" s="209" t="s">
        <v>670</v>
      </c>
      <c r="B57" s="204">
        <v>454</v>
      </c>
      <c r="C57" s="210" t="s">
        <v>682</v>
      </c>
      <c r="D57" s="205" t="s">
        <v>683</v>
      </c>
      <c r="E57" s="1133"/>
      <c r="F57" s="306" t="str">
        <f>$G$2</f>
        <v>Traditional OOR</v>
      </c>
      <c r="G57" s="302">
        <f t="shared" si="12"/>
        <v>0</v>
      </c>
      <c r="H57" s="207">
        <v>0</v>
      </c>
      <c r="I57" s="207">
        <f t="shared" si="15"/>
        <v>0</v>
      </c>
      <c r="J57" s="302">
        <f t="shared" si="9"/>
        <v>0</v>
      </c>
      <c r="K57" s="302"/>
      <c r="L57" s="774"/>
      <c r="M57" s="208">
        <f t="shared" si="13"/>
        <v>0</v>
      </c>
      <c r="N57" s="302">
        <f t="shared" si="11"/>
        <v>0</v>
      </c>
      <c r="O57" s="206">
        <v>4</v>
      </c>
    </row>
    <row r="58" spans="1:15">
      <c r="A58" s="209" t="s">
        <v>673</v>
      </c>
      <c r="B58" s="204">
        <v>454</v>
      </c>
      <c r="C58" s="203" t="s">
        <v>1396</v>
      </c>
      <c r="D58" s="205" t="s">
        <v>1395</v>
      </c>
      <c r="E58" s="1133"/>
      <c r="F58" s="306" t="str">
        <f>$G$2</f>
        <v>Traditional OOR</v>
      </c>
      <c r="G58" s="302">
        <f t="shared" si="12"/>
        <v>0</v>
      </c>
      <c r="H58" s="207">
        <v>0</v>
      </c>
      <c r="I58" s="207">
        <f t="shared" si="15"/>
        <v>0</v>
      </c>
      <c r="J58" s="302">
        <f t="shared" si="9"/>
        <v>0</v>
      </c>
      <c r="K58" s="302"/>
      <c r="L58" s="774"/>
      <c r="M58" s="208">
        <f t="shared" si="13"/>
        <v>0</v>
      </c>
      <c r="N58" s="302">
        <f t="shared" si="11"/>
        <v>0</v>
      </c>
      <c r="O58" s="206">
        <v>1</v>
      </c>
    </row>
    <row r="59" spans="1:15">
      <c r="A59" s="209" t="s">
        <v>676</v>
      </c>
      <c r="B59" s="204">
        <v>454</v>
      </c>
      <c r="C59" s="204">
        <v>4206515</v>
      </c>
      <c r="D59" s="222" t="s">
        <v>2096</v>
      </c>
      <c r="E59" s="1133">
        <v>1138222.18</v>
      </c>
      <c r="F59" s="306" t="s">
        <v>576</v>
      </c>
      <c r="G59" s="302">
        <f t="shared" si="12"/>
        <v>0</v>
      </c>
      <c r="H59" s="207">
        <v>0</v>
      </c>
      <c r="I59" s="1023">
        <f t="shared" si="15"/>
        <v>0</v>
      </c>
      <c r="J59" s="1024">
        <f t="shared" si="9"/>
        <v>1138222.18</v>
      </c>
      <c r="K59" s="1024" t="s">
        <v>617</v>
      </c>
      <c r="L59" s="774">
        <v>603066.09</v>
      </c>
      <c r="M59" s="207">
        <f t="shared" si="13"/>
        <v>535156.09</v>
      </c>
      <c r="N59" s="302">
        <f t="shared" si="11"/>
        <v>0</v>
      </c>
      <c r="O59" s="206">
        <v>2</v>
      </c>
    </row>
    <row r="60" spans="1:15">
      <c r="A60" s="209" t="s">
        <v>679</v>
      </c>
      <c r="B60" s="204">
        <v>454</v>
      </c>
      <c r="C60" s="204">
        <v>4184122</v>
      </c>
      <c r="D60" s="222" t="s">
        <v>2098</v>
      </c>
      <c r="E60" s="1133">
        <v>-1040</v>
      </c>
      <c r="F60" s="306" t="s">
        <v>575</v>
      </c>
      <c r="G60" s="302">
        <f t="shared" si="12"/>
        <v>-1040</v>
      </c>
      <c r="H60" s="207">
        <v>0</v>
      </c>
      <c r="I60" s="1023">
        <f t="shared" si="15"/>
        <v>-1040</v>
      </c>
      <c r="J60" s="1024">
        <f t="shared" si="9"/>
        <v>0</v>
      </c>
      <c r="K60" s="302"/>
      <c r="L60" s="308"/>
      <c r="M60" s="207">
        <f t="shared" si="13"/>
        <v>0</v>
      </c>
      <c r="N60" s="302">
        <f t="shared" si="11"/>
        <v>0</v>
      </c>
      <c r="O60" s="206">
        <v>4</v>
      </c>
    </row>
    <row r="61" spans="1:15">
      <c r="A61" s="203" t="s">
        <v>2095</v>
      </c>
      <c r="B61" s="204">
        <v>454</v>
      </c>
      <c r="C61" s="204">
        <v>4184124</v>
      </c>
      <c r="D61" s="222" t="s">
        <v>2100</v>
      </c>
      <c r="E61" s="1133">
        <v>54750</v>
      </c>
      <c r="F61" s="306" t="s">
        <v>575</v>
      </c>
      <c r="G61" s="302">
        <f t="shared" si="12"/>
        <v>54750</v>
      </c>
      <c r="H61" s="207">
        <v>0</v>
      </c>
      <c r="I61" s="1023">
        <f t="shared" si="15"/>
        <v>54750</v>
      </c>
      <c r="J61" s="1024">
        <f t="shared" si="9"/>
        <v>0</v>
      </c>
      <c r="K61" s="302"/>
      <c r="L61" s="308"/>
      <c r="M61" s="207">
        <f t="shared" si="13"/>
        <v>0</v>
      </c>
      <c r="N61" s="302">
        <f t="shared" si="11"/>
        <v>0</v>
      </c>
      <c r="O61" s="206">
        <v>4</v>
      </c>
    </row>
    <row r="62" spans="1:15">
      <c r="A62" s="1270" t="s">
        <v>2097</v>
      </c>
      <c r="B62" s="1271">
        <v>454</v>
      </c>
      <c r="C62" s="1271">
        <v>4184821</v>
      </c>
      <c r="D62" s="1272" t="s">
        <v>2564</v>
      </c>
      <c r="E62" s="1133">
        <v>76610.87</v>
      </c>
      <c r="F62" s="1133" t="s">
        <v>577</v>
      </c>
      <c r="G62" s="1133">
        <f>H62+I62</f>
        <v>4534.5973952999993</v>
      </c>
      <c r="H62" s="774">
        <f>E62*$D$231</f>
        <v>4534.5973952999993</v>
      </c>
      <c r="I62" s="774">
        <v>0</v>
      </c>
      <c r="J62" s="1133">
        <f t="shared" si="9"/>
        <v>0</v>
      </c>
      <c r="K62" s="306"/>
      <c r="L62" s="308"/>
      <c r="M62" s="774">
        <f t="shared" si="13"/>
        <v>0</v>
      </c>
      <c r="N62" s="1133">
        <f>IF(F62=$N$2,E62-H62,0)</f>
        <v>72076.272604700003</v>
      </c>
      <c r="O62" s="1273" t="s">
        <v>654</v>
      </c>
    </row>
    <row r="63" spans="1:15" s="1112" customFormat="1">
      <c r="A63" s="1270" t="s">
        <v>2099</v>
      </c>
      <c r="B63" s="1271">
        <v>454</v>
      </c>
      <c r="C63" s="1271">
        <v>4184811</v>
      </c>
      <c r="D63" s="1272" t="s">
        <v>2565</v>
      </c>
      <c r="E63" s="1133">
        <v>1021348.6</v>
      </c>
      <c r="F63" s="1133" t="s">
        <v>577</v>
      </c>
      <c r="G63" s="1133">
        <f>H63+I63</f>
        <v>60453.623633999996</v>
      </c>
      <c r="H63" s="774">
        <f>E63*$D$231</f>
        <v>60453.623633999996</v>
      </c>
      <c r="I63" s="774">
        <v>0</v>
      </c>
      <c r="J63" s="1133">
        <f t="shared" si="9"/>
        <v>0</v>
      </c>
      <c r="K63" s="306"/>
      <c r="L63" s="308"/>
      <c r="M63" s="774">
        <f t="shared" si="13"/>
        <v>0</v>
      </c>
      <c r="N63" s="1133">
        <f>IF(F63=$N$2,E63-H63,0)</f>
        <v>960894.97636600002</v>
      </c>
      <c r="O63" s="1273" t="s">
        <v>654</v>
      </c>
    </row>
    <row r="64" spans="1:15">
      <c r="A64" s="336"/>
      <c r="B64" s="332"/>
      <c r="C64" s="331"/>
      <c r="D64" s="333"/>
      <c r="E64" s="306"/>
      <c r="F64" s="306"/>
      <c r="G64" s="310"/>
      <c r="H64" s="308"/>
      <c r="I64" s="308"/>
      <c r="J64" s="306"/>
      <c r="K64" s="306"/>
      <c r="L64" s="308"/>
      <c r="M64" s="308"/>
      <c r="N64" s="306"/>
      <c r="O64" s="307"/>
    </row>
    <row r="65" spans="1:15">
      <c r="A65" s="209">
        <v>11</v>
      </c>
      <c r="B65" s="1393" t="s">
        <v>684</v>
      </c>
      <c r="C65" s="1394"/>
      <c r="D65" s="1395"/>
      <c r="E65" s="299">
        <f>SUM(E38:E64)</f>
        <v>78053707.150000006</v>
      </c>
      <c r="F65" s="324"/>
      <c r="G65" s="299">
        <f>SUM(G38:G64)</f>
        <v>53676620.547879405</v>
      </c>
      <c r="H65" s="315">
        <f>SUM(H38:H64)</f>
        <v>4010659.7678793999</v>
      </c>
      <c r="I65" s="315">
        <f>SUM(I38:I64)</f>
        <v>49665960.780000001</v>
      </c>
      <c r="J65" s="299">
        <f>SUM(J38:J64)</f>
        <v>21700415.109999999</v>
      </c>
      <c r="K65" s="324"/>
      <c r="L65" s="299">
        <f>SUM(L38:L64)</f>
        <v>4901446.882073395</v>
      </c>
      <c r="M65" s="299">
        <f>SUM(M38:M64)</f>
        <v>16798968.227926604</v>
      </c>
      <c r="N65" s="299">
        <f>SUM(N38:N64)</f>
        <v>2676671.4921205998</v>
      </c>
      <c r="O65" s="196"/>
    </row>
    <row r="66" spans="1:15" ht="24.75" customHeight="1">
      <c r="A66" s="209">
        <v>12</v>
      </c>
      <c r="B66" s="1415" t="s">
        <v>1249</v>
      </c>
      <c r="C66" s="1416"/>
      <c r="D66" s="1417"/>
      <c r="E66" s="1269">
        <v>78053707</v>
      </c>
      <c r="F66" s="314"/>
      <c r="G66" s="330"/>
      <c r="H66" s="314"/>
      <c r="I66" s="314"/>
      <c r="J66" s="300"/>
      <c r="K66" s="314"/>
      <c r="L66" s="300"/>
      <c r="M66" s="300"/>
      <c r="N66" s="300"/>
      <c r="O66" s="195"/>
    </row>
    <row r="67" spans="1:15">
      <c r="A67" s="212"/>
      <c r="B67" s="213"/>
      <c r="C67" s="214"/>
      <c r="D67" s="215"/>
      <c r="E67" s="300"/>
      <c r="F67" s="300"/>
      <c r="G67" s="300"/>
      <c r="H67" s="314"/>
      <c r="I67" s="314"/>
      <c r="J67" s="300"/>
      <c r="K67" s="314"/>
      <c r="L67" s="300"/>
      <c r="M67" s="300"/>
      <c r="N67" s="300"/>
      <c r="O67" s="195"/>
    </row>
    <row r="68" spans="1:15">
      <c r="A68" s="209" t="s">
        <v>685</v>
      </c>
      <c r="B68" s="204">
        <v>456</v>
      </c>
      <c r="C68" s="210" t="s">
        <v>689</v>
      </c>
      <c r="D68" s="205" t="s">
        <v>690</v>
      </c>
      <c r="E68" s="1133">
        <v>3492797.09</v>
      </c>
      <c r="F68" s="306" t="str">
        <f t="shared" ref="F68:F76" si="16">$G$2</f>
        <v>Traditional OOR</v>
      </c>
      <c r="G68" s="302">
        <f t="shared" ref="G68:G123" si="17">IF(F68=$G$2,E68,0)</f>
        <v>3492797.09</v>
      </c>
      <c r="H68" s="207">
        <v>0</v>
      </c>
      <c r="I68" s="207">
        <f t="shared" ref="I68:I122" si="18">G68-H68</f>
        <v>3492797.09</v>
      </c>
      <c r="J68" s="302">
        <f t="shared" ref="J68:J123" si="19">IF(F68=$J$2,E68,0)</f>
        <v>0</v>
      </c>
      <c r="K68" s="302"/>
      <c r="L68" s="774"/>
      <c r="M68" s="208">
        <f>J68-L68</f>
        <v>0</v>
      </c>
      <c r="N68" s="302">
        <f t="shared" ref="N68:N123" si="20">IF(F68=$N$2,E68,0)</f>
        <v>0</v>
      </c>
      <c r="O68" s="211">
        <v>1</v>
      </c>
    </row>
    <row r="69" spans="1:15">
      <c r="A69" s="209" t="s">
        <v>686</v>
      </c>
      <c r="B69" s="204">
        <v>456</v>
      </c>
      <c r="C69" s="210" t="s">
        <v>691</v>
      </c>
      <c r="D69" s="205" t="s">
        <v>692</v>
      </c>
      <c r="E69" s="1133">
        <v>731590.86</v>
      </c>
      <c r="F69" s="306" t="str">
        <f t="shared" si="16"/>
        <v>Traditional OOR</v>
      </c>
      <c r="G69" s="302">
        <f t="shared" si="17"/>
        <v>731590.86</v>
      </c>
      <c r="H69" s="207">
        <v>0</v>
      </c>
      <c r="I69" s="207">
        <f t="shared" si="18"/>
        <v>731590.86</v>
      </c>
      <c r="J69" s="302">
        <f t="shared" si="19"/>
        <v>0</v>
      </c>
      <c r="K69" s="302"/>
      <c r="L69" s="774"/>
      <c r="M69" s="208">
        <f t="shared" ref="M69:M114" si="21">J69-L69</f>
        <v>0</v>
      </c>
      <c r="N69" s="302">
        <f t="shared" si="20"/>
        <v>0</v>
      </c>
      <c r="O69" s="211">
        <v>4</v>
      </c>
    </row>
    <row r="70" spans="1:15">
      <c r="A70" s="209" t="s">
        <v>687</v>
      </c>
      <c r="B70" s="204">
        <v>456</v>
      </c>
      <c r="C70" s="210" t="s">
        <v>693</v>
      </c>
      <c r="D70" s="205" t="s">
        <v>694</v>
      </c>
      <c r="E70" s="1133">
        <v>219628.13</v>
      </c>
      <c r="F70" s="306" t="str">
        <f t="shared" si="16"/>
        <v>Traditional OOR</v>
      </c>
      <c r="G70" s="302">
        <f t="shared" si="17"/>
        <v>219628.13</v>
      </c>
      <c r="H70" s="207">
        <v>0</v>
      </c>
      <c r="I70" s="207">
        <f t="shared" si="18"/>
        <v>219628.13</v>
      </c>
      <c r="J70" s="302">
        <f t="shared" si="19"/>
        <v>0</v>
      </c>
      <c r="K70" s="302"/>
      <c r="L70" s="774"/>
      <c r="M70" s="208">
        <f t="shared" si="21"/>
        <v>0</v>
      </c>
      <c r="N70" s="302">
        <f t="shared" si="20"/>
        <v>0</v>
      </c>
      <c r="O70" s="211">
        <v>4</v>
      </c>
    </row>
    <row r="71" spans="1:15">
      <c r="A71" s="209" t="s">
        <v>688</v>
      </c>
      <c r="B71" s="204">
        <v>456</v>
      </c>
      <c r="C71" s="210" t="s">
        <v>696</v>
      </c>
      <c r="D71" s="205" t="s">
        <v>697</v>
      </c>
      <c r="E71" s="1133"/>
      <c r="F71" s="306" t="str">
        <f t="shared" si="16"/>
        <v>Traditional OOR</v>
      </c>
      <c r="G71" s="302">
        <f t="shared" si="17"/>
        <v>0</v>
      </c>
      <c r="H71" s="207">
        <v>0</v>
      </c>
      <c r="I71" s="207">
        <f t="shared" si="18"/>
        <v>0</v>
      </c>
      <c r="J71" s="302">
        <f t="shared" si="19"/>
        <v>0</v>
      </c>
      <c r="K71" s="302"/>
      <c r="L71" s="774"/>
      <c r="M71" s="208">
        <f t="shared" si="21"/>
        <v>0</v>
      </c>
      <c r="N71" s="302">
        <f t="shared" si="20"/>
        <v>0</v>
      </c>
      <c r="O71" s="211">
        <v>3</v>
      </c>
    </row>
    <row r="72" spans="1:15">
      <c r="A72" s="203" t="s">
        <v>695</v>
      </c>
      <c r="B72" s="204">
        <v>456</v>
      </c>
      <c r="C72" s="205" t="s">
        <v>699</v>
      </c>
      <c r="D72" s="205" t="s">
        <v>700</v>
      </c>
      <c r="E72" s="1133">
        <v>480</v>
      </c>
      <c r="F72" s="306" t="str">
        <f t="shared" si="16"/>
        <v>Traditional OOR</v>
      </c>
      <c r="G72" s="302">
        <f t="shared" si="17"/>
        <v>480</v>
      </c>
      <c r="H72" s="207">
        <v>0</v>
      </c>
      <c r="I72" s="207">
        <f t="shared" si="18"/>
        <v>480</v>
      </c>
      <c r="J72" s="302">
        <f t="shared" si="19"/>
        <v>0</v>
      </c>
      <c r="K72" s="302"/>
      <c r="L72" s="774"/>
      <c r="M72" s="208">
        <f t="shared" si="21"/>
        <v>0</v>
      </c>
      <c r="N72" s="302">
        <f t="shared" si="20"/>
        <v>0</v>
      </c>
      <c r="O72" s="211">
        <v>1</v>
      </c>
    </row>
    <row r="73" spans="1:15">
      <c r="A73" s="203" t="s">
        <v>698</v>
      </c>
      <c r="B73" s="204">
        <v>456</v>
      </c>
      <c r="C73" s="205" t="s">
        <v>702</v>
      </c>
      <c r="D73" s="205" t="s">
        <v>703</v>
      </c>
      <c r="E73" s="1133">
        <v>520006.76</v>
      </c>
      <c r="F73" s="306" t="str">
        <f t="shared" si="16"/>
        <v>Traditional OOR</v>
      </c>
      <c r="G73" s="302">
        <f t="shared" si="17"/>
        <v>520006.76</v>
      </c>
      <c r="H73" s="207">
        <v>0</v>
      </c>
      <c r="I73" s="207">
        <f t="shared" si="18"/>
        <v>520006.76</v>
      </c>
      <c r="J73" s="302">
        <f t="shared" si="19"/>
        <v>0</v>
      </c>
      <c r="K73" s="302"/>
      <c r="L73" s="774"/>
      <c r="M73" s="208">
        <f t="shared" si="21"/>
        <v>0</v>
      </c>
      <c r="N73" s="302">
        <f t="shared" si="20"/>
        <v>0</v>
      </c>
      <c r="O73" s="211">
        <v>1</v>
      </c>
    </row>
    <row r="74" spans="1:15">
      <c r="A74" s="203" t="s">
        <v>701</v>
      </c>
      <c r="B74" s="204">
        <v>456</v>
      </c>
      <c r="C74" s="205" t="s">
        <v>705</v>
      </c>
      <c r="D74" s="205" t="s">
        <v>706</v>
      </c>
      <c r="E74" s="1133"/>
      <c r="F74" s="306" t="str">
        <f t="shared" si="16"/>
        <v>Traditional OOR</v>
      </c>
      <c r="G74" s="302">
        <f t="shared" si="17"/>
        <v>0</v>
      </c>
      <c r="H74" s="207">
        <v>0</v>
      </c>
      <c r="I74" s="207">
        <f t="shared" si="18"/>
        <v>0</v>
      </c>
      <c r="J74" s="302">
        <f t="shared" si="19"/>
        <v>0</v>
      </c>
      <c r="K74" s="302"/>
      <c r="L74" s="774"/>
      <c r="M74" s="208">
        <f t="shared" si="21"/>
        <v>0</v>
      </c>
      <c r="N74" s="302">
        <f t="shared" si="20"/>
        <v>0</v>
      </c>
      <c r="O74" s="211">
        <v>3</v>
      </c>
    </row>
    <row r="75" spans="1:15">
      <c r="A75" s="203" t="s">
        <v>704</v>
      </c>
      <c r="B75" s="204">
        <v>456</v>
      </c>
      <c r="C75" s="204">
        <v>4186142</v>
      </c>
      <c r="D75" s="205" t="s">
        <v>1394</v>
      </c>
      <c r="E75" s="1133">
        <v>3427.66</v>
      </c>
      <c r="F75" s="306" t="str">
        <f t="shared" si="16"/>
        <v>Traditional OOR</v>
      </c>
      <c r="G75" s="302">
        <f>IF(F75=$G$2,E75,0)</f>
        <v>3427.66</v>
      </c>
      <c r="H75" s="207">
        <v>0</v>
      </c>
      <c r="I75" s="207">
        <f>G75-H75</f>
        <v>3427.66</v>
      </c>
      <c r="J75" s="302">
        <f t="shared" si="19"/>
        <v>0</v>
      </c>
      <c r="K75" s="302"/>
      <c r="L75" s="774"/>
      <c r="M75" s="208">
        <f t="shared" si="21"/>
        <v>0</v>
      </c>
      <c r="N75" s="302">
        <f t="shared" si="20"/>
        <v>0</v>
      </c>
      <c r="O75" s="211">
        <v>4</v>
      </c>
    </row>
    <row r="76" spans="1:15">
      <c r="A76" s="203" t="s">
        <v>707</v>
      </c>
      <c r="B76" s="204">
        <v>456</v>
      </c>
      <c r="C76" s="205" t="s">
        <v>708</v>
      </c>
      <c r="D76" s="205" t="s">
        <v>709</v>
      </c>
      <c r="E76" s="1133"/>
      <c r="F76" s="306" t="str">
        <f t="shared" si="16"/>
        <v>Traditional OOR</v>
      </c>
      <c r="G76" s="302">
        <f t="shared" si="17"/>
        <v>0</v>
      </c>
      <c r="H76" s="207">
        <f>E76*$D$225</f>
        <v>0</v>
      </c>
      <c r="I76" s="207">
        <f t="shared" si="18"/>
        <v>0</v>
      </c>
      <c r="J76" s="302">
        <f t="shared" si="19"/>
        <v>0</v>
      </c>
      <c r="K76" s="302"/>
      <c r="L76" s="774"/>
      <c r="M76" s="208">
        <f t="shared" si="21"/>
        <v>0</v>
      </c>
      <c r="N76" s="302">
        <f t="shared" si="20"/>
        <v>0</v>
      </c>
      <c r="O76" s="211">
        <v>7</v>
      </c>
    </row>
    <row r="77" spans="1:15">
      <c r="A77" s="203" t="s">
        <v>710</v>
      </c>
      <c r="B77" s="204">
        <v>456</v>
      </c>
      <c r="C77" s="205" t="s">
        <v>711</v>
      </c>
      <c r="D77" s="205" t="s">
        <v>712</v>
      </c>
      <c r="E77" s="1133">
        <v>39429.42</v>
      </c>
      <c r="F77" s="306" t="str">
        <f>$N$2</f>
        <v>Other Ratemaking</v>
      </c>
      <c r="G77" s="302">
        <f>I77+H77</f>
        <v>2333.8273697999998</v>
      </c>
      <c r="H77" s="207">
        <f>E77*$D$231</f>
        <v>2333.8273697999998</v>
      </c>
      <c r="I77" s="207">
        <v>0</v>
      </c>
      <c r="J77" s="302">
        <f t="shared" si="19"/>
        <v>0</v>
      </c>
      <c r="K77" s="302"/>
      <c r="L77" s="774"/>
      <c r="M77" s="208">
        <f t="shared" si="21"/>
        <v>0</v>
      </c>
      <c r="N77" s="302">
        <f>IF(F77=$N$2,E77-H77,0)</f>
        <v>37095.592630200001</v>
      </c>
      <c r="O77" s="211" t="s">
        <v>654</v>
      </c>
    </row>
    <row r="78" spans="1:15">
      <c r="A78" s="203" t="s">
        <v>713</v>
      </c>
      <c r="B78" s="204">
        <v>456</v>
      </c>
      <c r="C78" s="205" t="s">
        <v>714</v>
      </c>
      <c r="D78" s="205" t="s">
        <v>715</v>
      </c>
      <c r="E78" s="1133">
        <v>1205.7</v>
      </c>
      <c r="F78" s="306" t="str">
        <f t="shared" ref="F78:F83" si="22">$G$2</f>
        <v>Traditional OOR</v>
      </c>
      <c r="G78" s="302">
        <f t="shared" si="17"/>
        <v>1205.7</v>
      </c>
      <c r="H78" s="207">
        <v>0</v>
      </c>
      <c r="I78" s="207">
        <f t="shared" si="18"/>
        <v>1205.7</v>
      </c>
      <c r="J78" s="302">
        <f t="shared" si="19"/>
        <v>0</v>
      </c>
      <c r="K78" s="302"/>
      <c r="L78" s="774"/>
      <c r="M78" s="208">
        <f t="shared" si="21"/>
        <v>0</v>
      </c>
      <c r="N78" s="302">
        <f t="shared" si="20"/>
        <v>0</v>
      </c>
      <c r="O78" s="211">
        <v>4</v>
      </c>
    </row>
    <row r="79" spans="1:15">
      <c r="A79" s="203" t="s">
        <v>716</v>
      </c>
      <c r="B79" s="204">
        <v>456</v>
      </c>
      <c r="C79" s="205" t="s">
        <v>717</v>
      </c>
      <c r="D79" s="205" t="s">
        <v>718</v>
      </c>
      <c r="E79" s="1133">
        <v>12101.6</v>
      </c>
      <c r="F79" s="306" t="str">
        <f t="shared" si="22"/>
        <v>Traditional OOR</v>
      </c>
      <c r="G79" s="302">
        <f t="shared" si="17"/>
        <v>12101.6</v>
      </c>
      <c r="H79" s="207">
        <v>0</v>
      </c>
      <c r="I79" s="207">
        <f t="shared" si="18"/>
        <v>12101.6</v>
      </c>
      <c r="J79" s="302">
        <f t="shared" si="19"/>
        <v>0</v>
      </c>
      <c r="K79" s="302"/>
      <c r="L79" s="774"/>
      <c r="M79" s="208">
        <f t="shared" si="21"/>
        <v>0</v>
      </c>
      <c r="N79" s="302">
        <f t="shared" si="20"/>
        <v>0</v>
      </c>
      <c r="O79" s="211">
        <v>4</v>
      </c>
    </row>
    <row r="80" spans="1:15">
      <c r="A80" s="203" t="s">
        <v>719</v>
      </c>
      <c r="B80" s="204">
        <v>456</v>
      </c>
      <c r="C80" s="205" t="s">
        <v>720</v>
      </c>
      <c r="D80" s="205" t="s">
        <v>721</v>
      </c>
      <c r="E80" s="1133">
        <v>3656.6</v>
      </c>
      <c r="F80" s="306" t="str">
        <f t="shared" si="22"/>
        <v>Traditional OOR</v>
      </c>
      <c r="G80" s="302">
        <f t="shared" si="17"/>
        <v>3656.6</v>
      </c>
      <c r="H80" s="207">
        <v>0</v>
      </c>
      <c r="I80" s="207">
        <f t="shared" si="18"/>
        <v>3656.6</v>
      </c>
      <c r="J80" s="302">
        <f t="shared" si="19"/>
        <v>0</v>
      </c>
      <c r="K80" s="302"/>
      <c r="L80" s="774"/>
      <c r="M80" s="208">
        <f t="shared" si="21"/>
        <v>0</v>
      </c>
      <c r="N80" s="302">
        <f t="shared" si="20"/>
        <v>0</v>
      </c>
      <c r="O80" s="211">
        <v>4</v>
      </c>
    </row>
    <row r="81" spans="1:15">
      <c r="A81" s="203" t="s">
        <v>722</v>
      </c>
      <c r="B81" s="204">
        <v>456</v>
      </c>
      <c r="C81" s="205" t="s">
        <v>723</v>
      </c>
      <c r="D81" s="205" t="s">
        <v>724</v>
      </c>
      <c r="E81" s="1133">
        <v>827.5</v>
      </c>
      <c r="F81" s="306" t="str">
        <f t="shared" si="22"/>
        <v>Traditional OOR</v>
      </c>
      <c r="G81" s="302">
        <f t="shared" si="17"/>
        <v>827.5</v>
      </c>
      <c r="H81" s="207">
        <v>0</v>
      </c>
      <c r="I81" s="207">
        <f t="shared" si="18"/>
        <v>827.5</v>
      </c>
      <c r="J81" s="302">
        <f t="shared" si="19"/>
        <v>0</v>
      </c>
      <c r="K81" s="302"/>
      <c r="L81" s="774"/>
      <c r="M81" s="208">
        <f t="shared" si="21"/>
        <v>0</v>
      </c>
      <c r="N81" s="302">
        <f t="shared" si="20"/>
        <v>0</v>
      </c>
      <c r="O81" s="211">
        <v>4</v>
      </c>
    </row>
    <row r="82" spans="1:15">
      <c r="A82" s="203" t="s">
        <v>725</v>
      </c>
      <c r="B82" s="204">
        <v>456</v>
      </c>
      <c r="C82" s="205" t="s">
        <v>726</v>
      </c>
      <c r="D82" s="205" t="s">
        <v>727</v>
      </c>
      <c r="E82" s="1133">
        <v>704.1</v>
      </c>
      <c r="F82" s="306" t="str">
        <f t="shared" si="22"/>
        <v>Traditional OOR</v>
      </c>
      <c r="G82" s="302">
        <f t="shared" si="17"/>
        <v>704.1</v>
      </c>
      <c r="H82" s="207">
        <v>0</v>
      </c>
      <c r="I82" s="207">
        <f t="shared" si="18"/>
        <v>704.1</v>
      </c>
      <c r="J82" s="302">
        <f t="shared" si="19"/>
        <v>0</v>
      </c>
      <c r="K82" s="302"/>
      <c r="L82" s="774"/>
      <c r="M82" s="208">
        <f t="shared" si="21"/>
        <v>0</v>
      </c>
      <c r="N82" s="302">
        <f t="shared" si="20"/>
        <v>0</v>
      </c>
      <c r="O82" s="211">
        <v>4</v>
      </c>
    </row>
    <row r="83" spans="1:15">
      <c r="A83" s="203" t="s">
        <v>728</v>
      </c>
      <c r="B83" s="204">
        <v>456</v>
      </c>
      <c r="C83" s="205" t="s">
        <v>729</v>
      </c>
      <c r="D83" s="205" t="s">
        <v>730</v>
      </c>
      <c r="E83" s="1133">
        <v>208656</v>
      </c>
      <c r="F83" s="306" t="str">
        <f t="shared" si="22"/>
        <v>Traditional OOR</v>
      </c>
      <c r="G83" s="302">
        <f t="shared" si="17"/>
        <v>208656</v>
      </c>
      <c r="H83" s="207">
        <v>0</v>
      </c>
      <c r="I83" s="207">
        <f t="shared" si="18"/>
        <v>208656</v>
      </c>
      <c r="J83" s="302">
        <f t="shared" si="19"/>
        <v>0</v>
      </c>
      <c r="K83" s="302"/>
      <c r="L83" s="774"/>
      <c r="M83" s="208">
        <f t="shared" si="21"/>
        <v>0</v>
      </c>
      <c r="N83" s="302">
        <f t="shared" si="20"/>
        <v>0</v>
      </c>
      <c r="O83" s="211">
        <v>4</v>
      </c>
    </row>
    <row r="84" spans="1:15">
      <c r="A84" s="203" t="s">
        <v>731</v>
      </c>
      <c r="B84" s="204">
        <v>456</v>
      </c>
      <c r="C84" s="205" t="s">
        <v>732</v>
      </c>
      <c r="D84" s="205" t="s">
        <v>733</v>
      </c>
      <c r="E84" s="1133">
        <v>1683568.62</v>
      </c>
      <c r="F84" s="306" t="str">
        <f t="shared" ref="F84:F94" si="23">$J$2</f>
        <v>GRSM</v>
      </c>
      <c r="G84" s="302">
        <f t="shared" si="17"/>
        <v>0</v>
      </c>
      <c r="H84" s="207">
        <v>0</v>
      </c>
      <c r="I84" s="207">
        <f t="shared" si="18"/>
        <v>0</v>
      </c>
      <c r="J84" s="302">
        <f t="shared" si="19"/>
        <v>1683568.62</v>
      </c>
      <c r="K84" s="341" t="s">
        <v>617</v>
      </c>
      <c r="L84" s="1134">
        <v>96227.860485484503</v>
      </c>
      <c r="M84" s="208">
        <f t="shared" si="21"/>
        <v>1587340.7595145155</v>
      </c>
      <c r="N84" s="302">
        <f t="shared" si="20"/>
        <v>0</v>
      </c>
      <c r="O84" s="211">
        <v>2</v>
      </c>
    </row>
    <row r="85" spans="1:15">
      <c r="A85" s="203" t="s">
        <v>734</v>
      </c>
      <c r="B85" s="204">
        <v>456</v>
      </c>
      <c r="C85" s="205" t="s">
        <v>735</v>
      </c>
      <c r="D85" s="205" t="s">
        <v>736</v>
      </c>
      <c r="E85" s="1133">
        <v>158342.53</v>
      </c>
      <c r="F85" s="306" t="str">
        <f t="shared" si="23"/>
        <v>GRSM</v>
      </c>
      <c r="G85" s="302">
        <f t="shared" si="17"/>
        <v>0</v>
      </c>
      <c r="H85" s="207">
        <v>0</v>
      </c>
      <c r="I85" s="207">
        <f t="shared" si="18"/>
        <v>0</v>
      </c>
      <c r="J85" s="302">
        <f t="shared" si="19"/>
        <v>158342.53</v>
      </c>
      <c r="K85" s="341" t="s">
        <v>617</v>
      </c>
      <c r="L85" s="1134">
        <v>25614.9549129886</v>
      </c>
      <c r="M85" s="208">
        <f t="shared" si="21"/>
        <v>132727.57508701138</v>
      </c>
      <c r="N85" s="302">
        <f t="shared" si="20"/>
        <v>0</v>
      </c>
      <c r="O85" s="211">
        <v>2</v>
      </c>
    </row>
    <row r="86" spans="1:15">
      <c r="A86" s="203" t="s">
        <v>737</v>
      </c>
      <c r="B86" s="204">
        <v>456</v>
      </c>
      <c r="C86" s="205" t="s">
        <v>738</v>
      </c>
      <c r="D86" s="205" t="s">
        <v>739</v>
      </c>
      <c r="E86" s="1133">
        <v>31125</v>
      </c>
      <c r="F86" s="306" t="str">
        <f t="shared" si="23"/>
        <v>GRSM</v>
      </c>
      <c r="G86" s="302">
        <f t="shared" si="17"/>
        <v>0</v>
      </c>
      <c r="H86" s="207">
        <v>0</v>
      </c>
      <c r="I86" s="207">
        <f t="shared" si="18"/>
        <v>0</v>
      </c>
      <c r="J86" s="302">
        <f t="shared" si="19"/>
        <v>31125</v>
      </c>
      <c r="K86" s="341" t="s">
        <v>617</v>
      </c>
      <c r="L86" s="774">
        <v>0</v>
      </c>
      <c r="M86" s="208">
        <f t="shared" si="21"/>
        <v>31125</v>
      </c>
      <c r="N86" s="302">
        <f t="shared" si="20"/>
        <v>0</v>
      </c>
      <c r="O86" s="211">
        <v>2</v>
      </c>
    </row>
    <row r="87" spans="1:15">
      <c r="A87" s="1026" t="s">
        <v>740</v>
      </c>
      <c r="B87" s="204">
        <v>456</v>
      </c>
      <c r="C87" s="205" t="s">
        <v>742</v>
      </c>
      <c r="D87" s="205" t="s">
        <v>743</v>
      </c>
      <c r="E87" s="1133"/>
      <c r="F87" s="306" t="str">
        <f t="shared" si="23"/>
        <v>GRSM</v>
      </c>
      <c r="G87" s="302">
        <f t="shared" si="17"/>
        <v>0</v>
      </c>
      <c r="H87" s="207">
        <v>0</v>
      </c>
      <c r="I87" s="207">
        <f t="shared" si="18"/>
        <v>0</v>
      </c>
      <c r="J87" s="302">
        <f t="shared" si="19"/>
        <v>0</v>
      </c>
      <c r="K87" s="341" t="s">
        <v>617</v>
      </c>
      <c r="L87" s="774"/>
      <c r="M87" s="208">
        <f t="shared" si="21"/>
        <v>0</v>
      </c>
      <c r="N87" s="302">
        <f t="shared" si="20"/>
        <v>0</v>
      </c>
      <c r="O87" s="211">
        <v>2</v>
      </c>
    </row>
    <row r="88" spans="1:15">
      <c r="A88" s="1026" t="s">
        <v>741</v>
      </c>
      <c r="B88" s="204">
        <v>456</v>
      </c>
      <c r="C88" s="205" t="s">
        <v>745</v>
      </c>
      <c r="D88" s="205" t="s">
        <v>746</v>
      </c>
      <c r="E88" s="1133">
        <v>2800</v>
      </c>
      <c r="F88" s="306" t="str">
        <f t="shared" si="23"/>
        <v>GRSM</v>
      </c>
      <c r="G88" s="302">
        <f t="shared" si="17"/>
        <v>0</v>
      </c>
      <c r="H88" s="207">
        <v>0</v>
      </c>
      <c r="I88" s="207">
        <f t="shared" si="18"/>
        <v>0</v>
      </c>
      <c r="J88" s="302">
        <f t="shared" si="19"/>
        <v>2800</v>
      </c>
      <c r="K88" s="341" t="s">
        <v>617</v>
      </c>
      <c r="L88" s="774">
        <v>2800</v>
      </c>
      <c r="M88" s="208">
        <f t="shared" si="21"/>
        <v>0</v>
      </c>
      <c r="N88" s="302">
        <f t="shared" si="20"/>
        <v>0</v>
      </c>
      <c r="O88" s="211">
        <v>2</v>
      </c>
    </row>
    <row r="89" spans="1:15">
      <c r="A89" s="1026" t="s">
        <v>744</v>
      </c>
      <c r="B89" s="204">
        <v>456</v>
      </c>
      <c r="C89" s="205" t="s">
        <v>748</v>
      </c>
      <c r="D89" s="205" t="s">
        <v>749</v>
      </c>
      <c r="E89" s="1133">
        <v>5365</v>
      </c>
      <c r="F89" s="306" t="str">
        <f t="shared" si="23"/>
        <v>GRSM</v>
      </c>
      <c r="G89" s="302">
        <f t="shared" si="17"/>
        <v>0</v>
      </c>
      <c r="H89" s="207">
        <v>0</v>
      </c>
      <c r="I89" s="207">
        <f t="shared" si="18"/>
        <v>0</v>
      </c>
      <c r="J89" s="302">
        <f t="shared" si="19"/>
        <v>5365</v>
      </c>
      <c r="K89" s="341" t="s">
        <v>617</v>
      </c>
      <c r="L89" s="774">
        <v>3315.6004201794799</v>
      </c>
      <c r="M89" s="208">
        <f t="shared" si="21"/>
        <v>2049.3995798205201</v>
      </c>
      <c r="N89" s="302">
        <f t="shared" si="20"/>
        <v>0</v>
      </c>
      <c r="O89" s="206">
        <v>2</v>
      </c>
    </row>
    <row r="90" spans="1:15">
      <c r="A90" s="1026" t="s">
        <v>747</v>
      </c>
      <c r="B90" s="204">
        <v>456</v>
      </c>
      <c r="C90" s="205" t="s">
        <v>750</v>
      </c>
      <c r="D90" s="205" t="s">
        <v>751</v>
      </c>
      <c r="E90" s="1133"/>
      <c r="F90" s="306" t="str">
        <f t="shared" si="23"/>
        <v>GRSM</v>
      </c>
      <c r="G90" s="302">
        <f t="shared" si="17"/>
        <v>0</v>
      </c>
      <c r="H90" s="207">
        <v>0</v>
      </c>
      <c r="I90" s="207">
        <f t="shared" si="18"/>
        <v>0</v>
      </c>
      <c r="J90" s="302">
        <f t="shared" si="19"/>
        <v>0</v>
      </c>
      <c r="K90" s="341" t="s">
        <v>561</v>
      </c>
      <c r="L90" s="774"/>
      <c r="M90" s="208">
        <f t="shared" si="21"/>
        <v>0</v>
      </c>
      <c r="N90" s="302">
        <f t="shared" si="20"/>
        <v>0</v>
      </c>
      <c r="O90" s="206">
        <v>2</v>
      </c>
    </row>
    <row r="91" spans="1:15">
      <c r="A91" s="1361" t="s">
        <v>814</v>
      </c>
      <c r="B91" s="204">
        <v>456</v>
      </c>
      <c r="C91" s="205" t="s">
        <v>753</v>
      </c>
      <c r="D91" s="205" t="s">
        <v>754</v>
      </c>
      <c r="E91" s="1133"/>
      <c r="F91" s="306" t="str">
        <f t="shared" si="23"/>
        <v>GRSM</v>
      </c>
      <c r="G91" s="302">
        <f t="shared" si="17"/>
        <v>0</v>
      </c>
      <c r="H91" s="207">
        <v>0</v>
      </c>
      <c r="I91" s="207">
        <f t="shared" si="18"/>
        <v>0</v>
      </c>
      <c r="J91" s="302">
        <f t="shared" si="19"/>
        <v>0</v>
      </c>
      <c r="K91" s="341" t="s">
        <v>561</v>
      </c>
      <c r="L91" s="774"/>
      <c r="M91" s="208">
        <f>J91-L91</f>
        <v>0</v>
      </c>
      <c r="N91" s="302">
        <f t="shared" si="20"/>
        <v>0</v>
      </c>
      <c r="O91" s="206">
        <v>2</v>
      </c>
    </row>
    <row r="92" spans="1:15">
      <c r="A92" s="1360" t="s">
        <v>817</v>
      </c>
      <c r="B92" s="204">
        <v>456</v>
      </c>
      <c r="C92" s="205" t="s">
        <v>756</v>
      </c>
      <c r="D92" s="205" t="s">
        <v>757</v>
      </c>
      <c r="E92" s="1133"/>
      <c r="F92" s="306" t="str">
        <f t="shared" si="23"/>
        <v>GRSM</v>
      </c>
      <c r="G92" s="302">
        <f t="shared" si="17"/>
        <v>0</v>
      </c>
      <c r="H92" s="207">
        <v>0</v>
      </c>
      <c r="I92" s="207">
        <f t="shared" si="18"/>
        <v>0</v>
      </c>
      <c r="J92" s="302">
        <f t="shared" si="19"/>
        <v>0</v>
      </c>
      <c r="K92" s="341" t="s">
        <v>561</v>
      </c>
      <c r="L92" s="774"/>
      <c r="M92" s="208">
        <f t="shared" si="21"/>
        <v>0</v>
      </c>
      <c r="N92" s="302">
        <f t="shared" si="20"/>
        <v>0</v>
      </c>
      <c r="O92" s="206">
        <v>2</v>
      </c>
    </row>
    <row r="93" spans="1:15">
      <c r="A93" s="1361" t="s">
        <v>820</v>
      </c>
      <c r="B93" s="204">
        <v>456</v>
      </c>
      <c r="C93" s="205" t="s">
        <v>759</v>
      </c>
      <c r="D93" s="205" t="s">
        <v>760</v>
      </c>
      <c r="E93" s="1133"/>
      <c r="F93" s="306" t="str">
        <f t="shared" si="23"/>
        <v>GRSM</v>
      </c>
      <c r="G93" s="302">
        <f t="shared" si="17"/>
        <v>0</v>
      </c>
      <c r="H93" s="207">
        <v>0</v>
      </c>
      <c r="I93" s="207">
        <f t="shared" si="18"/>
        <v>0</v>
      </c>
      <c r="J93" s="302">
        <f>IF(F93=$J$2,E93,0)</f>
        <v>0</v>
      </c>
      <c r="K93" s="341" t="s">
        <v>561</v>
      </c>
      <c r="L93" s="774"/>
      <c r="M93" s="208">
        <f t="shared" si="21"/>
        <v>0</v>
      </c>
      <c r="N93" s="302">
        <f t="shared" si="20"/>
        <v>0</v>
      </c>
      <c r="O93" s="211">
        <v>2</v>
      </c>
    </row>
    <row r="94" spans="1:15">
      <c r="A94" s="203" t="s">
        <v>752</v>
      </c>
      <c r="B94" s="204">
        <v>456</v>
      </c>
      <c r="C94" s="205" t="s">
        <v>762</v>
      </c>
      <c r="D94" s="205" t="s">
        <v>763</v>
      </c>
      <c r="E94" s="1133">
        <v>24950.240000000002</v>
      </c>
      <c r="F94" s="306" t="str">
        <f t="shared" si="23"/>
        <v>GRSM</v>
      </c>
      <c r="G94" s="302">
        <f t="shared" si="17"/>
        <v>0</v>
      </c>
      <c r="H94" s="207">
        <v>0</v>
      </c>
      <c r="I94" s="207">
        <f t="shared" si="18"/>
        <v>0</v>
      </c>
      <c r="J94" s="302">
        <f t="shared" si="19"/>
        <v>24950.240000000002</v>
      </c>
      <c r="K94" s="341" t="s">
        <v>561</v>
      </c>
      <c r="L94" s="1134"/>
      <c r="M94" s="207">
        <f t="shared" si="21"/>
        <v>24950.240000000002</v>
      </c>
      <c r="N94" s="302">
        <f t="shared" si="20"/>
        <v>0</v>
      </c>
      <c r="O94" s="206">
        <v>2</v>
      </c>
    </row>
    <row r="95" spans="1:15">
      <c r="A95" s="203" t="s">
        <v>755</v>
      </c>
      <c r="B95" s="204">
        <v>456</v>
      </c>
      <c r="C95" s="205" t="s">
        <v>765</v>
      </c>
      <c r="D95" s="205" t="s">
        <v>766</v>
      </c>
      <c r="E95" s="1133">
        <v>296570.53999999998</v>
      </c>
      <c r="F95" s="306" t="str">
        <f>$N$2</f>
        <v>Other Ratemaking</v>
      </c>
      <c r="G95" s="302">
        <f t="shared" si="17"/>
        <v>0</v>
      </c>
      <c r="H95" s="207">
        <v>0</v>
      </c>
      <c r="I95" s="207">
        <f t="shared" si="18"/>
        <v>0</v>
      </c>
      <c r="J95" s="302">
        <f t="shared" si="19"/>
        <v>0</v>
      </c>
      <c r="K95" s="302"/>
      <c r="L95" s="774"/>
      <c r="M95" s="208">
        <f t="shared" si="21"/>
        <v>0</v>
      </c>
      <c r="N95" s="302">
        <f t="shared" si="20"/>
        <v>296570.53999999998</v>
      </c>
      <c r="O95" s="211">
        <v>6</v>
      </c>
    </row>
    <row r="96" spans="1:15">
      <c r="A96" s="203" t="s">
        <v>758</v>
      </c>
      <c r="B96" s="204">
        <v>456</v>
      </c>
      <c r="C96" s="205" t="s">
        <v>768</v>
      </c>
      <c r="D96" s="205" t="s">
        <v>769</v>
      </c>
      <c r="E96" s="1133">
        <v>11518648.529999999</v>
      </c>
      <c r="F96" s="306" t="str">
        <f>$G$2</f>
        <v>Traditional OOR</v>
      </c>
      <c r="G96" s="302">
        <f t="shared" si="17"/>
        <v>11518648.529999999</v>
      </c>
      <c r="H96" s="207">
        <v>0</v>
      </c>
      <c r="I96" s="207">
        <f t="shared" si="18"/>
        <v>11518648.529999999</v>
      </c>
      <c r="J96" s="302">
        <f t="shared" si="19"/>
        <v>0</v>
      </c>
      <c r="K96" s="302"/>
      <c r="L96" s="774"/>
      <c r="M96" s="208">
        <f t="shared" si="21"/>
        <v>0</v>
      </c>
      <c r="N96" s="302">
        <f t="shared" si="20"/>
        <v>0</v>
      </c>
      <c r="O96" s="211">
        <v>4</v>
      </c>
    </row>
    <row r="97" spans="1:15">
      <c r="A97" s="203" t="s">
        <v>761</v>
      </c>
      <c r="B97" s="204">
        <v>456</v>
      </c>
      <c r="C97" s="205" t="s">
        <v>771</v>
      </c>
      <c r="D97" s="1025" t="s">
        <v>1734</v>
      </c>
      <c r="E97" s="1133">
        <v>134519011.94999999</v>
      </c>
      <c r="F97" s="306" t="str">
        <f t="shared" ref="F97:F102" si="24">$N$2</f>
        <v>Other Ratemaking</v>
      </c>
      <c r="G97" s="302">
        <f t="shared" si="17"/>
        <v>0</v>
      </c>
      <c r="H97" s="207">
        <v>0</v>
      </c>
      <c r="I97" s="207">
        <f t="shared" si="18"/>
        <v>0</v>
      </c>
      <c r="J97" s="302">
        <f t="shared" si="19"/>
        <v>0</v>
      </c>
      <c r="K97" s="302"/>
      <c r="L97" s="774"/>
      <c r="M97" s="208">
        <f t="shared" si="21"/>
        <v>0</v>
      </c>
      <c r="N97" s="302">
        <f t="shared" si="20"/>
        <v>134519011.94999999</v>
      </c>
      <c r="O97" s="211">
        <v>6</v>
      </c>
    </row>
    <row r="98" spans="1:15">
      <c r="A98" s="203" t="s">
        <v>764</v>
      </c>
      <c r="B98" s="204">
        <v>456</v>
      </c>
      <c r="C98" s="205" t="s">
        <v>773</v>
      </c>
      <c r="D98" s="1025" t="s">
        <v>1735</v>
      </c>
      <c r="E98" s="1133">
        <v>-35894910.229999997</v>
      </c>
      <c r="F98" s="306" t="str">
        <f t="shared" si="24"/>
        <v>Other Ratemaking</v>
      </c>
      <c r="G98" s="302">
        <f t="shared" si="17"/>
        <v>0</v>
      </c>
      <c r="H98" s="207">
        <v>0</v>
      </c>
      <c r="I98" s="207">
        <f t="shared" si="18"/>
        <v>0</v>
      </c>
      <c r="J98" s="302">
        <f t="shared" si="19"/>
        <v>0</v>
      </c>
      <c r="K98" s="302"/>
      <c r="L98" s="774"/>
      <c r="M98" s="208">
        <f t="shared" si="21"/>
        <v>0</v>
      </c>
      <c r="N98" s="302">
        <f t="shared" si="20"/>
        <v>-35894910.229999997</v>
      </c>
      <c r="O98" s="211">
        <v>6</v>
      </c>
    </row>
    <row r="99" spans="1:15">
      <c r="A99" s="203" t="s">
        <v>767</v>
      </c>
      <c r="B99" s="204">
        <v>456</v>
      </c>
      <c r="C99" s="205" t="s">
        <v>775</v>
      </c>
      <c r="D99" s="205" t="s">
        <v>776</v>
      </c>
      <c r="E99" s="1133">
        <v>-134518430.02000001</v>
      </c>
      <c r="F99" s="306" t="str">
        <f t="shared" si="24"/>
        <v>Other Ratemaking</v>
      </c>
      <c r="G99" s="302">
        <f t="shared" si="17"/>
        <v>0</v>
      </c>
      <c r="H99" s="207">
        <v>0</v>
      </c>
      <c r="I99" s="207">
        <f t="shared" si="18"/>
        <v>0</v>
      </c>
      <c r="J99" s="302">
        <f t="shared" si="19"/>
        <v>0</v>
      </c>
      <c r="K99" s="302"/>
      <c r="L99" s="774"/>
      <c r="M99" s="208">
        <f t="shared" si="21"/>
        <v>0</v>
      </c>
      <c r="N99" s="302">
        <f t="shared" si="20"/>
        <v>-134518430.02000001</v>
      </c>
      <c r="O99" s="211">
        <v>6</v>
      </c>
    </row>
    <row r="100" spans="1:15">
      <c r="A100" s="203" t="s">
        <v>770</v>
      </c>
      <c r="B100" s="204">
        <v>456</v>
      </c>
      <c r="C100" s="205" t="s">
        <v>778</v>
      </c>
      <c r="D100" s="205" t="s">
        <v>779</v>
      </c>
      <c r="E100" s="1133">
        <v>35894910.229999997</v>
      </c>
      <c r="F100" s="306" t="str">
        <f t="shared" si="24"/>
        <v>Other Ratemaking</v>
      </c>
      <c r="G100" s="302">
        <f t="shared" si="17"/>
        <v>0</v>
      </c>
      <c r="H100" s="207">
        <v>0</v>
      </c>
      <c r="I100" s="207">
        <f t="shared" si="18"/>
        <v>0</v>
      </c>
      <c r="J100" s="302">
        <f t="shared" si="19"/>
        <v>0</v>
      </c>
      <c r="K100" s="302"/>
      <c r="L100" s="774"/>
      <c r="M100" s="208">
        <f t="shared" si="21"/>
        <v>0</v>
      </c>
      <c r="N100" s="302">
        <f t="shared" si="20"/>
        <v>35894910.229999997</v>
      </c>
      <c r="O100" s="211">
        <v>6</v>
      </c>
    </row>
    <row r="101" spans="1:15">
      <c r="A101" s="203" t="s">
        <v>772</v>
      </c>
      <c r="B101" s="204">
        <v>456</v>
      </c>
      <c r="C101" s="205" t="s">
        <v>781</v>
      </c>
      <c r="D101" s="1025" t="s">
        <v>1736</v>
      </c>
      <c r="E101" s="1133">
        <v>21363400.280000001</v>
      </c>
      <c r="F101" s="306" t="str">
        <f t="shared" si="24"/>
        <v>Other Ratemaking</v>
      </c>
      <c r="G101" s="302">
        <f t="shared" si="17"/>
        <v>0</v>
      </c>
      <c r="H101" s="207">
        <v>0</v>
      </c>
      <c r="I101" s="207">
        <f t="shared" si="18"/>
        <v>0</v>
      </c>
      <c r="J101" s="302">
        <f t="shared" si="19"/>
        <v>0</v>
      </c>
      <c r="K101" s="302"/>
      <c r="L101" s="774"/>
      <c r="M101" s="208">
        <f t="shared" si="21"/>
        <v>0</v>
      </c>
      <c r="N101" s="302">
        <f t="shared" si="20"/>
        <v>21363400.280000001</v>
      </c>
      <c r="O101" s="211">
        <v>6</v>
      </c>
    </row>
    <row r="102" spans="1:15">
      <c r="A102" s="203" t="s">
        <v>774</v>
      </c>
      <c r="B102" s="204">
        <v>456</v>
      </c>
      <c r="C102" s="205" t="s">
        <v>783</v>
      </c>
      <c r="D102" s="205" t="s">
        <v>784</v>
      </c>
      <c r="E102" s="1133">
        <v>-21363400.280000001</v>
      </c>
      <c r="F102" s="306" t="str">
        <f t="shared" si="24"/>
        <v>Other Ratemaking</v>
      </c>
      <c r="G102" s="302">
        <f t="shared" si="17"/>
        <v>0</v>
      </c>
      <c r="H102" s="207">
        <v>0</v>
      </c>
      <c r="I102" s="207">
        <f t="shared" si="18"/>
        <v>0</v>
      </c>
      <c r="J102" s="302">
        <f t="shared" si="19"/>
        <v>0</v>
      </c>
      <c r="K102" s="302"/>
      <c r="L102" s="774"/>
      <c r="M102" s="208">
        <f t="shared" si="21"/>
        <v>0</v>
      </c>
      <c r="N102" s="302">
        <f t="shared" si="20"/>
        <v>-21363400.280000001</v>
      </c>
      <c r="O102" s="211">
        <v>6</v>
      </c>
    </row>
    <row r="103" spans="1:15">
      <c r="A103" s="203" t="s">
        <v>777</v>
      </c>
      <c r="B103" s="204">
        <v>456</v>
      </c>
      <c r="C103" s="205" t="s">
        <v>786</v>
      </c>
      <c r="D103" s="205" t="s">
        <v>787</v>
      </c>
      <c r="E103" s="1133"/>
      <c r="F103" s="306" t="str">
        <f>$J$2</f>
        <v>GRSM</v>
      </c>
      <c r="G103" s="302">
        <f t="shared" si="17"/>
        <v>0</v>
      </c>
      <c r="H103" s="207">
        <v>0</v>
      </c>
      <c r="I103" s="207">
        <f t="shared" si="18"/>
        <v>0</v>
      </c>
      <c r="J103" s="302">
        <f t="shared" si="19"/>
        <v>0</v>
      </c>
      <c r="K103" s="341" t="s">
        <v>561</v>
      </c>
      <c r="L103" s="774"/>
      <c r="M103" s="208">
        <f t="shared" si="21"/>
        <v>0</v>
      </c>
      <c r="N103" s="302">
        <f t="shared" si="20"/>
        <v>0</v>
      </c>
      <c r="O103" s="211">
        <v>2</v>
      </c>
    </row>
    <row r="104" spans="1:15">
      <c r="A104" s="203" t="s">
        <v>780</v>
      </c>
      <c r="B104" s="204">
        <v>456</v>
      </c>
      <c r="C104" s="205" t="s">
        <v>789</v>
      </c>
      <c r="D104" s="205" t="s">
        <v>790</v>
      </c>
      <c r="E104" s="1134"/>
      <c r="F104" s="306" t="str">
        <f>$J$2</f>
        <v>GRSM</v>
      </c>
      <c r="G104" s="302">
        <f t="shared" si="17"/>
        <v>0</v>
      </c>
      <c r="H104" s="207">
        <v>0</v>
      </c>
      <c r="I104" s="207">
        <f t="shared" si="18"/>
        <v>0</v>
      </c>
      <c r="J104" s="302">
        <f t="shared" si="19"/>
        <v>0</v>
      </c>
      <c r="K104" s="341" t="s">
        <v>561</v>
      </c>
      <c r="L104" s="1134"/>
      <c r="M104" s="208">
        <f t="shared" si="21"/>
        <v>0</v>
      </c>
      <c r="N104" s="302">
        <f t="shared" si="20"/>
        <v>0</v>
      </c>
      <c r="O104" s="211">
        <v>2</v>
      </c>
    </row>
    <row r="105" spans="1:15">
      <c r="A105" s="203" t="s">
        <v>782</v>
      </c>
      <c r="B105" s="204">
        <v>456</v>
      </c>
      <c r="C105" s="205" t="s">
        <v>793</v>
      </c>
      <c r="D105" s="205" t="s">
        <v>794</v>
      </c>
      <c r="E105" s="1133">
        <v>213221.81</v>
      </c>
      <c r="F105" s="306" t="str">
        <f t="shared" ref="F105:F114" si="25">$G$2</f>
        <v>Traditional OOR</v>
      </c>
      <c r="G105" s="302">
        <f t="shared" si="17"/>
        <v>213221.81</v>
      </c>
      <c r="H105" s="207">
        <v>0</v>
      </c>
      <c r="I105" s="207">
        <f t="shared" si="18"/>
        <v>213221.81</v>
      </c>
      <c r="J105" s="302">
        <f t="shared" si="19"/>
        <v>0</v>
      </c>
      <c r="K105" s="302"/>
      <c r="L105" s="774"/>
      <c r="M105" s="208">
        <f t="shared" si="21"/>
        <v>0</v>
      </c>
      <c r="N105" s="302">
        <f t="shared" si="20"/>
        <v>0</v>
      </c>
      <c r="O105" s="211">
        <v>1</v>
      </c>
    </row>
    <row r="106" spans="1:15">
      <c r="A106" s="203" t="s">
        <v>785</v>
      </c>
      <c r="B106" s="204">
        <v>456</v>
      </c>
      <c r="C106" s="205" t="s">
        <v>797</v>
      </c>
      <c r="D106" s="205" t="s">
        <v>798</v>
      </c>
      <c r="E106" s="1133">
        <v>4153400.71</v>
      </c>
      <c r="F106" s="306" t="str">
        <f t="shared" si="25"/>
        <v>Traditional OOR</v>
      </c>
      <c r="G106" s="302">
        <f t="shared" si="17"/>
        <v>4153400.71</v>
      </c>
      <c r="H106" s="207">
        <v>0</v>
      </c>
      <c r="I106" s="207">
        <f t="shared" si="18"/>
        <v>4153400.71</v>
      </c>
      <c r="J106" s="302">
        <f t="shared" si="19"/>
        <v>0</v>
      </c>
      <c r="K106" s="302"/>
      <c r="L106" s="774"/>
      <c r="M106" s="208">
        <f t="shared" si="21"/>
        <v>0</v>
      </c>
      <c r="N106" s="302">
        <f t="shared" si="20"/>
        <v>0</v>
      </c>
      <c r="O106" s="211">
        <v>4</v>
      </c>
    </row>
    <row r="107" spans="1:15">
      <c r="A107" s="203" t="s">
        <v>788</v>
      </c>
      <c r="B107" s="204">
        <v>456</v>
      </c>
      <c r="C107" s="205" t="s">
        <v>800</v>
      </c>
      <c r="D107" s="205" t="s">
        <v>801</v>
      </c>
      <c r="E107" s="1133">
        <v>154068</v>
      </c>
      <c r="F107" s="306" t="str">
        <f t="shared" si="25"/>
        <v>Traditional OOR</v>
      </c>
      <c r="G107" s="302">
        <f t="shared" si="17"/>
        <v>154068</v>
      </c>
      <c r="H107" s="207">
        <v>0</v>
      </c>
      <c r="I107" s="207">
        <f t="shared" si="18"/>
        <v>154068</v>
      </c>
      <c r="J107" s="302">
        <f t="shared" si="19"/>
        <v>0</v>
      </c>
      <c r="K107" s="302"/>
      <c r="L107" s="774"/>
      <c r="M107" s="208">
        <f t="shared" si="21"/>
        <v>0</v>
      </c>
      <c r="N107" s="302">
        <f t="shared" si="20"/>
        <v>0</v>
      </c>
      <c r="O107" s="211">
        <v>4</v>
      </c>
    </row>
    <row r="108" spans="1:15">
      <c r="A108" s="1026" t="s">
        <v>791</v>
      </c>
      <c r="B108" s="204">
        <v>456</v>
      </c>
      <c r="C108" s="205" t="s">
        <v>803</v>
      </c>
      <c r="D108" s="205" t="s">
        <v>804</v>
      </c>
      <c r="E108" s="1133"/>
      <c r="F108" s="306" t="str">
        <f t="shared" si="25"/>
        <v>Traditional OOR</v>
      </c>
      <c r="G108" s="302">
        <f t="shared" si="17"/>
        <v>0</v>
      </c>
      <c r="H108" s="207">
        <v>0</v>
      </c>
      <c r="I108" s="207">
        <f t="shared" si="18"/>
        <v>0</v>
      </c>
      <c r="J108" s="302">
        <f t="shared" si="19"/>
        <v>0</v>
      </c>
      <c r="K108" s="302"/>
      <c r="L108" s="774"/>
      <c r="M108" s="208">
        <f t="shared" si="21"/>
        <v>0</v>
      </c>
      <c r="N108" s="302">
        <f t="shared" si="20"/>
        <v>0</v>
      </c>
      <c r="O108" s="211">
        <v>4</v>
      </c>
    </row>
    <row r="109" spans="1:15">
      <c r="A109" s="1026" t="s">
        <v>792</v>
      </c>
      <c r="B109" s="204">
        <v>456</v>
      </c>
      <c r="C109" s="205" t="s">
        <v>806</v>
      </c>
      <c r="D109" s="205" t="s">
        <v>807</v>
      </c>
      <c r="E109" s="1133"/>
      <c r="F109" s="306" t="str">
        <f t="shared" si="25"/>
        <v>Traditional OOR</v>
      </c>
      <c r="G109" s="302">
        <f t="shared" si="17"/>
        <v>0</v>
      </c>
      <c r="H109" s="207">
        <v>0</v>
      </c>
      <c r="I109" s="207">
        <f t="shared" si="18"/>
        <v>0</v>
      </c>
      <c r="J109" s="302">
        <f t="shared" si="19"/>
        <v>0</v>
      </c>
      <c r="K109" s="302"/>
      <c r="L109" s="774"/>
      <c r="M109" s="208">
        <f t="shared" si="21"/>
        <v>0</v>
      </c>
      <c r="N109" s="302">
        <f t="shared" si="20"/>
        <v>0</v>
      </c>
      <c r="O109" s="211">
        <v>1</v>
      </c>
    </row>
    <row r="110" spans="1:15">
      <c r="A110" s="1026" t="s">
        <v>795</v>
      </c>
      <c r="B110" s="204">
        <v>456</v>
      </c>
      <c r="C110" s="205" t="s">
        <v>809</v>
      </c>
      <c r="D110" s="205" t="s">
        <v>810</v>
      </c>
      <c r="E110" s="1133"/>
      <c r="F110" s="306" t="str">
        <f t="shared" si="25"/>
        <v>Traditional OOR</v>
      </c>
      <c r="G110" s="302">
        <f t="shared" si="17"/>
        <v>0</v>
      </c>
      <c r="H110" s="207">
        <v>0</v>
      </c>
      <c r="I110" s="207">
        <f t="shared" si="18"/>
        <v>0</v>
      </c>
      <c r="J110" s="302">
        <f t="shared" si="19"/>
        <v>0</v>
      </c>
      <c r="K110" s="302"/>
      <c r="L110" s="774"/>
      <c r="M110" s="208">
        <f t="shared" si="21"/>
        <v>0</v>
      </c>
      <c r="N110" s="302">
        <f t="shared" si="20"/>
        <v>0</v>
      </c>
      <c r="O110" s="211">
        <v>4</v>
      </c>
    </row>
    <row r="111" spans="1:15">
      <c r="A111" s="1026" t="s">
        <v>796</v>
      </c>
      <c r="B111" s="204">
        <v>456</v>
      </c>
      <c r="C111" s="205" t="s">
        <v>812</v>
      </c>
      <c r="D111" s="205" t="s">
        <v>813</v>
      </c>
      <c r="E111" s="1133">
        <v>1872662.71</v>
      </c>
      <c r="F111" s="306" t="str">
        <f t="shared" si="25"/>
        <v>Traditional OOR</v>
      </c>
      <c r="G111" s="302">
        <f t="shared" si="17"/>
        <v>1872662.71</v>
      </c>
      <c r="H111" s="774">
        <v>25838.400000000001</v>
      </c>
      <c r="I111" s="207">
        <f t="shared" si="18"/>
        <v>1846824.31</v>
      </c>
      <c r="J111" s="302">
        <f t="shared" si="19"/>
        <v>0</v>
      </c>
      <c r="K111" s="302"/>
      <c r="L111" s="774"/>
      <c r="M111" s="208">
        <f t="shared" si="21"/>
        <v>0</v>
      </c>
      <c r="N111" s="302">
        <f t="shared" si="20"/>
        <v>0</v>
      </c>
      <c r="O111" s="206">
        <v>8</v>
      </c>
    </row>
    <row r="112" spans="1:15">
      <c r="A112" s="1026" t="s">
        <v>799</v>
      </c>
      <c r="B112" s="204">
        <v>456</v>
      </c>
      <c r="C112" s="205" t="s">
        <v>815</v>
      </c>
      <c r="D112" s="205" t="s">
        <v>816</v>
      </c>
      <c r="E112" s="1133">
        <v>13178621.02</v>
      </c>
      <c r="F112" s="306" t="str">
        <f t="shared" si="25"/>
        <v>Traditional OOR</v>
      </c>
      <c r="G112" s="302">
        <f t="shared" si="17"/>
        <v>13178621.02</v>
      </c>
      <c r="H112" s="207">
        <v>0</v>
      </c>
      <c r="I112" s="207">
        <f t="shared" si="18"/>
        <v>13178621.02</v>
      </c>
      <c r="J112" s="302">
        <f t="shared" si="19"/>
        <v>0</v>
      </c>
      <c r="K112" s="302"/>
      <c r="L112" s="774"/>
      <c r="M112" s="208">
        <f t="shared" si="21"/>
        <v>0</v>
      </c>
      <c r="N112" s="302">
        <f t="shared" si="20"/>
        <v>0</v>
      </c>
      <c r="O112" s="211">
        <v>4</v>
      </c>
    </row>
    <row r="113" spans="1:15">
      <c r="A113" s="1026" t="s">
        <v>802</v>
      </c>
      <c r="B113" s="204">
        <v>456</v>
      </c>
      <c r="C113" s="205" t="s">
        <v>818</v>
      </c>
      <c r="D113" s="205" t="s">
        <v>819</v>
      </c>
      <c r="E113" s="1133">
        <v>2536.8000000000002</v>
      </c>
      <c r="F113" s="306" t="str">
        <f t="shared" si="25"/>
        <v>Traditional OOR</v>
      </c>
      <c r="G113" s="302">
        <f t="shared" si="17"/>
        <v>2536.8000000000002</v>
      </c>
      <c r="H113" s="207">
        <v>0</v>
      </c>
      <c r="I113" s="207">
        <f t="shared" si="18"/>
        <v>2536.8000000000002</v>
      </c>
      <c r="J113" s="302">
        <f t="shared" si="19"/>
        <v>0</v>
      </c>
      <c r="K113" s="302"/>
      <c r="L113" s="774"/>
      <c r="M113" s="208">
        <f t="shared" si="21"/>
        <v>0</v>
      </c>
      <c r="N113" s="302">
        <f t="shared" si="20"/>
        <v>0</v>
      </c>
      <c r="O113" s="211">
        <v>4</v>
      </c>
    </row>
    <row r="114" spans="1:15">
      <c r="A114" s="1026" t="s">
        <v>805</v>
      </c>
      <c r="B114" s="204">
        <v>456</v>
      </c>
      <c r="C114" s="205" t="s">
        <v>821</v>
      </c>
      <c r="D114" s="205" t="s">
        <v>822</v>
      </c>
      <c r="E114" s="1133">
        <v>673777.81</v>
      </c>
      <c r="F114" s="306" t="str">
        <f t="shared" si="25"/>
        <v>Traditional OOR</v>
      </c>
      <c r="G114" s="302">
        <f t="shared" si="17"/>
        <v>673777.81</v>
      </c>
      <c r="H114" s="207">
        <v>0</v>
      </c>
      <c r="I114" s="207">
        <f t="shared" si="18"/>
        <v>673777.81</v>
      </c>
      <c r="J114" s="302">
        <f t="shared" si="19"/>
        <v>0</v>
      </c>
      <c r="K114" s="302"/>
      <c r="L114" s="774"/>
      <c r="M114" s="208">
        <f t="shared" si="21"/>
        <v>0</v>
      </c>
      <c r="N114" s="302">
        <f t="shared" si="20"/>
        <v>0</v>
      </c>
      <c r="O114" s="211">
        <v>6</v>
      </c>
    </row>
    <row r="115" spans="1:15">
      <c r="A115" s="1026" t="s">
        <v>808</v>
      </c>
      <c r="B115" s="204">
        <v>456</v>
      </c>
      <c r="C115" s="203" t="s">
        <v>1396</v>
      </c>
      <c r="D115" s="205" t="s">
        <v>1395</v>
      </c>
      <c r="E115" s="1133"/>
      <c r="F115" s="306" t="str">
        <f>$G$2</f>
        <v>Traditional OOR</v>
      </c>
      <c r="G115" s="302">
        <f t="shared" si="17"/>
        <v>0</v>
      </c>
      <c r="H115" s="207">
        <v>0</v>
      </c>
      <c r="I115" s="207">
        <f t="shared" si="18"/>
        <v>0</v>
      </c>
      <c r="J115" s="302">
        <f t="shared" si="19"/>
        <v>0</v>
      </c>
      <c r="K115" s="302"/>
      <c r="L115" s="774"/>
      <c r="M115" s="208">
        <f>J115-L115</f>
        <v>0</v>
      </c>
      <c r="N115" s="302">
        <f t="shared" si="20"/>
        <v>0</v>
      </c>
      <c r="O115" s="211">
        <v>1</v>
      </c>
    </row>
    <row r="116" spans="1:15">
      <c r="A116" s="1026" t="s">
        <v>811</v>
      </c>
      <c r="B116" s="204">
        <v>456</v>
      </c>
      <c r="C116" s="204">
        <v>4186911</v>
      </c>
      <c r="D116" s="222" t="s">
        <v>2101</v>
      </c>
      <c r="E116" s="1133">
        <v>3333000</v>
      </c>
      <c r="F116" s="306" t="s">
        <v>577</v>
      </c>
      <c r="G116" s="302">
        <f t="shared" si="17"/>
        <v>0</v>
      </c>
      <c r="H116" s="207">
        <v>0</v>
      </c>
      <c r="I116" s="207">
        <f t="shared" si="18"/>
        <v>0</v>
      </c>
      <c r="J116" s="302">
        <f t="shared" si="19"/>
        <v>0</v>
      </c>
      <c r="K116" s="302"/>
      <c r="L116" s="774"/>
      <c r="M116" s="207">
        <f t="shared" ref="M116:M123" si="26">J116-L116</f>
        <v>0</v>
      </c>
      <c r="N116" s="302">
        <f t="shared" si="20"/>
        <v>3333000</v>
      </c>
      <c r="O116" s="206">
        <v>6</v>
      </c>
    </row>
    <row r="117" spans="1:15">
      <c r="A117" s="1026" t="s">
        <v>814</v>
      </c>
      <c r="B117" s="204">
        <v>456</v>
      </c>
      <c r="C117" s="204">
        <v>4186925</v>
      </c>
      <c r="D117" s="222" t="s">
        <v>2102</v>
      </c>
      <c r="E117" s="1133">
        <v>376175077.13</v>
      </c>
      <c r="F117" s="306" t="s">
        <v>577</v>
      </c>
      <c r="G117" s="302">
        <f t="shared" si="17"/>
        <v>0</v>
      </c>
      <c r="H117" s="207">
        <v>0</v>
      </c>
      <c r="I117" s="207">
        <f t="shared" si="18"/>
        <v>0</v>
      </c>
      <c r="J117" s="302">
        <f t="shared" si="19"/>
        <v>0</v>
      </c>
      <c r="K117" s="302"/>
      <c r="L117" s="774"/>
      <c r="M117" s="207">
        <f t="shared" si="26"/>
        <v>0</v>
      </c>
      <c r="N117" s="302">
        <f t="shared" si="20"/>
        <v>376175077.13</v>
      </c>
      <c r="O117" s="206">
        <v>6</v>
      </c>
    </row>
    <row r="118" spans="1:15" s="1112" customFormat="1">
      <c r="A118" s="1270" t="s">
        <v>817</v>
      </c>
      <c r="B118" s="1271">
        <v>456</v>
      </c>
      <c r="C118" s="1271">
        <v>4186132</v>
      </c>
      <c r="D118" s="1272" t="s">
        <v>2566</v>
      </c>
      <c r="E118" s="1133">
        <v>1391188.68</v>
      </c>
      <c r="F118" s="1133" t="s">
        <v>575</v>
      </c>
      <c r="G118" s="1133">
        <f t="shared" si="17"/>
        <v>1391188.68</v>
      </c>
      <c r="H118" s="774">
        <v>0</v>
      </c>
      <c r="I118" s="774">
        <f t="shared" si="18"/>
        <v>1391188.68</v>
      </c>
      <c r="J118" s="1133">
        <f t="shared" si="19"/>
        <v>0</v>
      </c>
      <c r="K118" s="1133"/>
      <c r="L118" s="774"/>
      <c r="M118" s="774">
        <f t="shared" si="26"/>
        <v>0</v>
      </c>
      <c r="N118" s="1133">
        <f t="shared" si="20"/>
        <v>0</v>
      </c>
      <c r="O118" s="1273">
        <v>4</v>
      </c>
    </row>
    <row r="119" spans="1:15" s="1112" customFormat="1">
      <c r="A119" s="1270" t="s">
        <v>820</v>
      </c>
      <c r="B119" s="1271">
        <v>456</v>
      </c>
      <c r="C119" s="1271">
        <v>4186116</v>
      </c>
      <c r="D119" s="1272" t="s">
        <v>2567</v>
      </c>
      <c r="E119" s="1133">
        <v>502.27</v>
      </c>
      <c r="F119" s="1133" t="s">
        <v>575</v>
      </c>
      <c r="G119" s="1133">
        <f t="shared" si="17"/>
        <v>502.27</v>
      </c>
      <c r="H119" s="774">
        <v>0</v>
      </c>
      <c r="I119" s="774">
        <f t="shared" si="18"/>
        <v>502.27</v>
      </c>
      <c r="J119" s="1133">
        <f t="shared" si="19"/>
        <v>0</v>
      </c>
      <c r="K119" s="1133"/>
      <c r="L119" s="774"/>
      <c r="M119" s="774">
        <f t="shared" si="26"/>
        <v>0</v>
      </c>
      <c r="N119" s="1133">
        <f t="shared" si="20"/>
        <v>0</v>
      </c>
      <c r="O119" s="1273">
        <v>4</v>
      </c>
    </row>
    <row r="120" spans="1:15" s="1112" customFormat="1">
      <c r="A120" s="1270" t="s">
        <v>1718</v>
      </c>
      <c r="B120" s="1271">
        <v>456</v>
      </c>
      <c r="C120" s="1271">
        <v>4186115</v>
      </c>
      <c r="D120" s="97" t="s">
        <v>2568</v>
      </c>
      <c r="E120" s="1133">
        <v>694291.62</v>
      </c>
      <c r="F120" s="1133" t="s">
        <v>575</v>
      </c>
      <c r="G120" s="1133">
        <f t="shared" si="17"/>
        <v>694291.62</v>
      </c>
      <c r="H120" s="774">
        <v>0</v>
      </c>
      <c r="I120" s="774">
        <f t="shared" si="18"/>
        <v>694291.62</v>
      </c>
      <c r="J120" s="1133">
        <f t="shared" si="19"/>
        <v>0</v>
      </c>
      <c r="K120" s="1133"/>
      <c r="L120" s="774"/>
      <c r="M120" s="774">
        <f t="shared" si="26"/>
        <v>0</v>
      </c>
      <c r="N120" s="1133">
        <f t="shared" si="20"/>
        <v>0</v>
      </c>
      <c r="O120" s="1273">
        <v>4</v>
      </c>
    </row>
    <row r="121" spans="1:15" s="1112" customFormat="1">
      <c r="A121" s="1270" t="s">
        <v>1719</v>
      </c>
      <c r="B121" s="1271">
        <v>456</v>
      </c>
      <c r="C121" s="1271">
        <v>4186156</v>
      </c>
      <c r="D121" s="1272" t="s">
        <v>2569</v>
      </c>
      <c r="E121" s="1133">
        <v>155622.65</v>
      </c>
      <c r="F121" s="1133" t="s">
        <v>577</v>
      </c>
      <c r="G121" s="1133">
        <f>H121+I121</f>
        <v>9211.3046534999994</v>
      </c>
      <c r="H121" s="774">
        <f>E121*$D$231</f>
        <v>9211.3046534999994</v>
      </c>
      <c r="I121" s="774">
        <v>0</v>
      </c>
      <c r="J121" s="1133">
        <f t="shared" si="19"/>
        <v>0</v>
      </c>
      <c r="K121" s="1133"/>
      <c r="L121" s="774"/>
      <c r="M121" s="774">
        <f t="shared" si="26"/>
        <v>0</v>
      </c>
      <c r="N121" s="1133">
        <f>IF(F121=$N$2,E121-H121,0)</f>
        <v>146411.34534649999</v>
      </c>
      <c r="O121" s="1273" t="s">
        <v>654</v>
      </c>
    </row>
    <row r="122" spans="1:15" s="1112" customFormat="1">
      <c r="A122" s="1270" t="s">
        <v>2103</v>
      </c>
      <c r="B122" s="1271">
        <v>456</v>
      </c>
      <c r="C122" s="1274" t="s">
        <v>2570</v>
      </c>
      <c r="D122" s="1272" t="s">
        <v>2571</v>
      </c>
      <c r="E122" s="1133">
        <v>15016500</v>
      </c>
      <c r="F122" s="1133" t="s">
        <v>575</v>
      </c>
      <c r="G122" s="1133">
        <f t="shared" si="17"/>
        <v>15016500</v>
      </c>
      <c r="H122" s="774">
        <v>0</v>
      </c>
      <c r="I122" s="774">
        <f t="shared" si="18"/>
        <v>15016500</v>
      </c>
      <c r="J122" s="1133">
        <f t="shared" si="19"/>
        <v>0</v>
      </c>
      <c r="K122" s="1133"/>
      <c r="L122" s="774"/>
      <c r="M122" s="774">
        <f t="shared" si="26"/>
        <v>0</v>
      </c>
      <c r="N122" s="1133">
        <f t="shared" si="20"/>
        <v>0</v>
      </c>
      <c r="O122" s="1273">
        <v>4</v>
      </c>
    </row>
    <row r="123" spans="1:15" s="1112" customFormat="1">
      <c r="A123" s="1270" t="s">
        <v>2104</v>
      </c>
      <c r="B123" s="1271">
        <v>456</v>
      </c>
      <c r="C123" s="1274" t="s">
        <v>702</v>
      </c>
      <c r="D123" s="1272" t="s">
        <v>2572</v>
      </c>
      <c r="E123" s="1133">
        <v>18000000</v>
      </c>
      <c r="F123" s="1133" t="s">
        <v>575</v>
      </c>
      <c r="G123" s="1133">
        <f t="shared" si="17"/>
        <v>18000000</v>
      </c>
      <c r="H123" s="774">
        <f>G123</f>
        <v>18000000</v>
      </c>
      <c r="I123" s="774">
        <f>G123-H123</f>
        <v>0</v>
      </c>
      <c r="J123" s="1133">
        <f t="shared" si="19"/>
        <v>0</v>
      </c>
      <c r="K123" s="1133"/>
      <c r="L123" s="774"/>
      <c r="M123" s="774">
        <f t="shared" si="26"/>
        <v>0</v>
      </c>
      <c r="N123" s="1133">
        <f t="shared" si="20"/>
        <v>0</v>
      </c>
      <c r="O123" s="1273">
        <v>5</v>
      </c>
    </row>
    <row r="124" spans="1:15">
      <c r="A124" s="336"/>
      <c r="B124" s="332"/>
      <c r="C124" s="331"/>
      <c r="D124" s="333"/>
      <c r="E124" s="306"/>
      <c r="F124" s="306"/>
      <c r="G124" s="310"/>
      <c r="H124" s="308"/>
      <c r="I124" s="308"/>
      <c r="J124" s="306"/>
      <c r="K124" s="306"/>
      <c r="L124" s="308"/>
      <c r="M124" s="308"/>
      <c r="N124" s="306"/>
      <c r="O124" s="307"/>
    </row>
    <row r="125" spans="1:15">
      <c r="A125" s="336"/>
      <c r="B125" s="332"/>
      <c r="C125" s="331"/>
      <c r="D125" s="333"/>
      <c r="E125" s="306"/>
      <c r="F125" s="306"/>
      <c r="G125" s="310"/>
      <c r="H125" s="308"/>
      <c r="I125" s="308"/>
      <c r="J125" s="306"/>
      <c r="K125" s="306"/>
      <c r="L125" s="308"/>
      <c r="M125" s="308"/>
      <c r="N125" s="306"/>
      <c r="O125" s="307"/>
    </row>
    <row r="126" spans="1:15">
      <c r="A126" s="209">
        <v>13</v>
      </c>
      <c r="B126" s="1393" t="s">
        <v>823</v>
      </c>
      <c r="C126" s="1394"/>
      <c r="D126" s="1395"/>
      <c r="E126" s="299">
        <f>SUM(E68:E125)</f>
        <v>453970935.01999992</v>
      </c>
      <c r="F126" s="324"/>
      <c r="G126" s="299">
        <f>SUM(G68:G125)</f>
        <v>72076047.092023298</v>
      </c>
      <c r="H126" s="315">
        <f>SUM(H68:H125)</f>
        <v>18037383.532023299</v>
      </c>
      <c r="I126" s="315">
        <f>SUM(I68:I125)</f>
        <v>54038663.559999995</v>
      </c>
      <c r="J126" s="299">
        <f>SUM(J68:J125)</f>
        <v>1906151.3900000001</v>
      </c>
      <c r="K126" s="324"/>
      <c r="L126" s="299">
        <f>SUM(L68:L125)</f>
        <v>127958.41581865259</v>
      </c>
      <c r="M126" s="299">
        <f>SUM(M68:M125)</f>
        <v>1778192.9741813473</v>
      </c>
      <c r="N126" s="299">
        <f>SUM(N68:N125)</f>
        <v>379988736.53797668</v>
      </c>
      <c r="O126" s="196"/>
    </row>
    <row r="127" spans="1:15" ht="25.5" customHeight="1">
      <c r="A127" s="209">
        <v>14</v>
      </c>
      <c r="B127" s="1415" t="s">
        <v>1250</v>
      </c>
      <c r="C127" s="1416"/>
      <c r="D127" s="1417"/>
      <c r="E127" s="1269">
        <v>453970935</v>
      </c>
      <c r="F127" s="314"/>
      <c r="G127" s="330"/>
      <c r="H127" s="314"/>
      <c r="I127" s="314"/>
      <c r="J127" s="330"/>
      <c r="K127" s="314"/>
      <c r="L127" s="300"/>
      <c r="M127" s="300"/>
      <c r="N127" s="300"/>
      <c r="O127" s="195"/>
    </row>
    <row r="128" spans="1:15">
      <c r="A128" s="212"/>
      <c r="B128" s="213"/>
      <c r="C128" s="214"/>
      <c r="D128" s="215"/>
      <c r="E128" s="300"/>
      <c r="F128" s="300"/>
      <c r="G128" s="300"/>
      <c r="H128" s="314"/>
      <c r="I128" s="314"/>
      <c r="J128" s="300"/>
      <c r="K128" s="314"/>
      <c r="L128" s="300"/>
      <c r="M128" s="300"/>
      <c r="N128" s="300"/>
      <c r="O128" s="195"/>
    </row>
    <row r="129" spans="1:15">
      <c r="A129" s="209" t="s">
        <v>824</v>
      </c>
      <c r="B129" s="204">
        <v>456.1</v>
      </c>
      <c r="C129" s="210" t="s">
        <v>825</v>
      </c>
      <c r="D129" s="205" t="s">
        <v>826</v>
      </c>
      <c r="E129" s="1134"/>
      <c r="F129" s="306" t="str">
        <f>$G$2</f>
        <v>Traditional OOR</v>
      </c>
      <c r="G129" s="302">
        <f t="shared" ref="G129:G148" si="27">IF(F129=$G$2,E129,0)</f>
        <v>0</v>
      </c>
      <c r="H129" s="207">
        <f>G129</f>
        <v>0</v>
      </c>
      <c r="I129" s="207">
        <f t="shared" ref="I129:I148" si="28">G129-H129</f>
        <v>0</v>
      </c>
      <c r="J129" s="302">
        <f t="shared" ref="J129:J148" si="29">IF(F129=$J$2,E129,0)</f>
        <v>0</v>
      </c>
      <c r="K129" s="341"/>
      <c r="L129" s="308"/>
      <c r="M129" s="208">
        <f t="shared" ref="M129:M148" si="30">J129-L129</f>
        <v>0</v>
      </c>
      <c r="N129" s="302">
        <f t="shared" ref="N129:N145" si="31">IF(F129=$N$2,E129,0)</f>
        <v>0</v>
      </c>
      <c r="O129" s="211">
        <v>5</v>
      </c>
    </row>
    <row r="130" spans="1:15">
      <c r="A130" s="209" t="s">
        <v>827</v>
      </c>
      <c r="B130" s="204">
        <v>456.1</v>
      </c>
      <c r="C130" s="210" t="s">
        <v>828</v>
      </c>
      <c r="D130" s="205" t="s">
        <v>829</v>
      </c>
      <c r="E130" s="1134">
        <v>296028</v>
      </c>
      <c r="F130" s="306" t="str">
        <f>$G$2</f>
        <v>Traditional OOR</v>
      </c>
      <c r="G130" s="302">
        <f t="shared" si="27"/>
        <v>296028</v>
      </c>
      <c r="H130" s="207">
        <v>0</v>
      </c>
      <c r="I130" s="207">
        <f t="shared" si="28"/>
        <v>296028</v>
      </c>
      <c r="J130" s="302">
        <f t="shared" si="29"/>
        <v>0</v>
      </c>
      <c r="K130" s="341"/>
      <c r="L130" s="308"/>
      <c r="M130" s="208">
        <f t="shared" si="30"/>
        <v>0</v>
      </c>
      <c r="N130" s="302">
        <f t="shared" si="31"/>
        <v>0</v>
      </c>
      <c r="O130" s="211">
        <v>4</v>
      </c>
    </row>
    <row r="131" spans="1:15">
      <c r="A131" s="209" t="s">
        <v>830</v>
      </c>
      <c r="B131" s="204">
        <v>456.1</v>
      </c>
      <c r="C131" s="210" t="s">
        <v>831</v>
      </c>
      <c r="D131" s="205" t="s">
        <v>832</v>
      </c>
      <c r="E131" s="1134">
        <v>992562.96</v>
      </c>
      <c r="F131" s="306" t="str">
        <f>$G$2</f>
        <v>Traditional OOR</v>
      </c>
      <c r="G131" s="302">
        <f t="shared" si="27"/>
        <v>992562.96</v>
      </c>
      <c r="H131" s="207">
        <v>0</v>
      </c>
      <c r="I131" s="207">
        <f t="shared" si="28"/>
        <v>992562.96</v>
      </c>
      <c r="J131" s="302">
        <f t="shared" si="29"/>
        <v>0</v>
      </c>
      <c r="K131" s="341"/>
      <c r="L131" s="308"/>
      <c r="M131" s="208">
        <f t="shared" si="30"/>
        <v>0</v>
      </c>
      <c r="N131" s="302">
        <f t="shared" si="31"/>
        <v>0</v>
      </c>
      <c r="O131" s="211">
        <v>4</v>
      </c>
    </row>
    <row r="132" spans="1:15">
      <c r="A132" s="209" t="s">
        <v>833</v>
      </c>
      <c r="B132" s="204">
        <v>456.1</v>
      </c>
      <c r="C132" s="210" t="s">
        <v>834</v>
      </c>
      <c r="D132" s="205" t="s">
        <v>835</v>
      </c>
      <c r="E132" s="1134">
        <f>3437467.79-7000</f>
        <v>3430467.79</v>
      </c>
      <c r="F132" s="306" t="str">
        <f>$N$2</f>
        <v>Other Ratemaking</v>
      </c>
      <c r="G132" s="302">
        <f t="shared" si="27"/>
        <v>0</v>
      </c>
      <c r="H132" s="207">
        <v>0</v>
      </c>
      <c r="I132" s="207">
        <f t="shared" si="28"/>
        <v>0</v>
      </c>
      <c r="J132" s="302">
        <f t="shared" si="29"/>
        <v>0</v>
      </c>
      <c r="K132" s="341"/>
      <c r="L132" s="308"/>
      <c r="M132" s="208">
        <f t="shared" si="30"/>
        <v>0</v>
      </c>
      <c r="N132" s="302">
        <f t="shared" si="31"/>
        <v>3430467.79</v>
      </c>
      <c r="O132" s="211">
        <v>6</v>
      </c>
    </row>
    <row r="133" spans="1:15">
      <c r="A133" s="209" t="s">
        <v>836</v>
      </c>
      <c r="B133" s="204">
        <v>456.1</v>
      </c>
      <c r="C133" s="210" t="s">
        <v>837</v>
      </c>
      <c r="D133" s="205" t="s">
        <v>838</v>
      </c>
      <c r="E133" s="1134">
        <f>50779376.35+750000</f>
        <v>51529376.350000001</v>
      </c>
      <c r="F133" s="306" t="str">
        <f>$N$2</f>
        <v>Other Ratemaking</v>
      </c>
      <c r="G133" s="302">
        <f t="shared" si="27"/>
        <v>0</v>
      </c>
      <c r="H133" s="207">
        <v>0</v>
      </c>
      <c r="I133" s="207">
        <f t="shared" si="28"/>
        <v>0</v>
      </c>
      <c r="J133" s="302">
        <f t="shared" si="29"/>
        <v>0</v>
      </c>
      <c r="K133" s="341"/>
      <c r="L133" s="308"/>
      <c r="M133" s="208">
        <f t="shared" si="30"/>
        <v>0</v>
      </c>
      <c r="N133" s="302">
        <f t="shared" si="31"/>
        <v>51529376.350000001</v>
      </c>
      <c r="O133" s="211">
        <v>6</v>
      </c>
    </row>
    <row r="134" spans="1:15">
      <c r="A134" s="209" t="s">
        <v>839</v>
      </c>
      <c r="B134" s="204">
        <v>456.1</v>
      </c>
      <c r="C134" s="210" t="s">
        <v>840</v>
      </c>
      <c r="D134" s="205" t="s">
        <v>841</v>
      </c>
      <c r="E134" s="1134">
        <v>15738130.58</v>
      </c>
      <c r="F134" s="306" t="str">
        <f>$N$2</f>
        <v>Other Ratemaking</v>
      </c>
      <c r="G134" s="302">
        <f t="shared" si="27"/>
        <v>0</v>
      </c>
      <c r="H134" s="207">
        <v>0</v>
      </c>
      <c r="I134" s="207">
        <f t="shared" si="28"/>
        <v>0</v>
      </c>
      <c r="J134" s="302">
        <f t="shared" si="29"/>
        <v>0</v>
      </c>
      <c r="K134" s="341"/>
      <c r="L134" s="308"/>
      <c r="M134" s="208">
        <f t="shared" si="30"/>
        <v>0</v>
      </c>
      <c r="N134" s="302">
        <f t="shared" si="31"/>
        <v>15738130.58</v>
      </c>
      <c r="O134" s="211">
        <v>6</v>
      </c>
    </row>
    <row r="135" spans="1:15">
      <c r="A135" s="209" t="s">
        <v>842</v>
      </c>
      <c r="B135" s="204">
        <v>456.1</v>
      </c>
      <c r="C135" s="210" t="s">
        <v>843</v>
      </c>
      <c r="D135" s="205" t="s">
        <v>844</v>
      </c>
      <c r="E135" s="1134">
        <v>46734870.240000002</v>
      </c>
      <c r="F135" s="306" t="str">
        <f>$G$2</f>
        <v>Traditional OOR</v>
      </c>
      <c r="G135" s="302">
        <f t="shared" si="27"/>
        <v>46734870.240000002</v>
      </c>
      <c r="H135" s="207">
        <f>G135</f>
        <v>46734870.240000002</v>
      </c>
      <c r="I135" s="207">
        <f t="shared" si="28"/>
        <v>0</v>
      </c>
      <c r="J135" s="302">
        <f t="shared" si="29"/>
        <v>0</v>
      </c>
      <c r="K135" s="341"/>
      <c r="L135" s="308"/>
      <c r="M135" s="208">
        <f t="shared" si="30"/>
        <v>0</v>
      </c>
      <c r="N135" s="302">
        <f t="shared" si="31"/>
        <v>0</v>
      </c>
      <c r="O135" s="211">
        <v>5</v>
      </c>
    </row>
    <row r="136" spans="1:15">
      <c r="A136" s="209" t="s">
        <v>845</v>
      </c>
      <c r="B136" s="204">
        <v>456.1</v>
      </c>
      <c r="C136" s="210" t="s">
        <v>846</v>
      </c>
      <c r="D136" s="205" t="s">
        <v>847</v>
      </c>
      <c r="E136" s="1134">
        <v>5539947.8300000001</v>
      </c>
      <c r="F136" s="306" t="str">
        <f>$G$2</f>
        <v>Traditional OOR</v>
      </c>
      <c r="G136" s="302">
        <f t="shared" si="27"/>
        <v>5539947.8300000001</v>
      </c>
      <c r="H136" s="207">
        <v>0</v>
      </c>
      <c r="I136" s="207">
        <f t="shared" si="28"/>
        <v>5539947.8300000001</v>
      </c>
      <c r="J136" s="302">
        <f t="shared" si="29"/>
        <v>0</v>
      </c>
      <c r="K136" s="341"/>
      <c r="L136" s="308"/>
      <c r="M136" s="208">
        <f t="shared" si="30"/>
        <v>0</v>
      </c>
      <c r="N136" s="302">
        <f t="shared" si="31"/>
        <v>0</v>
      </c>
      <c r="O136" s="211">
        <v>4</v>
      </c>
    </row>
    <row r="137" spans="1:15">
      <c r="A137" s="209" t="s">
        <v>848</v>
      </c>
      <c r="B137" s="204">
        <v>456.1</v>
      </c>
      <c r="C137" s="210" t="s">
        <v>849</v>
      </c>
      <c r="D137" s="205" t="s">
        <v>850</v>
      </c>
      <c r="E137" s="1134">
        <v>394622.16</v>
      </c>
      <c r="F137" s="306" t="str">
        <f>$G$2</f>
        <v>Traditional OOR</v>
      </c>
      <c r="G137" s="302">
        <f t="shared" si="27"/>
        <v>394622.16</v>
      </c>
      <c r="H137" s="207">
        <v>0</v>
      </c>
      <c r="I137" s="207">
        <f t="shared" si="28"/>
        <v>394622.16</v>
      </c>
      <c r="J137" s="302">
        <f t="shared" si="29"/>
        <v>0</v>
      </c>
      <c r="K137" s="341"/>
      <c r="L137" s="308"/>
      <c r="M137" s="208">
        <f t="shared" si="30"/>
        <v>0</v>
      </c>
      <c r="N137" s="302">
        <f t="shared" si="31"/>
        <v>0</v>
      </c>
      <c r="O137" s="211">
        <v>4</v>
      </c>
    </row>
    <row r="138" spans="1:15">
      <c r="A138" s="1362" t="s">
        <v>851</v>
      </c>
      <c r="B138" s="204">
        <v>456.1</v>
      </c>
      <c r="C138" s="210" t="s">
        <v>853</v>
      </c>
      <c r="D138" s="205" t="s">
        <v>854</v>
      </c>
      <c r="E138" s="1134">
        <v>1080948.48</v>
      </c>
      <c r="F138" s="306" t="str">
        <f t="shared" ref="F138:F144" si="32">$G$2</f>
        <v>Traditional OOR</v>
      </c>
      <c r="G138" s="302">
        <f t="shared" si="27"/>
        <v>1080948.48</v>
      </c>
      <c r="H138" s="207">
        <v>0</v>
      </c>
      <c r="I138" s="207">
        <f t="shared" si="28"/>
        <v>1080948.48</v>
      </c>
      <c r="J138" s="302">
        <f t="shared" si="29"/>
        <v>0</v>
      </c>
      <c r="K138" s="341"/>
      <c r="L138" s="308"/>
      <c r="M138" s="208">
        <f t="shared" si="30"/>
        <v>0</v>
      </c>
      <c r="N138" s="302">
        <f t="shared" si="31"/>
        <v>0</v>
      </c>
      <c r="O138" s="211">
        <v>4</v>
      </c>
    </row>
    <row r="139" spans="1:15">
      <c r="A139" s="1362" t="s">
        <v>852</v>
      </c>
      <c r="B139" s="204">
        <v>456.1</v>
      </c>
      <c r="C139" s="210" t="s">
        <v>856</v>
      </c>
      <c r="D139" s="205" t="s">
        <v>857</v>
      </c>
      <c r="E139" s="1134">
        <v>402147.6</v>
      </c>
      <c r="F139" s="306" t="str">
        <f t="shared" si="32"/>
        <v>Traditional OOR</v>
      </c>
      <c r="G139" s="302">
        <f t="shared" si="27"/>
        <v>402147.6</v>
      </c>
      <c r="H139" s="207">
        <v>0</v>
      </c>
      <c r="I139" s="207">
        <f t="shared" si="28"/>
        <v>402147.6</v>
      </c>
      <c r="J139" s="302">
        <f t="shared" si="29"/>
        <v>0</v>
      </c>
      <c r="K139" s="341"/>
      <c r="L139" s="308"/>
      <c r="M139" s="208">
        <f t="shared" si="30"/>
        <v>0</v>
      </c>
      <c r="N139" s="302">
        <f t="shared" si="31"/>
        <v>0</v>
      </c>
      <c r="O139" s="211">
        <v>4</v>
      </c>
    </row>
    <row r="140" spans="1:15">
      <c r="A140" s="1362" t="s">
        <v>855</v>
      </c>
      <c r="B140" s="204">
        <v>456.1</v>
      </c>
      <c r="C140" s="210" t="s">
        <v>859</v>
      </c>
      <c r="D140" s="205" t="s">
        <v>860</v>
      </c>
      <c r="E140" s="1134">
        <v>209706</v>
      </c>
      <c r="F140" s="306" t="str">
        <f t="shared" si="32"/>
        <v>Traditional OOR</v>
      </c>
      <c r="G140" s="302">
        <f t="shared" si="27"/>
        <v>209706</v>
      </c>
      <c r="H140" s="207">
        <v>0</v>
      </c>
      <c r="I140" s="207">
        <f t="shared" si="28"/>
        <v>209706</v>
      </c>
      <c r="J140" s="302">
        <f t="shared" si="29"/>
        <v>0</v>
      </c>
      <c r="K140" s="341"/>
      <c r="L140" s="308"/>
      <c r="M140" s="208">
        <f t="shared" si="30"/>
        <v>0</v>
      </c>
      <c r="N140" s="302">
        <f t="shared" si="31"/>
        <v>0</v>
      </c>
      <c r="O140" s="211">
        <v>4</v>
      </c>
    </row>
    <row r="141" spans="1:15">
      <c r="A141" s="1362" t="s">
        <v>858</v>
      </c>
      <c r="B141" s="204">
        <v>456.1</v>
      </c>
      <c r="C141" s="210" t="s">
        <v>862</v>
      </c>
      <c r="D141" s="205" t="s">
        <v>863</v>
      </c>
      <c r="E141" s="1134">
        <v>551001.72</v>
      </c>
      <c r="F141" s="306" t="str">
        <f t="shared" si="32"/>
        <v>Traditional OOR</v>
      </c>
      <c r="G141" s="302">
        <f t="shared" si="27"/>
        <v>551001.72</v>
      </c>
      <c r="H141" s="207">
        <v>0</v>
      </c>
      <c r="I141" s="207">
        <f t="shared" si="28"/>
        <v>551001.72</v>
      </c>
      <c r="J141" s="302">
        <f t="shared" si="29"/>
        <v>0</v>
      </c>
      <c r="K141" s="341"/>
      <c r="L141" s="308"/>
      <c r="M141" s="208">
        <f t="shared" si="30"/>
        <v>0</v>
      </c>
      <c r="N141" s="302">
        <f t="shared" si="31"/>
        <v>0</v>
      </c>
      <c r="O141" s="211">
        <v>4</v>
      </c>
    </row>
    <row r="142" spans="1:15">
      <c r="A142" s="1362" t="s">
        <v>861</v>
      </c>
      <c r="B142" s="204">
        <v>456.1</v>
      </c>
      <c r="C142" s="210" t="s">
        <v>865</v>
      </c>
      <c r="D142" s="205" t="s">
        <v>866</v>
      </c>
      <c r="E142" s="1134">
        <v>651331.07999999996</v>
      </c>
      <c r="F142" s="306" t="str">
        <f t="shared" si="32"/>
        <v>Traditional OOR</v>
      </c>
      <c r="G142" s="302">
        <f t="shared" si="27"/>
        <v>651331.07999999996</v>
      </c>
      <c r="H142" s="207">
        <v>0</v>
      </c>
      <c r="I142" s="207">
        <f t="shared" si="28"/>
        <v>651331.07999999996</v>
      </c>
      <c r="J142" s="302">
        <f t="shared" si="29"/>
        <v>0</v>
      </c>
      <c r="K142" s="341"/>
      <c r="L142" s="308"/>
      <c r="M142" s="208">
        <f t="shared" si="30"/>
        <v>0</v>
      </c>
      <c r="N142" s="302">
        <f t="shared" si="31"/>
        <v>0</v>
      </c>
      <c r="O142" s="211">
        <v>4</v>
      </c>
    </row>
    <row r="143" spans="1:15">
      <c r="A143" s="1362" t="s">
        <v>864</v>
      </c>
      <c r="B143" s="204">
        <v>456.1</v>
      </c>
      <c r="C143" s="210" t="s">
        <v>868</v>
      </c>
      <c r="D143" s="205" t="s">
        <v>869</v>
      </c>
      <c r="E143" s="1134">
        <v>264133.44</v>
      </c>
      <c r="F143" s="306" t="str">
        <f t="shared" si="32"/>
        <v>Traditional OOR</v>
      </c>
      <c r="G143" s="302">
        <f t="shared" si="27"/>
        <v>264133.44</v>
      </c>
      <c r="H143" s="207">
        <v>0</v>
      </c>
      <c r="I143" s="207">
        <f t="shared" si="28"/>
        <v>264133.44</v>
      </c>
      <c r="J143" s="302">
        <f t="shared" si="29"/>
        <v>0</v>
      </c>
      <c r="K143" s="341"/>
      <c r="L143" s="308"/>
      <c r="M143" s="208">
        <f t="shared" si="30"/>
        <v>0</v>
      </c>
      <c r="N143" s="302">
        <f t="shared" si="31"/>
        <v>0</v>
      </c>
      <c r="O143" s="211">
        <v>4</v>
      </c>
    </row>
    <row r="144" spans="1:15">
      <c r="A144" s="1362" t="s">
        <v>867</v>
      </c>
      <c r="B144" s="204">
        <v>456.1</v>
      </c>
      <c r="C144" s="210" t="s">
        <v>872</v>
      </c>
      <c r="D144" s="205" t="s">
        <v>873</v>
      </c>
      <c r="E144" s="1134">
        <v>42492.12</v>
      </c>
      <c r="F144" s="306" t="str">
        <f t="shared" si="32"/>
        <v>Traditional OOR</v>
      </c>
      <c r="G144" s="302">
        <f t="shared" si="27"/>
        <v>42492.12</v>
      </c>
      <c r="H144" s="207">
        <v>0</v>
      </c>
      <c r="I144" s="207">
        <f t="shared" si="28"/>
        <v>42492.12</v>
      </c>
      <c r="J144" s="302">
        <f t="shared" si="29"/>
        <v>0</v>
      </c>
      <c r="K144" s="341"/>
      <c r="L144" s="308"/>
      <c r="M144" s="208">
        <f t="shared" si="30"/>
        <v>0</v>
      </c>
      <c r="N144" s="302">
        <f t="shared" si="31"/>
        <v>0</v>
      </c>
      <c r="O144" s="211">
        <v>4</v>
      </c>
    </row>
    <row r="145" spans="1:15">
      <c r="A145" s="1362" t="s">
        <v>870</v>
      </c>
      <c r="B145" s="204">
        <v>456.1</v>
      </c>
      <c r="C145" s="210" t="s">
        <v>875</v>
      </c>
      <c r="D145" s="205" t="s">
        <v>876</v>
      </c>
      <c r="E145" s="1134">
        <v>146963.57</v>
      </c>
      <c r="F145" s="306" t="str">
        <f>$N$2</f>
        <v>Other Ratemaking</v>
      </c>
      <c r="G145" s="302">
        <f t="shared" si="27"/>
        <v>0</v>
      </c>
      <c r="H145" s="207">
        <v>0</v>
      </c>
      <c r="I145" s="207">
        <f t="shared" si="28"/>
        <v>0</v>
      </c>
      <c r="J145" s="302">
        <f t="shared" si="29"/>
        <v>0</v>
      </c>
      <c r="K145" s="341"/>
      <c r="L145" s="308"/>
      <c r="M145" s="208">
        <f t="shared" si="30"/>
        <v>0</v>
      </c>
      <c r="N145" s="302">
        <f t="shared" si="31"/>
        <v>146963.57</v>
      </c>
      <c r="O145" s="211">
        <v>6</v>
      </c>
    </row>
    <row r="146" spans="1:15" s="1112" customFormat="1">
      <c r="A146" s="1270" t="s">
        <v>871</v>
      </c>
      <c r="B146" s="1271">
        <v>456.1</v>
      </c>
      <c r="C146" s="1274" t="s">
        <v>2574</v>
      </c>
      <c r="D146" s="1274" t="s">
        <v>2575</v>
      </c>
      <c r="E146" s="1134">
        <v>90532.92</v>
      </c>
      <c r="F146" s="1133" t="s">
        <v>575</v>
      </c>
      <c r="G146" s="1133">
        <f t="shared" si="27"/>
        <v>90532.92</v>
      </c>
      <c r="H146" s="774">
        <v>0</v>
      </c>
      <c r="I146" s="774">
        <f t="shared" si="28"/>
        <v>90532.92</v>
      </c>
      <c r="J146" s="1133">
        <f t="shared" si="29"/>
        <v>0</v>
      </c>
      <c r="K146" s="1134"/>
      <c r="L146" s="774"/>
      <c r="M146" s="774">
        <f t="shared" si="30"/>
        <v>0</v>
      </c>
      <c r="N146" s="1133">
        <f>IF(F146=$N$2,E146,0)</f>
        <v>0</v>
      </c>
      <c r="O146" s="1273">
        <v>4</v>
      </c>
    </row>
    <row r="147" spans="1:15" s="1112" customFormat="1">
      <c r="A147" s="1270" t="s">
        <v>874</v>
      </c>
      <c r="B147" s="1271">
        <v>456.1</v>
      </c>
      <c r="C147" s="1274" t="s">
        <v>2576</v>
      </c>
      <c r="D147" s="1274" t="s">
        <v>2577</v>
      </c>
      <c r="E147" s="1134">
        <v>229853.64</v>
      </c>
      <c r="F147" s="1133" t="s">
        <v>575</v>
      </c>
      <c r="G147" s="1133">
        <f t="shared" si="27"/>
        <v>229853.64</v>
      </c>
      <c r="H147" s="774">
        <v>0</v>
      </c>
      <c r="I147" s="774">
        <f t="shared" si="28"/>
        <v>229853.64</v>
      </c>
      <c r="J147" s="1133">
        <f t="shared" si="29"/>
        <v>0</v>
      </c>
      <c r="K147" s="1134"/>
      <c r="L147" s="774"/>
      <c r="M147" s="774">
        <f t="shared" si="30"/>
        <v>0</v>
      </c>
      <c r="N147" s="1133">
        <f>IF(F147=$N$2,E147,0)</f>
        <v>0</v>
      </c>
      <c r="O147" s="1273">
        <v>4</v>
      </c>
    </row>
    <row r="148" spans="1:15">
      <c r="A148" s="1270" t="s">
        <v>2573</v>
      </c>
      <c r="B148" s="1271">
        <v>456.1</v>
      </c>
      <c r="C148" s="1274" t="s">
        <v>2578</v>
      </c>
      <c r="D148" s="1272" t="s">
        <v>2579</v>
      </c>
      <c r="E148" s="1134">
        <v>2295275.9500000002</v>
      </c>
      <c r="F148" s="1134" t="s">
        <v>577</v>
      </c>
      <c r="G148" s="1133">
        <f t="shared" si="27"/>
        <v>0</v>
      </c>
      <c r="H148" s="774">
        <v>0</v>
      </c>
      <c r="I148" s="774">
        <f t="shared" si="28"/>
        <v>0</v>
      </c>
      <c r="J148" s="1133">
        <f t="shared" si="29"/>
        <v>0</v>
      </c>
      <c r="K148" s="1134"/>
      <c r="L148" s="774"/>
      <c r="M148" s="774">
        <f t="shared" si="30"/>
        <v>0</v>
      </c>
      <c r="N148" s="1133">
        <f t="shared" ref="N148" si="33">IF(F148=$N$2,E148,0)</f>
        <v>2295275.9500000002</v>
      </c>
      <c r="O148" s="1273">
        <v>6</v>
      </c>
    </row>
    <row r="149" spans="1:15">
      <c r="A149" s="336"/>
      <c r="B149" s="332"/>
      <c r="C149" s="331"/>
      <c r="D149" s="333"/>
      <c r="E149" s="309"/>
      <c r="F149" s="309"/>
      <c r="G149" s="310"/>
      <c r="H149" s="308"/>
      <c r="I149" s="308"/>
      <c r="J149" s="306"/>
      <c r="K149" s="309"/>
      <c r="L149" s="308"/>
      <c r="M149" s="308"/>
      <c r="N149" s="306"/>
      <c r="O149" s="307"/>
    </row>
    <row r="150" spans="1:15">
      <c r="A150" s="209">
        <v>16</v>
      </c>
      <c r="B150" s="1393" t="s">
        <v>877</v>
      </c>
      <c r="C150" s="1394"/>
      <c r="D150" s="1395"/>
      <c r="E150" s="299">
        <f>SUM(E129:E149)</f>
        <v>130620392.43000001</v>
      </c>
      <c r="F150" s="324"/>
      <c r="G150" s="299">
        <f>SUM(G129:G149)</f>
        <v>57480178.18999999</v>
      </c>
      <c r="H150" s="315">
        <f>SUM(H129:H149)</f>
        <v>46734870.240000002</v>
      </c>
      <c r="I150" s="315">
        <f>SUM(I129:I149)</f>
        <v>10745307.949999999</v>
      </c>
      <c r="J150" s="299">
        <f>SUM(J129:J149)</f>
        <v>0</v>
      </c>
      <c r="K150" s="324"/>
      <c r="L150" s="299">
        <f>SUM(L129:L149)</f>
        <v>0</v>
      </c>
      <c r="M150" s="299">
        <f>SUM(M129:M149)</f>
        <v>0</v>
      </c>
      <c r="N150" s="299">
        <f>SUM(N129:N149)</f>
        <v>73140214.239999995</v>
      </c>
      <c r="O150" s="196"/>
    </row>
    <row r="151" spans="1:15" ht="25.5" customHeight="1">
      <c r="A151" s="209">
        <v>17</v>
      </c>
      <c r="B151" s="1415" t="s">
        <v>1245</v>
      </c>
      <c r="C151" s="1416"/>
      <c r="D151" s="1417"/>
      <c r="E151" s="1269">
        <v>130620392</v>
      </c>
      <c r="F151" s="314"/>
      <c r="G151" s="326"/>
      <c r="H151" s="316"/>
      <c r="I151" s="316"/>
      <c r="J151" s="298"/>
      <c r="K151" s="316"/>
      <c r="L151" s="298"/>
      <c r="M151" s="298"/>
      <c r="N151" s="298"/>
      <c r="O151" s="195"/>
    </row>
    <row r="152" spans="1:15">
      <c r="A152" s="212"/>
      <c r="B152" s="213"/>
      <c r="C152" s="214"/>
      <c r="D152" s="215"/>
      <c r="E152" s="298"/>
      <c r="F152" s="298"/>
      <c r="G152" s="298"/>
      <c r="H152" s="316"/>
      <c r="I152" s="316"/>
      <c r="J152" s="298"/>
      <c r="K152" s="316"/>
      <c r="L152" s="298"/>
      <c r="M152" s="298"/>
      <c r="N152" s="298"/>
      <c r="O152" s="195"/>
    </row>
    <row r="153" spans="1:15">
      <c r="A153" s="336" t="s">
        <v>878</v>
      </c>
      <c r="B153" s="334"/>
      <c r="C153" s="354"/>
      <c r="D153" s="354"/>
      <c r="E153" s="355"/>
      <c r="F153" s="355"/>
      <c r="G153" s="355"/>
      <c r="H153" s="355"/>
      <c r="I153" s="355"/>
      <c r="J153" s="355"/>
      <c r="K153" s="355"/>
      <c r="L153" s="355"/>
      <c r="M153" s="355"/>
      <c r="N153" s="355"/>
      <c r="O153" s="307"/>
    </row>
    <row r="154" spans="1:15">
      <c r="A154" s="336"/>
      <c r="B154" s="356"/>
      <c r="C154" s="354"/>
      <c r="D154" s="354"/>
      <c r="E154" s="355"/>
      <c r="F154" s="355"/>
      <c r="G154" s="355"/>
      <c r="H154" s="355"/>
      <c r="I154" s="355"/>
      <c r="J154" s="355"/>
      <c r="K154" s="355"/>
      <c r="L154" s="355"/>
      <c r="M154" s="355"/>
      <c r="N154" s="355"/>
      <c r="O154" s="307"/>
    </row>
    <row r="155" spans="1:15">
      <c r="A155" s="203">
        <v>19</v>
      </c>
      <c r="B155" s="1393" t="s">
        <v>879</v>
      </c>
      <c r="C155" s="1394"/>
      <c r="D155" s="1395"/>
      <c r="E155" s="299">
        <f>SUM(E153:E154)</f>
        <v>0</v>
      </c>
      <c r="F155" s="361"/>
      <c r="G155" s="299">
        <f>SUM(G153:G154)</f>
        <v>0</v>
      </c>
      <c r="H155" s="299">
        <f t="shared" ref="H155:N155" si="34">SUM(H153:H154)</f>
        <v>0</v>
      </c>
      <c r="I155" s="299">
        <f t="shared" si="34"/>
        <v>0</v>
      </c>
      <c r="J155" s="299">
        <f t="shared" si="34"/>
        <v>0</v>
      </c>
      <c r="K155" s="324"/>
      <c r="L155" s="299">
        <f t="shared" si="34"/>
        <v>0</v>
      </c>
      <c r="M155" s="299">
        <f t="shared" si="34"/>
        <v>0</v>
      </c>
      <c r="N155" s="299">
        <f t="shared" si="34"/>
        <v>0</v>
      </c>
      <c r="O155" s="299"/>
    </row>
    <row r="156" spans="1:15" ht="26.25" customHeight="1">
      <c r="A156" s="203">
        <v>20</v>
      </c>
      <c r="B156" s="1400" t="s">
        <v>1251</v>
      </c>
      <c r="C156" s="1401"/>
      <c r="D156" s="1402"/>
      <c r="E156" s="312">
        <v>0</v>
      </c>
      <c r="F156" s="298"/>
      <c r="G156" s="300"/>
      <c r="H156" s="314"/>
      <c r="I156" s="314"/>
      <c r="J156" s="300"/>
      <c r="K156" s="314"/>
      <c r="L156" s="300"/>
      <c r="M156" s="300"/>
      <c r="N156" s="300"/>
      <c r="O156" s="429"/>
    </row>
    <row r="157" spans="1:15">
      <c r="A157" s="212"/>
      <c r="B157" s="213"/>
      <c r="C157" s="214"/>
      <c r="D157" s="215"/>
      <c r="E157" s="298"/>
      <c r="F157" s="298"/>
      <c r="G157" s="300"/>
      <c r="H157" s="314"/>
      <c r="I157" s="314"/>
      <c r="J157" s="300"/>
      <c r="K157" s="314"/>
      <c r="L157" s="300"/>
      <c r="M157" s="300"/>
      <c r="N157" s="300"/>
      <c r="O157" s="429"/>
    </row>
    <row r="158" spans="1:15">
      <c r="A158" s="336" t="s">
        <v>880</v>
      </c>
      <c r="B158" s="334"/>
      <c r="C158" s="354"/>
      <c r="D158" s="354"/>
      <c r="E158" s="355"/>
      <c r="F158" s="355"/>
      <c r="G158" s="312"/>
      <c r="H158" s="312"/>
      <c r="I158" s="312"/>
      <c r="J158" s="312"/>
      <c r="K158" s="312"/>
      <c r="L158" s="312"/>
      <c r="M158" s="312"/>
      <c r="N158" s="312"/>
      <c r="O158" s="308"/>
    </row>
    <row r="159" spans="1:15">
      <c r="A159" s="336"/>
      <c r="B159" s="356"/>
      <c r="C159" s="354"/>
      <c r="D159" s="354"/>
      <c r="E159" s="355"/>
      <c r="F159" s="355"/>
      <c r="G159" s="312"/>
      <c r="H159" s="312"/>
      <c r="I159" s="312"/>
      <c r="J159" s="312"/>
      <c r="K159" s="312"/>
      <c r="L159" s="312"/>
      <c r="M159" s="312"/>
      <c r="N159" s="312"/>
      <c r="O159" s="308"/>
    </row>
    <row r="160" spans="1:15">
      <c r="A160" s="203">
        <v>22</v>
      </c>
      <c r="B160" s="1393" t="s">
        <v>881</v>
      </c>
      <c r="C160" s="1394"/>
      <c r="D160" s="1395"/>
      <c r="E160" s="299">
        <f>SUM(E158:E159)</f>
        <v>0</v>
      </c>
      <c r="F160" s="361"/>
      <c r="G160" s="299">
        <f>SUM(G158:G159)</f>
        <v>0</v>
      </c>
      <c r="H160" s="299">
        <f>SUM(H158:H159)</f>
        <v>0</v>
      </c>
      <c r="I160" s="299">
        <f>SUM(I158:I159)</f>
        <v>0</v>
      </c>
      <c r="J160" s="299">
        <f>SUM(J158:J159)</f>
        <v>0</v>
      </c>
      <c r="K160" s="324"/>
      <c r="L160" s="299">
        <f>SUM(L158:L159)</f>
        <v>0</v>
      </c>
      <c r="M160" s="299">
        <f>SUM(M158:M159)</f>
        <v>0</v>
      </c>
      <c r="N160" s="299">
        <f>SUM(N158:N159)</f>
        <v>0</v>
      </c>
      <c r="O160" s="299"/>
    </row>
    <row r="161" spans="1:15" ht="26.25" customHeight="1">
      <c r="A161" s="203">
        <v>23</v>
      </c>
      <c r="B161" s="1400" t="s">
        <v>1252</v>
      </c>
      <c r="C161" s="1401"/>
      <c r="D161" s="1402"/>
      <c r="E161" s="312">
        <v>0</v>
      </c>
      <c r="F161" s="298"/>
      <c r="G161" s="298"/>
      <c r="H161" s="316"/>
      <c r="I161" s="316"/>
      <c r="J161" s="298"/>
      <c r="K161" s="316"/>
      <c r="L161" s="298"/>
      <c r="M161" s="298"/>
      <c r="N161" s="298"/>
      <c r="O161" s="195"/>
    </row>
    <row r="162" spans="1:15">
      <c r="A162" s="212"/>
      <c r="B162" s="213"/>
      <c r="C162" s="214"/>
      <c r="D162" s="215"/>
      <c r="E162" s="298"/>
      <c r="F162" s="298"/>
      <c r="G162" s="298"/>
      <c r="H162" s="316"/>
      <c r="I162" s="316"/>
      <c r="J162" s="298"/>
      <c r="K162" s="316"/>
      <c r="L162" s="298"/>
      <c r="M162" s="298"/>
      <c r="N162" s="298"/>
      <c r="O162" s="195"/>
    </row>
    <row r="163" spans="1:15">
      <c r="A163" s="212"/>
      <c r="B163" s="213" t="s">
        <v>882</v>
      </c>
      <c r="C163" s="214"/>
      <c r="D163" s="215"/>
      <c r="E163" s="298"/>
      <c r="F163" s="298"/>
      <c r="G163" s="298"/>
      <c r="H163" s="316"/>
      <c r="I163" s="316"/>
      <c r="J163" s="298"/>
      <c r="K163" s="316"/>
      <c r="L163" s="298"/>
      <c r="M163" s="298"/>
      <c r="N163" s="298"/>
      <c r="O163" s="195"/>
    </row>
    <row r="164" spans="1:15">
      <c r="A164" s="1362" t="s">
        <v>883</v>
      </c>
      <c r="B164" s="223">
        <v>417</v>
      </c>
      <c r="C164" s="305">
        <v>4863130</v>
      </c>
      <c r="D164" s="219" t="s">
        <v>885</v>
      </c>
      <c r="E164" s="1134">
        <v>574599.74</v>
      </c>
      <c r="F164" s="306" t="str">
        <f t="shared" ref="F164:F176" si="35">$J$2</f>
        <v>GRSM</v>
      </c>
      <c r="G164" s="302">
        <f t="shared" ref="G164:G178" si="36">IF(F164=$G$2,E164,0)</f>
        <v>0</v>
      </c>
      <c r="H164" s="207">
        <v>0</v>
      </c>
      <c r="I164" s="207">
        <f t="shared" ref="I164:I178" si="37">G164-H164</f>
        <v>0</v>
      </c>
      <c r="J164" s="302">
        <f t="shared" ref="J164:J178" si="38">IF(F164=$J$2,E164,0)</f>
        <v>574599.74</v>
      </c>
      <c r="K164" s="206" t="s">
        <v>617</v>
      </c>
      <c r="L164" s="1133">
        <v>144854.440070129</v>
      </c>
      <c r="M164" s="301">
        <f t="shared" ref="M164:M178" si="39">J164-L164</f>
        <v>429745.29992987099</v>
      </c>
      <c r="N164" s="302">
        <f t="shared" ref="N164:N178" si="40">IF(F164=$N$2,E164,0)</f>
        <v>0</v>
      </c>
      <c r="O164" s="211">
        <v>2</v>
      </c>
    </row>
    <row r="165" spans="1:15">
      <c r="A165" s="1362" t="s">
        <v>884</v>
      </c>
      <c r="B165" s="223">
        <v>417</v>
      </c>
      <c r="C165" s="305">
        <v>4862110</v>
      </c>
      <c r="D165" s="219" t="s">
        <v>887</v>
      </c>
      <c r="E165" s="1134">
        <v>6212980.7999999998</v>
      </c>
      <c r="F165" s="306" t="str">
        <f t="shared" si="35"/>
        <v>GRSM</v>
      </c>
      <c r="G165" s="302">
        <f t="shared" si="36"/>
        <v>0</v>
      </c>
      <c r="H165" s="207">
        <v>0</v>
      </c>
      <c r="I165" s="207">
        <f t="shared" si="37"/>
        <v>0</v>
      </c>
      <c r="J165" s="302">
        <f t="shared" si="38"/>
        <v>6212980.7999999998</v>
      </c>
      <c r="K165" s="206" t="s">
        <v>561</v>
      </c>
      <c r="L165" s="1133">
        <v>1279826.0987792199</v>
      </c>
      <c r="M165" s="301">
        <f t="shared" si="39"/>
        <v>4933154.7012207797</v>
      </c>
      <c r="N165" s="302">
        <f t="shared" si="40"/>
        <v>0</v>
      </c>
      <c r="O165" s="211">
        <v>2</v>
      </c>
    </row>
    <row r="166" spans="1:15">
      <c r="A166" s="1362" t="s">
        <v>886</v>
      </c>
      <c r="B166" s="223">
        <v>417</v>
      </c>
      <c r="C166" s="305">
        <v>4862115</v>
      </c>
      <c r="D166" s="219" t="s">
        <v>889</v>
      </c>
      <c r="E166" s="1134">
        <v>3296985.03</v>
      </c>
      <c r="F166" s="306" t="str">
        <f t="shared" si="35"/>
        <v>GRSM</v>
      </c>
      <c r="G166" s="302">
        <f t="shared" si="36"/>
        <v>0</v>
      </c>
      <c r="H166" s="207">
        <v>0</v>
      </c>
      <c r="I166" s="207">
        <f t="shared" si="37"/>
        <v>0</v>
      </c>
      <c r="J166" s="302">
        <f t="shared" si="38"/>
        <v>3296985.03</v>
      </c>
      <c r="K166" s="206" t="s">
        <v>561</v>
      </c>
      <c r="L166" s="1133">
        <v>680428.61883958604</v>
      </c>
      <c r="M166" s="301">
        <f t="shared" si="39"/>
        <v>2616556.4111604136</v>
      </c>
      <c r="N166" s="302">
        <f t="shared" si="40"/>
        <v>0</v>
      </c>
      <c r="O166" s="211">
        <v>2</v>
      </c>
    </row>
    <row r="167" spans="1:15">
      <c r="A167" s="1362" t="s">
        <v>888</v>
      </c>
      <c r="B167" s="223">
        <v>417</v>
      </c>
      <c r="C167" s="305">
        <v>4862120</v>
      </c>
      <c r="D167" s="219" t="s">
        <v>891</v>
      </c>
      <c r="E167" s="1134">
        <v>283552.34000000003</v>
      </c>
      <c r="F167" s="306" t="str">
        <f t="shared" si="35"/>
        <v>GRSM</v>
      </c>
      <c r="G167" s="302">
        <f t="shared" si="36"/>
        <v>0</v>
      </c>
      <c r="H167" s="207">
        <v>0</v>
      </c>
      <c r="I167" s="207">
        <f t="shared" si="37"/>
        <v>0</v>
      </c>
      <c r="J167" s="302">
        <f t="shared" si="38"/>
        <v>283552.34000000003</v>
      </c>
      <c r="K167" s="206" t="s">
        <v>561</v>
      </c>
      <c r="L167" s="1133">
        <v>57963.083712595399</v>
      </c>
      <c r="M167" s="301">
        <f t="shared" si="39"/>
        <v>225589.25628740463</v>
      </c>
      <c r="N167" s="302">
        <f t="shared" si="40"/>
        <v>0</v>
      </c>
      <c r="O167" s="211">
        <v>2</v>
      </c>
    </row>
    <row r="168" spans="1:15">
      <c r="A168" s="1362" t="s">
        <v>890</v>
      </c>
      <c r="B168" s="223">
        <v>417</v>
      </c>
      <c r="C168" s="305">
        <v>4862135</v>
      </c>
      <c r="D168" s="219" t="s">
        <v>893</v>
      </c>
      <c r="E168" s="1134">
        <v>22638371.539999999</v>
      </c>
      <c r="F168" s="306" t="str">
        <f t="shared" si="35"/>
        <v>GRSM</v>
      </c>
      <c r="G168" s="302">
        <f t="shared" si="36"/>
        <v>0</v>
      </c>
      <c r="H168" s="207">
        <v>0</v>
      </c>
      <c r="I168" s="207">
        <f t="shared" si="37"/>
        <v>0</v>
      </c>
      <c r="J168" s="302">
        <f t="shared" si="38"/>
        <v>22638371.539999999</v>
      </c>
      <c r="K168" s="206" t="s">
        <v>561</v>
      </c>
      <c r="L168" s="1133">
        <v>4775918.0660611</v>
      </c>
      <c r="M168" s="301">
        <f t="shared" si="39"/>
        <v>17862453.473938897</v>
      </c>
      <c r="N168" s="302">
        <f t="shared" si="40"/>
        <v>0</v>
      </c>
      <c r="O168" s="211">
        <v>2</v>
      </c>
    </row>
    <row r="169" spans="1:15">
      <c r="A169" s="1362" t="s">
        <v>892</v>
      </c>
      <c r="B169" s="223">
        <v>417</v>
      </c>
      <c r="C169" s="305">
        <v>4864115</v>
      </c>
      <c r="D169" s="219" t="s">
        <v>896</v>
      </c>
      <c r="E169" s="1134">
        <v>745271.32</v>
      </c>
      <c r="F169" s="306" t="str">
        <f t="shared" si="35"/>
        <v>GRSM</v>
      </c>
      <c r="G169" s="302">
        <f t="shared" si="36"/>
        <v>0</v>
      </c>
      <c r="H169" s="207">
        <v>0</v>
      </c>
      <c r="I169" s="207">
        <f t="shared" si="37"/>
        <v>0</v>
      </c>
      <c r="J169" s="302">
        <f t="shared" si="38"/>
        <v>745271.32</v>
      </c>
      <c r="K169" s="206" t="s">
        <v>561</v>
      </c>
      <c r="L169" s="1133">
        <v>71149.611681700204</v>
      </c>
      <c r="M169" s="301">
        <f t="shared" si="39"/>
        <v>674121.70831829973</v>
      </c>
      <c r="N169" s="302">
        <f t="shared" si="40"/>
        <v>0</v>
      </c>
      <c r="O169" s="211">
        <v>2</v>
      </c>
    </row>
    <row r="170" spans="1:15">
      <c r="A170" s="1362" t="s">
        <v>894</v>
      </c>
      <c r="B170" s="223">
        <v>417</v>
      </c>
      <c r="C170" s="305">
        <v>4862125</v>
      </c>
      <c r="D170" s="219" t="s">
        <v>898</v>
      </c>
      <c r="E170" s="1134">
        <v>12189272.4</v>
      </c>
      <c r="F170" s="306" t="str">
        <f t="shared" si="35"/>
        <v>GRSM</v>
      </c>
      <c r="G170" s="302">
        <f t="shared" si="36"/>
        <v>0</v>
      </c>
      <c r="H170" s="207">
        <v>0</v>
      </c>
      <c r="I170" s="207">
        <f t="shared" si="37"/>
        <v>0</v>
      </c>
      <c r="J170" s="302">
        <f t="shared" si="38"/>
        <v>12189272.4</v>
      </c>
      <c r="K170" s="206" t="s">
        <v>561</v>
      </c>
      <c r="L170" s="1133">
        <v>1853750.9815991099</v>
      </c>
      <c r="M170" s="301">
        <f t="shared" si="39"/>
        <v>10335521.418400891</v>
      </c>
      <c r="N170" s="302">
        <f t="shared" si="40"/>
        <v>0</v>
      </c>
      <c r="O170" s="211">
        <v>2</v>
      </c>
    </row>
    <row r="171" spans="1:15">
      <c r="A171" s="1362" t="s">
        <v>895</v>
      </c>
      <c r="B171" s="223">
        <v>417</v>
      </c>
      <c r="C171" s="305">
        <v>4862130</v>
      </c>
      <c r="D171" s="219" t="s">
        <v>900</v>
      </c>
      <c r="E171" s="1134">
        <v>6089441.4000000004</v>
      </c>
      <c r="F171" s="306" t="str">
        <f t="shared" si="35"/>
        <v>GRSM</v>
      </c>
      <c r="G171" s="302">
        <f t="shared" si="36"/>
        <v>0</v>
      </c>
      <c r="H171" s="207">
        <v>0</v>
      </c>
      <c r="I171" s="207">
        <f t="shared" si="37"/>
        <v>0</v>
      </c>
      <c r="J171" s="302">
        <f t="shared" si="38"/>
        <v>6089441.4000000004</v>
      </c>
      <c r="K171" s="206" t="s">
        <v>561</v>
      </c>
      <c r="L171" s="1133">
        <v>1577177.5098888101</v>
      </c>
      <c r="M171" s="301">
        <f t="shared" si="39"/>
        <v>4512263.8901111903</v>
      </c>
      <c r="N171" s="302">
        <f t="shared" si="40"/>
        <v>0</v>
      </c>
      <c r="O171" s="211">
        <v>2</v>
      </c>
    </row>
    <row r="172" spans="1:15">
      <c r="A172" s="1362" t="s">
        <v>897</v>
      </c>
      <c r="B172" s="223">
        <v>417</v>
      </c>
      <c r="C172" s="305">
        <v>4863120</v>
      </c>
      <c r="D172" s="219" t="s">
        <v>902</v>
      </c>
      <c r="E172" s="1134">
        <v>347613.23</v>
      </c>
      <c r="F172" s="306" t="str">
        <f t="shared" si="35"/>
        <v>GRSM</v>
      </c>
      <c r="G172" s="302">
        <f t="shared" si="36"/>
        <v>0</v>
      </c>
      <c r="H172" s="207">
        <v>0</v>
      </c>
      <c r="I172" s="207">
        <f t="shared" si="37"/>
        <v>0</v>
      </c>
      <c r="J172" s="302">
        <f t="shared" si="38"/>
        <v>347613.23</v>
      </c>
      <c r="K172" s="206" t="s">
        <v>617</v>
      </c>
      <c r="L172" s="1133">
        <v>71331.623761421593</v>
      </c>
      <c r="M172" s="301">
        <f t="shared" si="39"/>
        <v>276281.60623857839</v>
      </c>
      <c r="N172" s="302">
        <f t="shared" si="40"/>
        <v>0</v>
      </c>
      <c r="O172" s="211">
        <v>2</v>
      </c>
    </row>
    <row r="173" spans="1:15">
      <c r="A173" s="1362" t="s">
        <v>899</v>
      </c>
      <c r="B173" s="223">
        <v>417</v>
      </c>
      <c r="C173" s="305">
        <v>4863110</v>
      </c>
      <c r="D173" s="219" t="s">
        <v>904</v>
      </c>
      <c r="E173" s="1134">
        <v>3391715.44</v>
      </c>
      <c r="F173" s="306" t="str">
        <f t="shared" si="35"/>
        <v>GRSM</v>
      </c>
      <c r="G173" s="302">
        <f t="shared" si="36"/>
        <v>0</v>
      </c>
      <c r="H173" s="207">
        <v>0</v>
      </c>
      <c r="I173" s="207">
        <f t="shared" si="37"/>
        <v>0</v>
      </c>
      <c r="J173" s="302">
        <f t="shared" si="38"/>
        <v>3391715.44</v>
      </c>
      <c r="K173" s="206" t="s">
        <v>617</v>
      </c>
      <c r="L173" s="1133">
        <v>643244.54978300596</v>
      </c>
      <c r="M173" s="301">
        <f t="shared" si="39"/>
        <v>2748470.8902169941</v>
      </c>
      <c r="N173" s="302">
        <f t="shared" si="40"/>
        <v>0</v>
      </c>
      <c r="O173" s="211">
        <v>2</v>
      </c>
    </row>
    <row r="174" spans="1:15">
      <c r="A174" s="1362" t="s">
        <v>901</v>
      </c>
      <c r="B174" s="223">
        <v>417</v>
      </c>
      <c r="C174" s="305">
        <v>4863115</v>
      </c>
      <c r="D174" s="219" t="s">
        <v>906</v>
      </c>
      <c r="E174" s="1134">
        <v>415111.91</v>
      </c>
      <c r="F174" s="306" t="str">
        <f t="shared" si="35"/>
        <v>GRSM</v>
      </c>
      <c r="G174" s="302">
        <f t="shared" si="36"/>
        <v>0</v>
      </c>
      <c r="H174" s="207">
        <v>0</v>
      </c>
      <c r="I174" s="207">
        <f t="shared" si="37"/>
        <v>0</v>
      </c>
      <c r="J174" s="302">
        <f t="shared" si="38"/>
        <v>415111.91</v>
      </c>
      <c r="K174" s="206" t="s">
        <v>617</v>
      </c>
      <c r="L174" s="1133">
        <v>28023.6825948798</v>
      </c>
      <c r="M174" s="301">
        <f t="shared" si="39"/>
        <v>387088.22740512015</v>
      </c>
      <c r="N174" s="302">
        <f t="shared" si="40"/>
        <v>0</v>
      </c>
      <c r="O174" s="211">
        <v>2</v>
      </c>
    </row>
    <row r="175" spans="1:15">
      <c r="A175" s="1362" t="s">
        <v>903</v>
      </c>
      <c r="B175" s="223">
        <v>417</v>
      </c>
      <c r="C175" s="305">
        <v>4863125</v>
      </c>
      <c r="D175" s="219" t="s">
        <v>908</v>
      </c>
      <c r="E175" s="1134">
        <v>1794379.02</v>
      </c>
      <c r="F175" s="306" t="str">
        <f t="shared" si="35"/>
        <v>GRSM</v>
      </c>
      <c r="G175" s="302">
        <f t="shared" si="36"/>
        <v>0</v>
      </c>
      <c r="H175" s="207">
        <v>0</v>
      </c>
      <c r="I175" s="207">
        <f t="shared" si="37"/>
        <v>0</v>
      </c>
      <c r="J175" s="302">
        <f t="shared" si="38"/>
        <v>1794379.02</v>
      </c>
      <c r="K175" s="206" t="s">
        <v>617</v>
      </c>
      <c r="L175" s="1133">
        <v>456812.78307742201</v>
      </c>
      <c r="M175" s="301">
        <f t="shared" si="39"/>
        <v>1337566.236922578</v>
      </c>
      <c r="N175" s="302">
        <f t="shared" si="40"/>
        <v>0</v>
      </c>
      <c r="O175" s="211">
        <v>2</v>
      </c>
    </row>
    <row r="176" spans="1:15">
      <c r="A176" s="1362" t="s">
        <v>905</v>
      </c>
      <c r="B176" s="223">
        <v>417</v>
      </c>
      <c r="C176" s="305">
        <v>4864120</v>
      </c>
      <c r="D176" s="219" t="s">
        <v>910</v>
      </c>
      <c r="E176" s="1134">
        <v>100891.4</v>
      </c>
      <c r="F176" s="306" t="str">
        <f t="shared" si="35"/>
        <v>GRSM</v>
      </c>
      <c r="G176" s="302">
        <f t="shared" si="36"/>
        <v>0</v>
      </c>
      <c r="H176" s="207">
        <v>0</v>
      </c>
      <c r="I176" s="207">
        <f t="shared" si="37"/>
        <v>0</v>
      </c>
      <c r="J176" s="302">
        <f t="shared" si="38"/>
        <v>100891.4</v>
      </c>
      <c r="K176" s="206" t="s">
        <v>561</v>
      </c>
      <c r="L176" s="1133">
        <v>1488.14450381442</v>
      </c>
      <c r="M176" s="301">
        <f t="shared" si="39"/>
        <v>99403.255496185579</v>
      </c>
      <c r="N176" s="302">
        <f t="shared" si="40"/>
        <v>0</v>
      </c>
      <c r="O176" s="211">
        <v>2</v>
      </c>
    </row>
    <row r="177" spans="1:15" s="1112" customFormat="1">
      <c r="A177" s="1270" t="s">
        <v>907</v>
      </c>
      <c r="B177" s="1276">
        <v>417</v>
      </c>
      <c r="C177" s="1277">
        <v>4864116</v>
      </c>
      <c r="D177" s="1272" t="s">
        <v>2580</v>
      </c>
      <c r="E177" s="1275">
        <v>78015</v>
      </c>
      <c r="F177" s="1220" t="s">
        <v>576</v>
      </c>
      <c r="G177" s="1133">
        <f t="shared" si="36"/>
        <v>0</v>
      </c>
      <c r="H177" s="774">
        <v>0</v>
      </c>
      <c r="I177" s="774">
        <f t="shared" si="37"/>
        <v>0</v>
      </c>
      <c r="J177" s="1133">
        <f t="shared" si="38"/>
        <v>78015</v>
      </c>
      <c r="K177" s="1273" t="s">
        <v>561</v>
      </c>
      <c r="L177" s="1133">
        <v>0</v>
      </c>
      <c r="M177" s="1133">
        <f t="shared" si="39"/>
        <v>78015</v>
      </c>
      <c r="N177" s="1133">
        <f t="shared" si="40"/>
        <v>0</v>
      </c>
      <c r="O177" s="1273">
        <v>2</v>
      </c>
    </row>
    <row r="178" spans="1:15" s="1112" customFormat="1">
      <c r="A178" s="1270" t="s">
        <v>909</v>
      </c>
      <c r="B178" s="1276">
        <v>417</v>
      </c>
      <c r="C178" s="1277">
        <v>4864121</v>
      </c>
      <c r="D178" s="1272" t="s">
        <v>2581</v>
      </c>
      <c r="E178" s="1275">
        <v>669.08</v>
      </c>
      <c r="F178" s="1220" t="s">
        <v>576</v>
      </c>
      <c r="G178" s="1133">
        <f t="shared" si="36"/>
        <v>0</v>
      </c>
      <c r="H178" s="774">
        <v>0</v>
      </c>
      <c r="I178" s="774">
        <f t="shared" si="37"/>
        <v>0</v>
      </c>
      <c r="J178" s="1133">
        <f t="shared" si="38"/>
        <v>669.08</v>
      </c>
      <c r="K178" s="1273" t="s">
        <v>561</v>
      </c>
      <c r="L178" s="1133">
        <v>0</v>
      </c>
      <c r="M178" s="1133">
        <f t="shared" si="39"/>
        <v>669.08</v>
      </c>
      <c r="N178" s="1133">
        <f t="shared" si="40"/>
        <v>0</v>
      </c>
      <c r="O178" s="1273">
        <v>2</v>
      </c>
    </row>
    <row r="179" spans="1:15">
      <c r="A179" s="336"/>
      <c r="B179" s="334"/>
      <c r="C179" s="335"/>
      <c r="D179" s="333"/>
      <c r="E179" s="313"/>
      <c r="F179" s="313"/>
      <c r="G179" s="310"/>
      <c r="H179" s="308"/>
      <c r="I179" s="308"/>
      <c r="J179" s="306"/>
      <c r="K179" s="307"/>
      <c r="L179" s="306"/>
      <c r="M179" s="306"/>
      <c r="N179" s="306"/>
      <c r="O179" s="307"/>
    </row>
    <row r="180" spans="1:15">
      <c r="A180" s="336"/>
      <c r="B180" s="334"/>
      <c r="C180" s="335"/>
      <c r="D180" s="333"/>
      <c r="E180" s="313"/>
      <c r="F180" s="313"/>
      <c r="G180" s="310"/>
      <c r="H180" s="308"/>
      <c r="I180" s="308"/>
      <c r="J180" s="306"/>
      <c r="K180" s="307"/>
      <c r="L180" s="306"/>
      <c r="M180" s="306"/>
      <c r="N180" s="306"/>
      <c r="O180" s="307"/>
    </row>
    <row r="181" spans="1:15">
      <c r="A181" s="209">
        <v>25</v>
      </c>
      <c r="B181" s="1403" t="s">
        <v>911</v>
      </c>
      <c r="C181" s="1394"/>
      <c r="D181" s="1395"/>
      <c r="E181" s="299">
        <f>SUM(E164:E180)</f>
        <v>58158869.649999984</v>
      </c>
      <c r="F181" s="324"/>
      <c r="G181" s="299">
        <f>SUM(G164:G180)</f>
        <v>0</v>
      </c>
      <c r="H181" s="315">
        <f>SUM(H164:H180)</f>
        <v>0</v>
      </c>
      <c r="I181" s="315">
        <f>SUM(I164:I180)</f>
        <v>0</v>
      </c>
      <c r="J181" s="299">
        <f>SUM(J164:J180)</f>
        <v>58158869.649999984</v>
      </c>
      <c r="K181" s="324"/>
      <c r="L181" s="299">
        <f>SUM(L164:L180)</f>
        <v>11641969.194352794</v>
      </c>
      <c r="M181" s="299">
        <f>SUM(M164:M180)</f>
        <v>46516900.455647215</v>
      </c>
      <c r="N181" s="299">
        <f>SUM(N164:N180)</f>
        <v>0</v>
      </c>
      <c r="O181" s="196"/>
    </row>
    <row r="182" spans="1:15">
      <c r="A182" s="209">
        <v>26</v>
      </c>
      <c r="B182" s="1403" t="s">
        <v>912</v>
      </c>
      <c r="C182" s="1394"/>
      <c r="D182" s="1395"/>
      <c r="E182" s="1269">
        <f>E183-E181</f>
        <v>7775931.3500000164</v>
      </c>
      <c r="F182" s="300"/>
      <c r="G182" s="298"/>
      <c r="H182" s="316"/>
      <c r="I182" s="316"/>
      <c r="J182" s="298"/>
      <c r="K182" s="316"/>
      <c r="L182" s="298"/>
      <c r="M182" s="298"/>
      <c r="N182" s="298"/>
      <c r="O182" s="195"/>
    </row>
    <row r="183" spans="1:15" ht="25.5" customHeight="1">
      <c r="A183" s="209">
        <v>27</v>
      </c>
      <c r="B183" s="1415" t="s">
        <v>1254</v>
      </c>
      <c r="C183" s="1416"/>
      <c r="D183" s="1417"/>
      <c r="E183" s="1269">
        <v>65934801</v>
      </c>
      <c r="F183" s="357" t="s">
        <v>331</v>
      </c>
    </row>
    <row r="184" spans="1:15">
      <c r="A184" s="217"/>
    </row>
    <row r="185" spans="1:15">
      <c r="B185" s="40" t="s">
        <v>913</v>
      </c>
    </row>
    <row r="186" spans="1:15">
      <c r="A186" s="206" t="s">
        <v>914</v>
      </c>
      <c r="B186" s="1406">
        <v>418.1</v>
      </c>
      <c r="C186" s="1407"/>
      <c r="D186" s="219" t="s">
        <v>915</v>
      </c>
      <c r="E186" s="1134"/>
      <c r="F186" s="306" t="str">
        <f>$J$2</f>
        <v>GRSM</v>
      </c>
      <c r="G186" s="302">
        <f t="shared" ref="G186:G190" si="41">IF(F186=$G$2,E186,0)</f>
        <v>0</v>
      </c>
      <c r="H186" s="206">
        <v>0</v>
      </c>
      <c r="I186" s="207">
        <f t="shared" ref="I186:I190" si="42">G186-H186</f>
        <v>0</v>
      </c>
      <c r="J186" s="302">
        <f>IF(F186=$J$2,E186,0)</f>
        <v>0</v>
      </c>
      <c r="K186" s="342" t="s">
        <v>561</v>
      </c>
      <c r="L186" s="306"/>
      <c r="M186" s="208">
        <f t="shared" ref="M186:M190" si="43">J186-L186</f>
        <v>0</v>
      </c>
      <c r="N186" s="302">
        <f t="shared" ref="N186:N190" si="44">IF(F186=$N$2,E186,0)</f>
        <v>0</v>
      </c>
      <c r="O186" s="211" t="s">
        <v>916</v>
      </c>
    </row>
    <row r="187" spans="1:15">
      <c r="A187" s="206" t="s">
        <v>917</v>
      </c>
      <c r="B187" s="1406">
        <v>418.1</v>
      </c>
      <c r="C187" s="1407"/>
      <c r="D187" s="219" t="s">
        <v>918</v>
      </c>
      <c r="E187" s="1134"/>
      <c r="F187" s="306" t="str">
        <f>$J$2</f>
        <v>GRSM</v>
      </c>
      <c r="G187" s="302">
        <f t="shared" si="41"/>
        <v>0</v>
      </c>
      <c r="H187" s="206">
        <v>0</v>
      </c>
      <c r="I187" s="207">
        <f t="shared" si="42"/>
        <v>0</v>
      </c>
      <c r="J187" s="302">
        <f>IF(F187=$J$2,E187,0)</f>
        <v>0</v>
      </c>
      <c r="K187" s="342" t="s">
        <v>617</v>
      </c>
      <c r="L187" s="306"/>
      <c r="M187" s="208">
        <f t="shared" si="43"/>
        <v>0</v>
      </c>
      <c r="N187" s="302">
        <f t="shared" si="44"/>
        <v>0</v>
      </c>
      <c r="O187" s="211" t="s">
        <v>916</v>
      </c>
    </row>
    <row r="188" spans="1:15">
      <c r="A188" s="206" t="s">
        <v>919</v>
      </c>
      <c r="B188" s="1406">
        <v>418.1</v>
      </c>
      <c r="C188" s="1407"/>
      <c r="D188" s="594" t="s">
        <v>1693</v>
      </c>
      <c r="E188" s="1134">
        <v>14200</v>
      </c>
      <c r="F188" s="1220" t="s">
        <v>576</v>
      </c>
      <c r="G188" s="302">
        <f t="shared" si="41"/>
        <v>0</v>
      </c>
      <c r="H188" s="206">
        <v>0</v>
      </c>
      <c r="I188" s="207">
        <f t="shared" si="42"/>
        <v>0</v>
      </c>
      <c r="J188" s="302">
        <f>IF(F188=$J$2,E188,0)</f>
        <v>14200</v>
      </c>
      <c r="K188" s="595" t="s">
        <v>617</v>
      </c>
      <c r="L188" s="306"/>
      <c r="M188" s="208">
        <f t="shared" si="43"/>
        <v>14200</v>
      </c>
      <c r="N188" s="302">
        <f t="shared" si="44"/>
        <v>0</v>
      </c>
      <c r="O188" s="592" t="s">
        <v>1694</v>
      </c>
    </row>
    <row r="189" spans="1:15">
      <c r="A189" s="206" t="s">
        <v>921</v>
      </c>
      <c r="B189" s="1406">
        <v>418.1</v>
      </c>
      <c r="C189" s="1407"/>
      <c r="D189" s="219" t="s">
        <v>920</v>
      </c>
      <c r="E189" s="1134">
        <v>9165</v>
      </c>
      <c r="F189" s="306" t="str">
        <f>$G$2</f>
        <v>Traditional OOR</v>
      </c>
      <c r="G189" s="302">
        <f t="shared" si="41"/>
        <v>9165</v>
      </c>
      <c r="H189" s="207">
        <v>0</v>
      </c>
      <c r="I189" s="207">
        <f t="shared" si="42"/>
        <v>9165</v>
      </c>
      <c r="J189" s="302">
        <f>IF(F189=$J$2,E189,0)</f>
        <v>0</v>
      </c>
      <c r="K189" s="342"/>
      <c r="L189" s="306"/>
      <c r="M189" s="207">
        <f t="shared" si="43"/>
        <v>0</v>
      </c>
      <c r="N189" s="302">
        <f t="shared" si="44"/>
        <v>0</v>
      </c>
      <c r="O189" s="206">
        <v>13</v>
      </c>
    </row>
    <row r="190" spans="1:15">
      <c r="A190" s="593" t="s">
        <v>1200</v>
      </c>
      <c r="B190" s="963">
        <v>418.1</v>
      </c>
      <c r="C190" s="1027"/>
      <c r="D190" s="594" t="s">
        <v>1830</v>
      </c>
      <c r="E190" s="1134">
        <v>958989.38</v>
      </c>
      <c r="F190" s="306" t="str">
        <f>$G$2</f>
        <v>Traditional OOR</v>
      </c>
      <c r="G190" s="302">
        <f t="shared" si="41"/>
        <v>958989.38</v>
      </c>
      <c r="H190" s="207">
        <f>E190*$D$231</f>
        <v>56762.581402199998</v>
      </c>
      <c r="I190" s="207">
        <f t="shared" si="42"/>
        <v>902226.79859779996</v>
      </c>
      <c r="J190" s="302">
        <v>0</v>
      </c>
      <c r="K190" s="342"/>
      <c r="L190" s="306"/>
      <c r="M190" s="207">
        <f t="shared" si="43"/>
        <v>0</v>
      </c>
      <c r="N190" s="302">
        <f t="shared" si="44"/>
        <v>0</v>
      </c>
      <c r="O190" s="593" t="s">
        <v>2216</v>
      </c>
    </row>
    <row r="191" spans="1:15">
      <c r="A191" s="307"/>
      <c r="B191" s="349"/>
      <c r="C191" s="350"/>
      <c r="D191" s="351"/>
      <c r="E191" s="309"/>
      <c r="F191" s="306"/>
      <c r="G191" s="310"/>
      <c r="H191" s="307"/>
      <c r="I191" s="308"/>
      <c r="J191" s="306"/>
      <c r="K191" s="352"/>
      <c r="L191" s="306"/>
      <c r="M191" s="353"/>
      <c r="N191" s="306"/>
      <c r="O191" s="307"/>
    </row>
    <row r="192" spans="1:15">
      <c r="A192" s="307"/>
      <c r="B192" s="349"/>
      <c r="C192" s="350"/>
      <c r="D192" s="351"/>
      <c r="E192" s="309"/>
      <c r="F192" s="306"/>
      <c r="G192" s="310"/>
      <c r="H192" s="307"/>
      <c r="I192" s="308"/>
      <c r="J192" s="306"/>
      <c r="K192" s="352"/>
      <c r="L192" s="306"/>
      <c r="M192" s="353"/>
      <c r="N192" s="306"/>
      <c r="O192" s="307"/>
    </row>
    <row r="193" spans="1:15">
      <c r="A193" s="211">
        <v>29</v>
      </c>
      <c r="B193" s="1403" t="s">
        <v>922</v>
      </c>
      <c r="C193" s="1394"/>
      <c r="D193" s="1395"/>
      <c r="E193" s="424">
        <f>SUM(E186:E192)</f>
        <v>982354.38</v>
      </c>
      <c r="F193" s="360"/>
      <c r="G193" s="425">
        <f>SUM(G186:G192)</f>
        <v>968154.38</v>
      </c>
      <c r="H193" s="425">
        <f>SUM(H186:H192)</f>
        <v>56762.581402199998</v>
      </c>
      <c r="I193" s="425">
        <f>SUM(I186:I192)</f>
        <v>911391.79859779996</v>
      </c>
      <c r="J193" s="424">
        <f>SUM(J186:J192)</f>
        <v>14200</v>
      </c>
      <c r="K193" s="325"/>
      <c r="L193" s="424">
        <f>SUM(L186:L192)</f>
        <v>0</v>
      </c>
      <c r="M193" s="424">
        <f>SUM(M186:M192)</f>
        <v>14200</v>
      </c>
      <c r="N193" s="424">
        <f>SUM(N186:N192)</f>
        <v>0</v>
      </c>
      <c r="O193" s="196"/>
    </row>
    <row r="194" spans="1:15">
      <c r="A194" s="211">
        <v>30</v>
      </c>
      <c r="B194" s="1403" t="s">
        <v>1768</v>
      </c>
      <c r="C194" s="1410"/>
      <c r="D194" s="1411"/>
      <c r="E194" s="1278">
        <f>E195-E193</f>
        <v>-958989.38</v>
      </c>
      <c r="F194" s="359"/>
      <c r="G194" s="359"/>
      <c r="H194" s="359"/>
      <c r="I194" s="359"/>
      <c r="J194" s="358"/>
      <c r="K194" s="359"/>
      <c r="L194" s="358"/>
      <c r="M194" s="358"/>
      <c r="N194" s="358"/>
      <c r="O194" s="195"/>
    </row>
    <row r="195" spans="1:15" ht="25.5" customHeight="1">
      <c r="A195" s="211">
        <v>31</v>
      </c>
      <c r="B195" s="1408" t="s">
        <v>1253</v>
      </c>
      <c r="C195" s="1409"/>
      <c r="D195" s="1409"/>
      <c r="E195" s="1278">
        <v>23365</v>
      </c>
      <c r="F195" s="359"/>
      <c r="G195" s="359"/>
      <c r="H195" s="359"/>
      <c r="I195" s="359"/>
      <c r="J195" s="358"/>
      <c r="K195" s="359"/>
      <c r="L195" s="358"/>
      <c r="M195" s="358"/>
      <c r="N195" s="358"/>
      <c r="O195" s="195"/>
    </row>
    <row r="196" spans="1:15">
      <c r="A196" s="217"/>
    </row>
    <row r="197" spans="1:15">
      <c r="A197" s="211">
        <v>32</v>
      </c>
      <c r="B197" s="329"/>
      <c r="C197" s="328"/>
      <c r="D197" s="228" t="s">
        <v>923</v>
      </c>
      <c r="E197" s="426">
        <f>E8+E30+E35+E65+E126+E150+E155+E160+E181+E193</f>
        <v>873049795.62999988</v>
      </c>
      <c r="F197" s="427"/>
      <c r="G197" s="426">
        <f>G8+G30+G35+G65+G126+G150+G155+G160+G181+G193</f>
        <v>334552188.47990268</v>
      </c>
      <c r="H197" s="426">
        <f>H8+H30+H35+H65+H126+H150+H155+H160+H181+H193</f>
        <v>68839676.121304899</v>
      </c>
      <c r="I197" s="426">
        <f>I8+I30+I35+I65+I126+I150+I155+I160+I181+I193</f>
        <v>265712512.35859782</v>
      </c>
      <c r="J197" s="426">
        <f>J8+J30+J35+J65+J126+J150+J155+J160+J181+J193</f>
        <v>81779696.849999979</v>
      </c>
      <c r="K197" s="427"/>
      <c r="L197" s="426">
        <f>L8+L30+L35+L65+L126+L150+L155+L160+L181+L193</f>
        <v>16671389.037109755</v>
      </c>
      <c r="M197" s="426">
        <f>M8+M30+M35+M65+M126+M150+M155+M160+M181+M193</f>
        <v>65108307.812890254</v>
      </c>
      <c r="N197" s="426">
        <f>N8+N30+N35+N65+N126+N150+N155+N160+N181+N193</f>
        <v>456717910.30009729</v>
      </c>
      <c r="O197" s="196"/>
    </row>
    <row r="198" spans="1:15">
      <c r="A198" s="229"/>
      <c r="B198" s="230"/>
      <c r="C198" s="229"/>
      <c r="E198" s="217"/>
      <c r="F198" s="217"/>
      <c r="G198" s="303"/>
      <c r="J198" s="320"/>
      <c r="K198" s="319"/>
      <c r="N198" s="303"/>
    </row>
    <row r="199" spans="1:15">
      <c r="A199" s="229"/>
      <c r="B199" s="230"/>
      <c r="C199" s="229"/>
      <c r="E199" s="217"/>
      <c r="F199" s="217" t="s">
        <v>154</v>
      </c>
      <c r="J199" s="320"/>
      <c r="K199" s="319"/>
      <c r="N199" s="303"/>
    </row>
    <row r="200" spans="1:15">
      <c r="A200" s="211">
        <v>33</v>
      </c>
      <c r="B200" s="348"/>
      <c r="C200" s="348"/>
      <c r="D200" s="344" t="s">
        <v>924</v>
      </c>
      <c r="E200" s="341">
        <f>L197</f>
        <v>16671389.037109755</v>
      </c>
      <c r="F200" s="343" t="s">
        <v>925</v>
      </c>
      <c r="G200" s="303"/>
      <c r="N200" s="303"/>
    </row>
    <row r="201" spans="1:15">
      <c r="A201" s="206">
        <v>34</v>
      </c>
      <c r="B201" s="348"/>
      <c r="C201" s="348"/>
      <c r="D201" s="344" t="s">
        <v>927</v>
      </c>
      <c r="E201" s="341">
        <f>E200*(5.425/16.671)</f>
        <v>5425126.5986635732</v>
      </c>
      <c r="F201" s="1028" t="s">
        <v>1194</v>
      </c>
      <c r="G201" s="319"/>
      <c r="N201" s="303"/>
    </row>
    <row r="202" spans="1:15">
      <c r="A202" s="206">
        <v>35</v>
      </c>
      <c r="B202" s="348"/>
      <c r="C202" s="348"/>
      <c r="D202" s="346"/>
      <c r="E202" s="296"/>
      <c r="F202" s="1029"/>
      <c r="G202" s="319"/>
      <c r="N202" s="303"/>
    </row>
    <row r="203" spans="1:15">
      <c r="A203" s="206">
        <v>36</v>
      </c>
      <c r="B203" s="348"/>
      <c r="C203" s="348"/>
      <c r="D203" s="344" t="s">
        <v>928</v>
      </c>
      <c r="E203" s="341">
        <f>SUMIF(K4:K187,"=A",M4:M187)</f>
        <v>41362698.434934065</v>
      </c>
      <c r="F203" s="1030" t="s">
        <v>929</v>
      </c>
      <c r="G203" s="319"/>
      <c r="N203" s="303"/>
    </row>
    <row r="204" spans="1:15">
      <c r="A204" s="206">
        <v>37</v>
      </c>
      <c r="B204" s="338"/>
      <c r="C204" s="338"/>
      <c r="D204" s="344" t="s">
        <v>930</v>
      </c>
      <c r="E204" s="341">
        <f>0.1*E203</f>
        <v>4136269.8434934067</v>
      </c>
      <c r="F204" s="66" t="str">
        <f>"= Line "&amp;A203&amp;"D * 10%"</f>
        <v>= Line 36D * 10%</v>
      </c>
      <c r="G204" s="41"/>
      <c r="H204" s="322"/>
      <c r="I204" s="323"/>
    </row>
    <row r="205" spans="1:15">
      <c r="A205" s="206">
        <v>38</v>
      </c>
      <c r="B205" s="338"/>
      <c r="C205" s="338"/>
      <c r="D205" s="344" t="s">
        <v>931</v>
      </c>
      <c r="E205" s="341">
        <f>SUMIF(K4:K189,"=P",M4:M189)</f>
        <v>23745609.377956178</v>
      </c>
      <c r="F205" s="1031" t="s">
        <v>932</v>
      </c>
      <c r="G205" s="41"/>
      <c r="H205" s="217"/>
      <c r="I205" s="323"/>
    </row>
    <row r="206" spans="1:15">
      <c r="A206" s="206">
        <v>39</v>
      </c>
      <c r="B206" s="338"/>
      <c r="C206" s="338"/>
      <c r="D206" s="344" t="s">
        <v>933</v>
      </c>
      <c r="E206" s="341">
        <f>0.3*E205</f>
        <v>7123682.8133868529</v>
      </c>
      <c r="F206" s="66" t="str">
        <f>"= Line "&amp;A205&amp;"D * 30%"</f>
        <v>= Line 38D * 30%</v>
      </c>
      <c r="G206" s="41"/>
      <c r="H206" s="322"/>
      <c r="I206" s="323"/>
    </row>
    <row r="207" spans="1:15">
      <c r="A207" s="206">
        <v>40</v>
      </c>
      <c r="B207" s="338"/>
      <c r="C207" s="338"/>
      <c r="D207" s="344" t="s">
        <v>934</v>
      </c>
      <c r="E207" s="341">
        <f>E204+E206</f>
        <v>11259952.65688026</v>
      </c>
      <c r="F207" s="66" t="str">
        <f>"= Line "&amp;A204&amp;"D + Line "&amp;A206&amp;"D"</f>
        <v>= Line 37D + Line 39D</v>
      </c>
      <c r="G207" s="318"/>
    </row>
    <row r="208" spans="1:15">
      <c r="A208" s="206">
        <v>41</v>
      </c>
      <c r="B208" s="338"/>
      <c r="C208" s="338"/>
      <c r="D208" s="344" t="s">
        <v>935</v>
      </c>
      <c r="E208" s="345">
        <f>5.425/16.671</f>
        <v>0.32541539199808051</v>
      </c>
      <c r="F208" s="1030" t="s">
        <v>926</v>
      </c>
      <c r="G208" s="318"/>
    </row>
    <row r="209" spans="1:254">
      <c r="A209" s="206">
        <v>42</v>
      </c>
      <c r="B209" s="338"/>
      <c r="C209" s="338"/>
      <c r="D209" s="344" t="s">
        <v>936</v>
      </c>
      <c r="E209" s="341">
        <f>E207*E208</f>
        <v>3664161.9077185178</v>
      </c>
      <c r="F209" s="66" t="str">
        <f>"= Line "&amp;A207&amp;"D * Line "&amp;A208&amp;"D"</f>
        <v>= Line 40D * Line 41D</v>
      </c>
      <c r="G209" s="318"/>
    </row>
    <row r="210" spans="1:254" ht="12.75" customHeight="1">
      <c r="A210" s="206">
        <v>43</v>
      </c>
      <c r="B210" s="338"/>
      <c r="C210" s="338"/>
      <c r="D210" s="347" t="s">
        <v>1769</v>
      </c>
      <c r="E210" s="425">
        <f>E209+E201</f>
        <v>9089288.506382091</v>
      </c>
      <c r="F210" s="66" t="str">
        <f>"= Line "&amp;A201&amp;"D + Line "&amp;A209&amp;"D"</f>
        <v>= Line 34D + Line 42D</v>
      </c>
      <c r="G210" s="318"/>
    </row>
    <row r="211" spans="1:254">
      <c r="A211" s="41"/>
      <c r="D211" s="318"/>
      <c r="E211" s="1032"/>
      <c r="F211" s="1030"/>
      <c r="G211" s="318"/>
    </row>
    <row r="212" spans="1:254">
      <c r="A212" s="41"/>
      <c r="D212" s="226"/>
      <c r="E212" s="232" t="s">
        <v>175</v>
      </c>
      <c r="F212" s="232" t="s">
        <v>154</v>
      </c>
      <c r="G212" s="224"/>
      <c r="I212" s="227"/>
      <c r="J212" s="41"/>
      <c r="K212" s="227"/>
      <c r="L212" s="226"/>
      <c r="M212" s="232"/>
      <c r="N212" s="232"/>
      <c r="O212" s="224"/>
      <c r="P212" s="225"/>
      <c r="Q212" s="227"/>
      <c r="R212" s="226"/>
      <c r="S212" s="232"/>
      <c r="T212" s="232"/>
      <c r="U212" s="224"/>
      <c r="V212" s="225"/>
      <c r="W212" s="227"/>
      <c r="X212" s="41"/>
      <c r="Y212" s="227"/>
      <c r="Z212" s="226"/>
      <c r="AA212" s="232"/>
      <c r="AB212" s="232"/>
      <c r="AC212" s="224"/>
      <c r="AD212" s="225"/>
      <c r="AE212" s="227"/>
      <c r="AF212" s="41"/>
      <c r="AG212" s="227"/>
      <c r="AH212" s="226"/>
      <c r="AI212" s="232"/>
      <c r="AJ212" s="232"/>
      <c r="AK212" s="224"/>
      <c r="AL212" s="225"/>
      <c r="AM212" s="227"/>
      <c r="AN212" s="41"/>
      <c r="AO212" s="227"/>
      <c r="AP212" s="226"/>
      <c r="AQ212" s="232"/>
      <c r="AR212" s="232"/>
      <c r="AS212" s="224"/>
      <c r="AT212" s="225"/>
      <c r="AU212" s="227"/>
      <c r="AV212" s="41"/>
      <c r="AW212" s="227"/>
      <c r="AX212" s="226"/>
      <c r="AY212" s="232"/>
      <c r="AZ212" s="232"/>
      <c r="BA212" s="224"/>
      <c r="BB212" s="225"/>
      <c r="BC212" s="227"/>
      <c r="BD212" s="41"/>
      <c r="BE212" s="227"/>
      <c r="BF212" s="226"/>
      <c r="BG212" s="232"/>
      <c r="BH212" s="232"/>
      <c r="BI212" s="224"/>
      <c r="BJ212" s="225"/>
      <c r="BK212" s="227"/>
      <c r="BL212" s="41"/>
      <c r="BM212" s="227"/>
      <c r="BN212" s="226"/>
      <c r="BO212" s="232"/>
      <c r="BP212" s="232"/>
      <c r="BQ212" s="224"/>
      <c r="BR212" s="225"/>
      <c r="BS212" s="227"/>
      <c r="BT212" s="41"/>
      <c r="BU212" s="227"/>
      <c r="BV212" s="226"/>
      <c r="BW212" s="232"/>
      <c r="BX212" s="232"/>
      <c r="BY212" s="224"/>
      <c r="BZ212" s="225"/>
      <c r="CA212" s="227"/>
      <c r="CB212" s="41"/>
      <c r="CC212" s="227"/>
      <c r="CD212" s="226"/>
      <c r="CE212" s="232"/>
      <c r="CF212" s="232"/>
      <c r="CG212" s="224"/>
      <c r="CH212" s="225"/>
      <c r="CI212" s="227"/>
      <c r="CJ212" s="41"/>
      <c r="CK212" s="227"/>
      <c r="CL212" s="226"/>
      <c r="CM212" s="232"/>
      <c r="CN212" s="232"/>
      <c r="CO212" s="224"/>
      <c r="CP212" s="225"/>
      <c r="CQ212" s="227"/>
      <c r="CR212" s="41"/>
      <c r="CS212" s="227"/>
      <c r="CT212" s="226"/>
      <c r="CU212" s="232"/>
      <c r="CV212" s="232"/>
      <c r="CW212" s="224"/>
      <c r="CX212" s="225"/>
      <c r="CY212" s="227"/>
      <c r="CZ212" s="41"/>
      <c r="DA212" s="227"/>
      <c r="DB212" s="226"/>
      <c r="DC212" s="232"/>
      <c r="DD212" s="232"/>
      <c r="DE212" s="224"/>
      <c r="DF212" s="225"/>
      <c r="DG212" s="227"/>
      <c r="DH212" s="41"/>
      <c r="DI212" s="227"/>
      <c r="DJ212" s="226"/>
      <c r="DK212" s="232"/>
      <c r="DL212" s="232"/>
      <c r="DM212" s="224"/>
      <c r="DN212" s="225"/>
      <c r="DO212" s="227"/>
      <c r="DP212" s="41"/>
      <c r="DQ212" s="227"/>
      <c r="DR212" s="226"/>
      <c r="DS212" s="232"/>
      <c r="DT212" s="232"/>
      <c r="DU212" s="224"/>
      <c r="DV212" s="225"/>
      <c r="DW212" s="227"/>
      <c r="DX212" s="41"/>
      <c r="DY212" s="227"/>
      <c r="DZ212" s="226"/>
      <c r="EA212" s="232"/>
      <c r="EB212" s="232"/>
      <c r="EC212" s="224"/>
      <c r="ED212" s="225"/>
      <c r="EE212" s="227"/>
      <c r="EF212" s="41"/>
      <c r="EG212" s="227"/>
      <c r="EH212" s="226"/>
      <c r="EI212" s="232"/>
      <c r="EJ212" s="232"/>
      <c r="EK212" s="224"/>
      <c r="EL212" s="225"/>
      <c r="EM212" s="227"/>
      <c r="EN212" s="41"/>
      <c r="EO212" s="227"/>
      <c r="EP212" s="226"/>
      <c r="EQ212" s="232"/>
      <c r="ER212" s="232"/>
      <c r="ES212" s="224"/>
      <c r="ET212" s="225"/>
      <c r="EU212" s="227"/>
      <c r="EV212" s="41"/>
      <c r="EW212" s="227"/>
      <c r="EX212" s="226"/>
      <c r="EY212" s="232"/>
      <c r="EZ212" s="232"/>
      <c r="FA212" s="224"/>
      <c r="FB212" s="225"/>
      <c r="FC212" s="227"/>
      <c r="FD212" s="41"/>
      <c r="FE212" s="227"/>
      <c r="FF212" s="226"/>
      <c r="FG212" s="232"/>
      <c r="FH212" s="232"/>
      <c r="FI212" s="224"/>
      <c r="FJ212" s="225"/>
      <c r="FK212" s="227"/>
      <c r="FL212" s="41"/>
      <c r="FM212" s="227"/>
      <c r="FN212" s="226"/>
      <c r="FO212" s="232"/>
      <c r="FP212" s="232"/>
      <c r="FQ212" s="224"/>
      <c r="FR212" s="225"/>
      <c r="FS212" s="227"/>
      <c r="FT212" s="41"/>
      <c r="FU212" s="227"/>
      <c r="FV212" s="226"/>
      <c r="FW212" s="232"/>
      <c r="FX212" s="232"/>
      <c r="FY212" s="224"/>
      <c r="FZ212" s="225"/>
      <c r="GA212" s="227"/>
      <c r="GB212" s="41"/>
      <c r="GC212" s="227"/>
      <c r="GD212" s="226"/>
      <c r="GE212" s="232"/>
      <c r="GF212" s="232"/>
      <c r="GG212" s="224"/>
      <c r="GH212" s="225"/>
      <c r="GI212" s="227"/>
      <c r="GJ212" s="41"/>
      <c r="GK212" s="227"/>
      <c r="GL212" s="226"/>
      <c r="GM212" s="232"/>
      <c r="GN212" s="232"/>
      <c r="GO212" s="224"/>
      <c r="GP212" s="225"/>
      <c r="GQ212" s="227"/>
      <c r="GR212" s="41"/>
      <c r="GS212" s="227"/>
      <c r="GT212" s="226"/>
      <c r="GU212" s="232"/>
      <c r="GV212" s="232"/>
      <c r="GW212" s="224"/>
      <c r="GX212" s="225"/>
      <c r="GY212" s="227"/>
      <c r="GZ212" s="41"/>
      <c r="HA212" s="227"/>
      <c r="HB212" s="226"/>
      <c r="HC212" s="232"/>
      <c r="HD212" s="232"/>
      <c r="HE212" s="224"/>
      <c r="HF212" s="225"/>
      <c r="HG212" s="227"/>
      <c r="HH212" s="41"/>
      <c r="HI212" s="227"/>
      <c r="HJ212" s="226"/>
      <c r="HK212" s="232"/>
      <c r="HL212" s="232"/>
      <c r="HM212" s="224"/>
      <c r="HN212" s="225"/>
      <c r="HO212" s="227"/>
      <c r="HP212" s="41"/>
      <c r="HQ212" s="227"/>
      <c r="HR212" s="226"/>
      <c r="HS212" s="232"/>
      <c r="HT212" s="232"/>
      <c r="HU212" s="224"/>
      <c r="HV212" s="225"/>
      <c r="HW212" s="227"/>
      <c r="HX212" s="41"/>
      <c r="HY212" s="227"/>
      <c r="HZ212" s="226"/>
      <c r="IA212" s="232"/>
      <c r="IB212" s="232"/>
      <c r="IC212" s="224"/>
      <c r="ID212" s="225"/>
      <c r="IE212" s="227"/>
      <c r="IF212" s="41"/>
      <c r="IG212" s="227"/>
      <c r="IH212" s="226"/>
      <c r="II212" s="232"/>
      <c r="IJ212" s="232"/>
      <c r="IK212" s="224"/>
      <c r="IL212" s="225"/>
      <c r="IM212" s="227"/>
      <c r="IN212" s="41"/>
      <c r="IO212" s="227"/>
      <c r="IP212" s="226"/>
      <c r="IQ212" s="232"/>
      <c r="IR212" s="232"/>
      <c r="IS212" s="224"/>
      <c r="IT212" s="225"/>
    </row>
    <row r="213" spans="1:254">
      <c r="A213" s="206">
        <v>44</v>
      </c>
      <c r="B213" s="40" t="s">
        <v>959</v>
      </c>
      <c r="D213" s="226"/>
      <c r="E213" s="428">
        <f>H197+E210</f>
        <v>77928964.627686992</v>
      </c>
      <c r="F213" s="771" t="s">
        <v>2073</v>
      </c>
      <c r="G213" s="224"/>
      <c r="J213" s="40"/>
      <c r="K213" s="227"/>
      <c r="L213" s="226"/>
      <c r="M213" s="231"/>
      <c r="N213" s="233"/>
      <c r="O213" s="224"/>
      <c r="P213" s="225"/>
      <c r="Q213" s="227"/>
      <c r="R213" s="226"/>
      <c r="S213" s="231"/>
      <c r="T213" s="233"/>
      <c r="U213" s="224"/>
      <c r="V213" s="225"/>
      <c r="W213" s="217"/>
      <c r="X213" s="40"/>
      <c r="Y213" s="227"/>
      <c r="Z213" s="226"/>
      <c r="AA213" s="231"/>
      <c r="AB213" s="233"/>
      <c r="AC213" s="224"/>
      <c r="AD213" s="225"/>
      <c r="AE213" s="217"/>
      <c r="AF213" s="40"/>
      <c r="AG213" s="227"/>
      <c r="AH213" s="226"/>
      <c r="AI213" s="231"/>
      <c r="AJ213" s="233"/>
      <c r="AK213" s="224"/>
      <c r="AL213" s="225"/>
      <c r="AM213" s="211"/>
      <c r="AN213" s="40"/>
      <c r="AO213" s="227"/>
      <c r="AP213" s="226"/>
      <c r="AQ213" s="231"/>
      <c r="AR213" s="233"/>
      <c r="AS213" s="224"/>
      <c r="AT213" s="225"/>
      <c r="AU213" s="211"/>
      <c r="AV213" s="40"/>
      <c r="AW213" s="227"/>
      <c r="AX213" s="226"/>
      <c r="AY213" s="231"/>
      <c r="AZ213" s="233"/>
      <c r="BA213" s="224"/>
      <c r="BB213" s="225"/>
      <c r="BC213" s="211"/>
      <c r="BD213" s="40"/>
      <c r="BE213" s="227"/>
      <c r="BF213" s="226"/>
      <c r="BG213" s="231"/>
      <c r="BH213" s="233"/>
      <c r="BI213" s="224"/>
      <c r="BJ213" s="225"/>
      <c r="BK213" s="211"/>
      <c r="BL213" s="40"/>
      <c r="BM213" s="227"/>
      <c r="BN213" s="226"/>
      <c r="BO213" s="231"/>
      <c r="BP213" s="233"/>
      <c r="BQ213" s="224"/>
      <c r="BR213" s="225"/>
      <c r="BS213" s="211"/>
      <c r="BT213" s="40"/>
      <c r="BU213" s="227"/>
      <c r="BV213" s="226"/>
      <c r="BW213" s="231"/>
      <c r="BX213" s="233"/>
      <c r="BY213" s="224"/>
      <c r="BZ213" s="225"/>
      <c r="CA213" s="211"/>
      <c r="CB213" s="40"/>
      <c r="CC213" s="227"/>
      <c r="CD213" s="226"/>
      <c r="CE213" s="231"/>
      <c r="CF213" s="233"/>
      <c r="CG213" s="224"/>
      <c r="CH213" s="225"/>
      <c r="CI213" s="211"/>
      <c r="CJ213" s="40"/>
      <c r="CK213" s="227"/>
      <c r="CL213" s="226"/>
      <c r="CM213" s="231"/>
      <c r="CN213" s="233"/>
      <c r="CO213" s="224"/>
      <c r="CP213" s="225"/>
      <c r="CQ213" s="211"/>
      <c r="CR213" s="40"/>
      <c r="CS213" s="227"/>
      <c r="CT213" s="226"/>
      <c r="CU213" s="231"/>
      <c r="CV213" s="233"/>
      <c r="CW213" s="224"/>
      <c r="CX213" s="225"/>
      <c r="CY213" s="211"/>
      <c r="CZ213" s="40"/>
      <c r="DA213" s="227"/>
      <c r="DB213" s="226"/>
      <c r="DC213" s="231"/>
      <c r="DD213" s="233"/>
      <c r="DE213" s="224"/>
      <c r="DF213" s="225"/>
      <c r="DG213" s="211"/>
      <c r="DH213" s="40"/>
      <c r="DI213" s="227"/>
      <c r="DJ213" s="226"/>
      <c r="DK213" s="231"/>
      <c r="DL213" s="233"/>
      <c r="DM213" s="224"/>
      <c r="DN213" s="225"/>
      <c r="DO213" s="211"/>
      <c r="DP213" s="40"/>
      <c r="DQ213" s="227"/>
      <c r="DR213" s="226"/>
      <c r="DS213" s="231"/>
      <c r="DT213" s="233"/>
      <c r="DU213" s="224"/>
      <c r="DV213" s="225"/>
      <c r="DW213" s="211"/>
      <c r="DX213" s="40"/>
      <c r="DY213" s="227"/>
      <c r="DZ213" s="226"/>
      <c r="EA213" s="231"/>
      <c r="EB213" s="233"/>
      <c r="EC213" s="224"/>
      <c r="ED213" s="225"/>
      <c r="EE213" s="211"/>
      <c r="EF213" s="40"/>
      <c r="EG213" s="227"/>
      <c r="EH213" s="226"/>
      <c r="EI213" s="231"/>
      <c r="EJ213" s="233"/>
      <c r="EK213" s="224"/>
      <c r="EL213" s="225"/>
      <c r="EM213" s="211"/>
      <c r="EN213" s="40"/>
      <c r="EO213" s="227"/>
      <c r="EP213" s="226"/>
      <c r="EQ213" s="231"/>
      <c r="ER213" s="233"/>
      <c r="ES213" s="224"/>
      <c r="ET213" s="225"/>
      <c r="EU213" s="211"/>
      <c r="EV213" s="40"/>
      <c r="EW213" s="227"/>
      <c r="EX213" s="226"/>
      <c r="EY213" s="231"/>
      <c r="EZ213" s="233"/>
      <c r="FA213" s="224"/>
      <c r="FB213" s="225"/>
      <c r="FC213" s="211"/>
      <c r="FD213" s="40"/>
      <c r="FE213" s="227"/>
      <c r="FF213" s="226"/>
      <c r="FG213" s="231"/>
      <c r="FH213" s="233"/>
      <c r="FI213" s="224"/>
      <c r="FJ213" s="225"/>
      <c r="FK213" s="211"/>
      <c r="FL213" s="40"/>
      <c r="FM213" s="227"/>
      <c r="FN213" s="226"/>
      <c r="FO213" s="231"/>
      <c r="FP213" s="233"/>
      <c r="FQ213" s="224"/>
      <c r="FR213" s="225"/>
      <c r="FS213" s="211"/>
      <c r="FT213" s="40"/>
      <c r="FU213" s="227"/>
      <c r="FV213" s="226"/>
      <c r="FW213" s="231"/>
      <c r="FX213" s="233"/>
      <c r="FY213" s="224"/>
      <c r="FZ213" s="225"/>
      <c r="GA213" s="211"/>
      <c r="GB213" s="40"/>
      <c r="GC213" s="227"/>
      <c r="GD213" s="226"/>
      <c r="GE213" s="231"/>
      <c r="GF213" s="233"/>
      <c r="GG213" s="224"/>
      <c r="GH213" s="225"/>
      <c r="GI213" s="211"/>
      <c r="GJ213" s="40"/>
      <c r="GK213" s="227"/>
      <c r="GL213" s="226"/>
      <c r="GM213" s="231"/>
      <c r="GN213" s="233"/>
      <c r="GO213" s="224"/>
      <c r="GP213" s="225"/>
      <c r="GQ213" s="211"/>
      <c r="GR213" s="40"/>
      <c r="GS213" s="227"/>
      <c r="GT213" s="226"/>
      <c r="GU213" s="231"/>
      <c r="GV213" s="233"/>
      <c r="GW213" s="224"/>
      <c r="GX213" s="225"/>
      <c r="GY213" s="211"/>
      <c r="GZ213" s="40"/>
      <c r="HA213" s="227"/>
      <c r="HB213" s="226"/>
      <c r="HC213" s="231"/>
      <c r="HD213" s="233"/>
      <c r="HE213" s="224"/>
      <c r="HF213" s="225"/>
      <c r="HG213" s="211"/>
      <c r="HH213" s="40"/>
      <c r="HI213" s="227"/>
      <c r="HJ213" s="226"/>
      <c r="HK213" s="231"/>
      <c r="HL213" s="233"/>
      <c r="HM213" s="224"/>
      <c r="HN213" s="225"/>
      <c r="HO213" s="211"/>
      <c r="HP213" s="40"/>
      <c r="HQ213" s="227"/>
      <c r="HR213" s="226"/>
      <c r="HS213" s="231"/>
      <c r="HT213" s="233"/>
      <c r="HU213" s="224"/>
      <c r="HV213" s="225"/>
      <c r="HW213" s="211"/>
      <c r="HX213" s="40"/>
      <c r="HY213" s="227"/>
      <c r="HZ213" s="226"/>
      <c r="IA213" s="231"/>
      <c r="IB213" s="233"/>
      <c r="IC213" s="224"/>
      <c r="ID213" s="225"/>
      <c r="IE213" s="211"/>
      <c r="IF213" s="40"/>
      <c r="IG213" s="227"/>
      <c r="IH213" s="226"/>
      <c r="II213" s="231"/>
      <c r="IJ213" s="233"/>
      <c r="IK213" s="224"/>
      <c r="IL213" s="225"/>
      <c r="IM213" s="211"/>
      <c r="IN213" s="40"/>
      <c r="IO213" s="227"/>
      <c r="IP213" s="226"/>
      <c r="IQ213" s="231"/>
      <c r="IR213" s="233"/>
      <c r="IS213" s="224"/>
      <c r="IT213" s="225"/>
    </row>
    <row r="214" spans="1:254">
      <c r="D214" s="318"/>
      <c r="E214" s="304"/>
      <c r="F214" s="343"/>
    </row>
    <row r="216" spans="1:254">
      <c r="A216" s="227" t="s">
        <v>232</v>
      </c>
    </row>
    <row r="217" spans="1:254" ht="12.75" customHeight="1">
      <c r="A217" s="86" t="s">
        <v>937</v>
      </c>
      <c r="B217" s="1404" t="s">
        <v>1488</v>
      </c>
      <c r="C217" s="1405"/>
      <c r="D217" s="1405"/>
    </row>
    <row r="218" spans="1:254" ht="77.25" customHeight="1">
      <c r="A218" s="86" t="s">
        <v>938</v>
      </c>
      <c r="B218" s="1390" t="s">
        <v>1848</v>
      </c>
      <c r="C218" s="1391"/>
      <c r="D218" s="1391"/>
      <c r="E218" s="1399"/>
      <c r="F218" s="1399"/>
    </row>
    <row r="219" spans="1:254" ht="12.75" customHeight="1">
      <c r="A219" s="86" t="s">
        <v>939</v>
      </c>
      <c r="B219" s="1396" t="s">
        <v>940</v>
      </c>
      <c r="C219" s="1397"/>
      <c r="D219" s="1397"/>
      <c r="E219" s="1398"/>
      <c r="F219" s="1398"/>
    </row>
    <row r="220" spans="1:254" ht="12.75" customHeight="1">
      <c r="A220" s="72" t="s">
        <v>941</v>
      </c>
      <c r="B220" s="1390" t="s">
        <v>1530</v>
      </c>
      <c r="C220" s="1397"/>
      <c r="D220" s="1397"/>
      <c r="E220" s="1398"/>
      <c r="F220" s="1398"/>
    </row>
    <row r="221" spans="1:254" ht="12.75" customHeight="1">
      <c r="A221" s="86" t="s">
        <v>942</v>
      </c>
      <c r="B221" s="1396" t="s">
        <v>943</v>
      </c>
      <c r="C221" s="1397"/>
      <c r="D221" s="1397"/>
      <c r="E221" s="1398"/>
      <c r="F221" s="1398"/>
    </row>
    <row r="222" spans="1:254" ht="12.75" customHeight="1">
      <c r="A222" s="72" t="s">
        <v>944</v>
      </c>
      <c r="B222" s="1396" t="s">
        <v>945</v>
      </c>
      <c r="C222" s="1397"/>
      <c r="D222" s="1397"/>
      <c r="E222" s="1398"/>
      <c r="F222" s="1398"/>
    </row>
    <row r="223" spans="1:254" ht="12.75" customHeight="1">
      <c r="A223" s="72" t="s">
        <v>946</v>
      </c>
      <c r="B223" s="1390" t="s">
        <v>1739</v>
      </c>
      <c r="C223" s="1391"/>
      <c r="D223" s="1391"/>
      <c r="E223" s="1392"/>
      <c r="F223" s="1392"/>
    </row>
    <row r="224" spans="1:254" ht="12.75" customHeight="1">
      <c r="A224" s="72"/>
      <c r="B224" s="1392"/>
      <c r="C224" s="1392"/>
      <c r="D224" s="1392"/>
      <c r="E224" s="1392"/>
      <c r="F224" s="1392"/>
    </row>
    <row r="225" spans="1:8" ht="12.75" customHeight="1">
      <c r="A225" s="72"/>
      <c r="B225" s="1396" t="s">
        <v>947</v>
      </c>
      <c r="C225" s="1397"/>
      <c r="D225" s="1135">
        <v>5.919E-2</v>
      </c>
      <c r="E225" s="1033" t="s">
        <v>1765</v>
      </c>
      <c r="F225" s="1132" t="s">
        <v>2582</v>
      </c>
      <c r="G225" s="618"/>
    </row>
    <row r="226" spans="1:8" ht="26.25" customHeight="1">
      <c r="A226" s="72" t="s">
        <v>948</v>
      </c>
      <c r="B226" s="1396" t="s">
        <v>949</v>
      </c>
      <c r="C226" s="1397"/>
      <c r="D226" s="1397"/>
      <c r="E226" s="1398"/>
      <c r="F226" s="1398"/>
    </row>
    <row r="227" spans="1:8" ht="27.75" customHeight="1">
      <c r="A227" s="72" t="s">
        <v>950</v>
      </c>
      <c r="B227" s="1396" t="s">
        <v>951</v>
      </c>
      <c r="C227" s="1397"/>
      <c r="D227" s="1397"/>
      <c r="E227" s="1398"/>
      <c r="F227" s="1398"/>
    </row>
    <row r="228" spans="1:8" ht="25.5" customHeight="1">
      <c r="A228" s="86" t="s">
        <v>952</v>
      </c>
      <c r="B228" s="1396" t="s">
        <v>953</v>
      </c>
      <c r="C228" s="1397"/>
      <c r="D228" s="1397"/>
      <c r="E228" s="1398"/>
      <c r="F228" s="1398"/>
    </row>
    <row r="229" spans="1:8" ht="39.950000000000003" customHeight="1">
      <c r="A229" s="72" t="s">
        <v>954</v>
      </c>
      <c r="B229" s="1390" t="s">
        <v>1766</v>
      </c>
      <c r="C229" s="1391"/>
      <c r="D229" s="1391"/>
      <c r="E229" s="1399"/>
      <c r="F229" s="1399"/>
      <c r="G229" s="318"/>
    </row>
    <row r="230" spans="1:8" ht="26.1" customHeight="1">
      <c r="A230" s="72" t="s">
        <v>955</v>
      </c>
      <c r="B230" s="1390" t="s">
        <v>1740</v>
      </c>
      <c r="C230" s="1391"/>
      <c r="D230" s="1391"/>
      <c r="E230" s="1392"/>
      <c r="F230" s="1392"/>
      <c r="G230" s="1392"/>
    </row>
    <row r="231" spans="1:8" ht="12.75" customHeight="1">
      <c r="A231" s="72"/>
      <c r="B231" s="1396" t="s">
        <v>947</v>
      </c>
      <c r="C231" s="1397"/>
      <c r="D231" s="1135">
        <v>5.919E-2</v>
      </c>
      <c r="E231" s="1033" t="s">
        <v>1765</v>
      </c>
      <c r="F231" s="1132" t="s">
        <v>2582</v>
      </c>
      <c r="G231" s="618"/>
    </row>
    <row r="232" spans="1:8" ht="12.75" customHeight="1">
      <c r="A232" s="72" t="s">
        <v>956</v>
      </c>
      <c r="B232" s="1390" t="s">
        <v>2071</v>
      </c>
      <c r="C232" s="1391"/>
      <c r="D232" s="1391"/>
      <c r="E232" s="1392"/>
      <c r="F232" s="1392"/>
      <c r="G232" s="1392"/>
      <c r="H232" s="1392"/>
    </row>
    <row r="233" spans="1:8" ht="12.75" customHeight="1">
      <c r="A233" s="72" t="s">
        <v>957</v>
      </c>
      <c r="B233" s="1390" t="s">
        <v>2072</v>
      </c>
      <c r="C233" s="1391"/>
      <c r="D233" s="1391"/>
      <c r="E233" s="1392"/>
      <c r="F233" s="1392"/>
      <c r="G233" s="1392"/>
    </row>
    <row r="234" spans="1:8" ht="25.5" customHeight="1">
      <c r="A234" s="596" t="s">
        <v>1695</v>
      </c>
      <c r="B234" s="1390" t="s">
        <v>1781</v>
      </c>
      <c r="C234" s="1391"/>
      <c r="D234" s="1391"/>
      <c r="E234" s="1399"/>
      <c r="F234" s="1399"/>
      <c r="G234" s="318"/>
    </row>
    <row r="235" spans="1:8">
      <c r="A235" s="596" t="s">
        <v>1767</v>
      </c>
      <c r="B235" s="576" t="s">
        <v>1808</v>
      </c>
      <c r="C235" s="41"/>
      <c r="E235" s="41"/>
      <c r="F235" s="41"/>
      <c r="G235" s="318"/>
    </row>
    <row r="236" spans="1:8">
      <c r="A236" s="596" t="s">
        <v>1787</v>
      </c>
      <c r="B236" s="576" t="s">
        <v>1831</v>
      </c>
      <c r="C236" s="41"/>
      <c r="E236" s="318"/>
      <c r="F236" s="318"/>
      <c r="G236" s="318"/>
    </row>
    <row r="237" spans="1:8">
      <c r="A237" s="41"/>
      <c r="B237" s="576" t="s">
        <v>1832</v>
      </c>
      <c r="C237" s="41"/>
      <c r="E237" s="318"/>
      <c r="F237" s="318"/>
      <c r="G237" s="318"/>
    </row>
    <row r="238" spans="1:8">
      <c r="A238" s="41"/>
      <c r="B238" s="576" t="s">
        <v>1833</v>
      </c>
      <c r="C238" s="41"/>
      <c r="E238" s="318"/>
      <c r="F238" s="318"/>
      <c r="G238" s="318"/>
    </row>
    <row r="239" spans="1:8">
      <c r="A239" s="41"/>
      <c r="B239" s="576" t="s">
        <v>1834</v>
      </c>
      <c r="C239" s="41"/>
      <c r="E239" s="318"/>
      <c r="F239" s="318"/>
      <c r="G239" s="318"/>
    </row>
  </sheetData>
  <autoFilter ref="A1:O235"/>
  <mergeCells count="45">
    <mergeCell ref="B234:F234"/>
    <mergeCell ref="J2:M2"/>
    <mergeCell ref="G2:I2"/>
    <mergeCell ref="B183:D183"/>
    <mergeCell ref="B151:D151"/>
    <mergeCell ref="B66:D66"/>
    <mergeCell ref="B36:D36"/>
    <mergeCell ref="B31:D31"/>
    <mergeCell ref="B182:D182"/>
    <mergeCell ref="B160:D160"/>
    <mergeCell ref="B8:D8"/>
    <mergeCell ref="B9:D9"/>
    <mergeCell ref="B35:D35"/>
    <mergeCell ref="B30:D30"/>
    <mergeCell ref="B65:D65"/>
    <mergeCell ref="B127:D127"/>
    <mergeCell ref="B219:F219"/>
    <mergeCell ref="B220:F220"/>
    <mergeCell ref="B222:F222"/>
    <mergeCell ref="B221:F221"/>
    <mergeCell ref="B226:F226"/>
    <mergeCell ref="B218:F218"/>
    <mergeCell ref="B186:C186"/>
    <mergeCell ref="B187:C187"/>
    <mergeCell ref="B189:C189"/>
    <mergeCell ref="B193:D193"/>
    <mergeCell ref="B195:D195"/>
    <mergeCell ref="B194:D194"/>
    <mergeCell ref="B188:C188"/>
    <mergeCell ref="B232:H232"/>
    <mergeCell ref="B233:G233"/>
    <mergeCell ref="B126:D126"/>
    <mergeCell ref="B228:F228"/>
    <mergeCell ref="B229:F229"/>
    <mergeCell ref="B231:C231"/>
    <mergeCell ref="B230:G230"/>
    <mergeCell ref="B156:D156"/>
    <mergeCell ref="B181:D181"/>
    <mergeCell ref="B161:D161"/>
    <mergeCell ref="B217:D217"/>
    <mergeCell ref="B155:D155"/>
    <mergeCell ref="B150:D150"/>
    <mergeCell ref="B225:C225"/>
    <mergeCell ref="B223:F224"/>
    <mergeCell ref="B227:F227"/>
  </mergeCells>
  <conditionalFormatting sqref="A221:A222 C157:C159 D71 C152:C154 C236:C65545 A226:A227 A229:A232 C214:C216 C197:C211 A234:A235 C10:C29 C64 C124:C125 C149 C2:C7 C32:C34 C37:C61 C67:C117 C128:C145 C161:C168">
    <cfRule type="cellIs" dxfId="9" priority="10" stopIfTrue="1" operator="between">
      <formula>4990000</formula>
      <formula>4999999</formula>
    </cfRule>
  </conditionalFormatting>
  <conditionalFormatting sqref="A233">
    <cfRule type="cellIs" dxfId="8" priority="9" stopIfTrue="1" operator="between">
      <formula>4990000</formula>
      <formula>4999999</formula>
    </cfRule>
  </conditionalFormatting>
  <conditionalFormatting sqref="A223:A225">
    <cfRule type="cellIs" dxfId="7" priority="8" stopIfTrue="1" operator="between">
      <formula>4990000</formula>
      <formula>4999999</formula>
    </cfRule>
  </conditionalFormatting>
  <conditionalFormatting sqref="K212:K213 Q212:Q213 Y212:Y213 AG212:AG213 AO212:AO213 AW212:AW213 BE212:BE213 BM212:BM213 BU212:BU213 CC212:CC213 CK212:CK213 CS212:CS213 DA212:DA213 DI212:DI213 DQ212:DQ213 DY212:DY213 EG212:EG213 EO212:EO213 EW212:EW213 FE212:FE213 FM212:FM213 FU212:FU213 GC212:GC213 GK212:GK213 GS212:GS213 HA212:HA213 HI212:HI213 HQ212:HQ213 HY212:HY213 IG212:IG213 IO212:IO213">
    <cfRule type="cellIs" dxfId="6" priority="7" stopIfTrue="1" operator="between">
      <formula>4990000</formula>
      <formula>4999999</formula>
    </cfRule>
  </conditionalFormatting>
  <conditionalFormatting sqref="C212:C213">
    <cfRule type="cellIs" dxfId="5" priority="6" stopIfTrue="1" operator="between">
      <formula>4990000</formula>
      <formula>4999999</formula>
    </cfRule>
  </conditionalFormatting>
  <conditionalFormatting sqref="A236">
    <cfRule type="cellIs" dxfId="4" priority="5" stopIfTrue="1" operator="between">
      <formula>4990000</formula>
      <formula>4999999</formula>
    </cfRule>
  </conditionalFormatting>
  <conditionalFormatting sqref="C62:C63">
    <cfRule type="cellIs" dxfId="3" priority="4" stopIfTrue="1" operator="between">
      <formula>4990000</formula>
      <formula>4999999</formula>
    </cfRule>
  </conditionalFormatting>
  <conditionalFormatting sqref="C118:C123">
    <cfRule type="cellIs" dxfId="2" priority="3" stopIfTrue="1" operator="between">
      <formula>4990000</formula>
      <formula>4999999</formula>
    </cfRule>
  </conditionalFormatting>
  <conditionalFormatting sqref="C146:C147">
    <cfRule type="cellIs" dxfId="1" priority="2" stopIfTrue="1" operator="between">
      <formula>4990000</formula>
      <formula>4999999</formula>
    </cfRule>
  </conditionalFormatting>
  <conditionalFormatting sqref="C148">
    <cfRule type="cellIs" dxfId="0" priority="1"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&amp;RExhibit SCE-4
TO2018 Formula Rate Spreadsheet</oddHeader>
    <oddFooter>&amp;R21-RevenueCredits</oddFooter>
  </headerFooter>
  <rowBreaks count="3" manualBreakCount="3">
    <brk id="66" max="16383" man="1"/>
    <brk id="127" max="16383" man="1"/>
    <brk id="18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zoomScaleNormal="100" zoomScalePageLayoutView="80" workbookViewId="0"/>
  </sheetViews>
  <sheetFormatPr defaultRowHeight="12.75"/>
  <cols>
    <col min="1" max="1" width="4.7109375" style="61" customWidth="1"/>
    <col min="2" max="2" width="14" customWidth="1"/>
    <col min="3" max="3" width="26.85546875" customWidth="1"/>
    <col min="4" max="4" width="28.5703125" customWidth="1"/>
    <col min="5" max="5" width="16.28515625" bestFit="1" customWidth="1"/>
    <col min="6" max="6" width="20.7109375" style="386" customWidth="1"/>
    <col min="7" max="7" width="9.7109375" customWidth="1"/>
  </cols>
  <sheetData>
    <row r="1" spans="1:8">
      <c r="A1" s="83" t="s">
        <v>1079</v>
      </c>
      <c r="C1" s="83"/>
      <c r="D1" s="83"/>
      <c r="E1" s="83"/>
    </row>
    <row r="2" spans="1:8">
      <c r="A2" s="83"/>
      <c r="C2" s="83"/>
      <c r="D2" s="83"/>
      <c r="E2" s="986" t="s">
        <v>1746</v>
      </c>
      <c r="F2" s="417"/>
    </row>
    <row r="3" spans="1:8">
      <c r="B3" s="83" t="s">
        <v>1111</v>
      </c>
      <c r="C3" s="83"/>
      <c r="D3" s="83"/>
      <c r="E3" s="83"/>
    </row>
    <row r="4" spans="1:8" ht="15">
      <c r="A4" s="51" t="s">
        <v>332</v>
      </c>
      <c r="C4" s="83"/>
      <c r="E4" s="3" t="s">
        <v>969</v>
      </c>
      <c r="F4" s="387" t="s">
        <v>168</v>
      </c>
    </row>
    <row r="5" spans="1:8" ht="15">
      <c r="A5" s="245">
        <v>1</v>
      </c>
      <c r="B5" s="50" t="s">
        <v>1080</v>
      </c>
      <c r="C5" s="50"/>
      <c r="D5" s="388"/>
      <c r="E5" s="781">
        <v>27134526.349999998</v>
      </c>
      <c r="F5" s="1219" t="s">
        <v>212</v>
      </c>
    </row>
    <row r="6" spans="1:8" ht="15">
      <c r="A6" s="245">
        <v>2</v>
      </c>
      <c r="B6" s="388" t="s">
        <v>1081</v>
      </c>
      <c r="C6" s="388"/>
      <c r="D6" s="388"/>
      <c r="E6" s="552">
        <f>E7-E5</f>
        <v>201105449.65000001</v>
      </c>
      <c r="F6" s="1219" t="s">
        <v>2366</v>
      </c>
      <c r="H6" s="1219"/>
    </row>
    <row r="7" spans="1:8" ht="15">
      <c r="A7" s="245">
        <v>3</v>
      </c>
      <c r="B7" s="503" t="s">
        <v>2446</v>
      </c>
      <c r="C7" s="50"/>
      <c r="D7" s="50"/>
      <c r="E7" s="430">
        <v>228239976</v>
      </c>
      <c r="F7" s="507" t="s">
        <v>1240</v>
      </c>
      <c r="H7" s="1219"/>
    </row>
    <row r="8" spans="1:8" ht="15">
      <c r="A8" s="390"/>
      <c r="B8" s="391"/>
      <c r="C8" s="393"/>
      <c r="D8" s="393"/>
      <c r="E8" s="394"/>
      <c r="F8" s="401"/>
      <c r="G8" s="377"/>
    </row>
    <row r="9" spans="1:8" ht="15">
      <c r="A9" s="390"/>
      <c r="B9" s="83" t="s">
        <v>1112</v>
      </c>
      <c r="C9" s="393"/>
      <c r="D9" s="393"/>
      <c r="E9" s="394"/>
      <c r="F9" s="392"/>
      <c r="G9" s="377"/>
    </row>
    <row r="10" spans="1:8" ht="15">
      <c r="A10" s="395"/>
      <c r="B10" s="50"/>
      <c r="C10" s="50"/>
      <c r="D10" s="50"/>
      <c r="E10" s="59"/>
      <c r="F10" s="392"/>
      <c r="G10" s="377"/>
    </row>
    <row r="11" spans="1:8" ht="15">
      <c r="A11" s="395">
        <v>4</v>
      </c>
      <c r="B11" s="50" t="s">
        <v>1080</v>
      </c>
      <c r="C11" s="50"/>
      <c r="D11" s="50"/>
      <c r="E11" s="1102">
        <v>119779556.01000001</v>
      </c>
      <c r="F11" s="1219" t="s">
        <v>284</v>
      </c>
      <c r="G11" s="377"/>
    </row>
    <row r="12" spans="1:8" ht="15">
      <c r="A12" s="395">
        <v>5</v>
      </c>
      <c r="B12" s="50" t="s">
        <v>1081</v>
      </c>
      <c r="C12" s="50"/>
      <c r="D12" s="50"/>
      <c r="E12" s="552">
        <f>E13-E11</f>
        <v>91604741.989999995</v>
      </c>
      <c r="F12" s="1219" t="s">
        <v>2367</v>
      </c>
      <c r="G12" s="377"/>
    </row>
    <row r="13" spans="1:8" ht="15">
      <c r="A13" s="395">
        <v>6</v>
      </c>
      <c r="B13" s="503" t="s">
        <v>2446</v>
      </c>
      <c r="C13" s="50"/>
      <c r="D13" s="50"/>
      <c r="E13" s="430">
        <v>211384298</v>
      </c>
      <c r="F13" s="507" t="s">
        <v>1082</v>
      </c>
      <c r="G13" s="377"/>
    </row>
    <row r="14" spans="1:8" ht="15">
      <c r="A14" s="245"/>
      <c r="B14" s="50"/>
      <c r="C14" s="50"/>
      <c r="D14" s="50"/>
      <c r="E14" s="59"/>
      <c r="F14" s="389"/>
    </row>
    <row r="15" spans="1:8" ht="15">
      <c r="A15" s="245">
        <v>7</v>
      </c>
      <c r="B15" s="50" t="s">
        <v>1083</v>
      </c>
      <c r="C15" s="50"/>
      <c r="D15" s="50"/>
      <c r="E15" s="59">
        <f>(E5+E11)/2</f>
        <v>73457041.180000007</v>
      </c>
      <c r="F15" s="16" t="str">
        <f>"(Line "&amp;A5&amp;" + Line "&amp;A11&amp;") / 2"</f>
        <v>(Line 1 + Line 4) / 2</v>
      </c>
      <c r="G15" s="396"/>
    </row>
    <row r="16" spans="1:8" ht="15">
      <c r="A16" s="245"/>
      <c r="B16" s="388"/>
      <c r="C16" s="397"/>
      <c r="D16" s="398"/>
      <c r="E16" s="399"/>
      <c r="F16" s="389"/>
    </row>
    <row r="17" spans="1:6" ht="15">
      <c r="A17" s="245">
        <v>8</v>
      </c>
      <c r="B17" s="388" t="s">
        <v>1084</v>
      </c>
      <c r="C17" s="397"/>
      <c r="D17" s="397"/>
      <c r="E17" s="1279">
        <v>2616282.5299999998</v>
      </c>
      <c r="F17" s="1219" t="s">
        <v>963</v>
      </c>
    </row>
    <row r="18" spans="1:6" ht="15">
      <c r="A18" s="245">
        <v>9</v>
      </c>
      <c r="B18" s="388" t="s">
        <v>1085</v>
      </c>
      <c r="C18" s="397"/>
      <c r="D18" s="397"/>
      <c r="E18" s="552">
        <f>E19-E17</f>
        <v>512307469.47000003</v>
      </c>
      <c r="F18" s="1219" t="s">
        <v>2368</v>
      </c>
    </row>
    <row r="19" spans="1:6" ht="15">
      <c r="A19" s="245">
        <v>10</v>
      </c>
      <c r="B19" s="503" t="s">
        <v>2445</v>
      </c>
      <c r="C19" s="397"/>
      <c r="D19" s="397"/>
      <c r="E19" s="430">
        <v>514923752</v>
      </c>
      <c r="F19" s="507" t="s">
        <v>1086</v>
      </c>
    </row>
    <row r="20" spans="1:6">
      <c r="C20" s="60"/>
      <c r="D20" s="60"/>
    </row>
    <row r="21" spans="1:6">
      <c r="C21" s="60"/>
      <c r="D21" s="60"/>
    </row>
    <row r="22" spans="1:6">
      <c r="A22" s="51" t="s">
        <v>232</v>
      </c>
    </row>
    <row r="23" spans="1:6">
      <c r="A23" s="61">
        <v>1</v>
      </c>
      <c r="B23" s="12" t="s">
        <v>1110</v>
      </c>
    </row>
    <row r="24" spans="1:6">
      <c r="A24" s="61">
        <v>2</v>
      </c>
      <c r="B24" s="12" t="s">
        <v>1113</v>
      </c>
    </row>
    <row r="25" spans="1:6">
      <c r="A25" s="61">
        <v>3</v>
      </c>
      <c r="B25" t="s">
        <v>1692</v>
      </c>
    </row>
    <row r="26" spans="1:6">
      <c r="A26" s="61">
        <v>4</v>
      </c>
      <c r="B26" t="s">
        <v>2022</v>
      </c>
      <c r="E26" s="400"/>
    </row>
    <row r="27" spans="1:6">
      <c r="B27" t="s">
        <v>2021</v>
      </c>
      <c r="E27" s="400"/>
    </row>
    <row r="28" spans="1:6">
      <c r="E28" s="400"/>
    </row>
    <row r="29" spans="1:6">
      <c r="A29"/>
      <c r="E29" s="400"/>
    </row>
    <row r="30" spans="1:6">
      <c r="A30"/>
      <c r="E30" s="400"/>
    </row>
    <row r="31" spans="1:6">
      <c r="A31"/>
      <c r="E31" s="400"/>
    </row>
    <row r="32" spans="1:6">
      <c r="A32"/>
      <c r="E32" s="400"/>
    </row>
    <row r="36" spans="1:5">
      <c r="A36"/>
      <c r="C36" s="99"/>
      <c r="D36" s="99"/>
      <c r="E36" s="99"/>
    </row>
    <row r="37" spans="1:5">
      <c r="A37"/>
      <c r="C37" s="99"/>
      <c r="D37" s="99"/>
      <c r="E37" s="99"/>
    </row>
    <row r="38" spans="1:5">
      <c r="A38"/>
      <c r="C38" s="99"/>
      <c r="D38" s="99"/>
      <c r="E38" s="99"/>
    </row>
    <row r="39" spans="1:5">
      <c r="A39"/>
      <c r="C39" s="99"/>
      <c r="D39" s="99"/>
      <c r="E39" s="99"/>
    </row>
    <row r="40" spans="1:5">
      <c r="A40"/>
      <c r="C40" s="99"/>
      <c r="D40" s="99"/>
      <c r="E40" s="99"/>
    </row>
    <row r="41" spans="1:5">
      <c r="A41"/>
      <c r="C41" s="99"/>
      <c r="D41" s="99"/>
      <c r="E41" s="99"/>
    </row>
    <row r="42" spans="1:5">
      <c r="A42"/>
      <c r="C42" s="99"/>
      <c r="D42" s="99"/>
      <c r="E42" s="99"/>
    </row>
    <row r="43" spans="1:5">
      <c r="A43"/>
      <c r="C43" s="99"/>
      <c r="D43" s="99"/>
      <c r="E43" s="99"/>
    </row>
    <row r="44" spans="1:5">
      <c r="A44"/>
      <c r="C44" s="99"/>
      <c r="D44" s="99"/>
      <c r="E44" s="99"/>
    </row>
    <row r="45" spans="1:5">
      <c r="A45"/>
      <c r="C45" s="99"/>
      <c r="D45" s="99"/>
      <c r="E45" s="99"/>
    </row>
    <row r="46" spans="1:5">
      <c r="A46"/>
      <c r="C46" s="99"/>
      <c r="D46" s="99"/>
      <c r="E46" s="99"/>
    </row>
    <row r="47" spans="1:5">
      <c r="A47"/>
      <c r="C47" s="99"/>
      <c r="D47" s="99"/>
      <c r="E47" s="99"/>
    </row>
    <row r="48" spans="1:5">
      <c r="A48"/>
      <c r="C48" s="99"/>
      <c r="D48" s="99"/>
      <c r="E48" s="99"/>
    </row>
    <row r="51" spans="1:5">
      <c r="A51"/>
      <c r="E51" s="99"/>
    </row>
  </sheetData>
  <pageMargins left="0.7" right="0.7" top="0.75" bottom="0.75" header="0.3" footer="0.3"/>
  <pageSetup scale="75" orientation="portrait" cellComments="asDisplayed" r:id="rId1"/>
  <headerFooter>
    <oddHeader>&amp;CSchedule 22
Network Upgrade Credits and Interest Expense
&amp;RExhibit SCE-4
TO2018 Formula Rate Spreadsheet</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35" t="s">
        <v>1731</v>
      </c>
      <c r="B1" s="736"/>
      <c r="C1" s="736"/>
      <c r="D1" s="736"/>
      <c r="E1" s="736"/>
      <c r="F1" s="736"/>
      <c r="G1" s="736"/>
      <c r="H1" s="14"/>
      <c r="I1" s="14"/>
      <c r="J1" s="14"/>
      <c r="K1" s="14"/>
    </row>
    <row r="2" spans="1:11">
      <c r="A2" s="14"/>
      <c r="B2" s="14"/>
      <c r="C2" s="14"/>
      <c r="D2" s="14"/>
      <c r="E2" s="14"/>
      <c r="F2" s="14"/>
      <c r="G2" s="14"/>
      <c r="H2" s="14"/>
      <c r="I2" s="14"/>
      <c r="J2" s="14"/>
      <c r="K2" s="14"/>
    </row>
    <row r="3" spans="1:11">
      <c r="A3" s="737" t="s">
        <v>332</v>
      </c>
      <c r="B3" s="736"/>
      <c r="C3" s="736"/>
      <c r="D3" s="736"/>
      <c r="E3" s="736"/>
      <c r="F3" s="736"/>
      <c r="G3" s="736"/>
      <c r="H3" s="14"/>
      <c r="I3" s="14"/>
      <c r="J3" s="14"/>
      <c r="K3" s="14"/>
    </row>
    <row r="4" spans="1:11">
      <c r="A4" s="738">
        <v>1</v>
      </c>
      <c r="B4" s="616" t="s">
        <v>1720</v>
      </c>
      <c r="C4" s="736"/>
      <c r="D4" s="736"/>
      <c r="E4" s="736"/>
      <c r="F4" s="736"/>
      <c r="G4" s="736"/>
      <c r="H4" s="14"/>
      <c r="I4" s="14"/>
      <c r="J4" s="14"/>
      <c r="K4" s="14"/>
    </row>
    <row r="5" spans="1:11">
      <c r="A5" s="738">
        <v>2</v>
      </c>
      <c r="B5" s="616" t="s">
        <v>1721</v>
      </c>
      <c r="C5" s="736"/>
      <c r="D5" s="736"/>
      <c r="E5" s="736"/>
      <c r="F5" s="736"/>
      <c r="G5" s="736"/>
      <c r="H5" s="14"/>
      <c r="I5" s="14"/>
      <c r="J5" s="14"/>
      <c r="K5" s="14"/>
    </row>
    <row r="6" spans="1:11">
      <c r="A6" s="738">
        <v>3</v>
      </c>
      <c r="B6" s="616" t="s">
        <v>1722</v>
      </c>
      <c r="C6" s="736"/>
      <c r="D6" s="736"/>
      <c r="E6" s="736"/>
      <c r="F6" s="736"/>
      <c r="G6" s="736"/>
      <c r="H6" s="14"/>
      <c r="I6" s="14"/>
      <c r="J6" s="14"/>
      <c r="K6" s="14"/>
    </row>
    <row r="7" spans="1:11">
      <c r="A7" s="738">
        <v>4</v>
      </c>
      <c r="B7" s="736"/>
      <c r="C7" s="736"/>
      <c r="D7" s="736"/>
      <c r="E7" s="736"/>
      <c r="F7" s="736"/>
      <c r="G7" s="736"/>
      <c r="H7" s="14"/>
      <c r="I7" s="14"/>
      <c r="J7" s="14"/>
      <c r="K7" s="14"/>
    </row>
    <row r="8" spans="1:11">
      <c r="A8" s="738">
        <v>5</v>
      </c>
      <c r="B8" s="616" t="s">
        <v>413</v>
      </c>
      <c r="C8" s="736"/>
      <c r="D8" s="736"/>
      <c r="E8" s="736"/>
      <c r="F8" s="736"/>
      <c r="G8" s="736"/>
      <c r="H8" s="14"/>
      <c r="I8" s="14"/>
      <c r="J8" s="14"/>
      <c r="K8" s="14"/>
    </row>
    <row r="9" spans="1:11">
      <c r="A9" s="738">
        <v>6</v>
      </c>
      <c r="B9" s="616" t="s">
        <v>412</v>
      </c>
      <c r="C9" s="736"/>
      <c r="D9" s="736"/>
      <c r="E9" s="736"/>
      <c r="F9" s="736"/>
      <c r="G9" s="736"/>
      <c r="H9" s="14"/>
      <c r="I9" s="14"/>
      <c r="J9" s="14"/>
      <c r="K9" s="14"/>
    </row>
    <row r="10" spans="1:11">
      <c r="A10" s="738">
        <v>7</v>
      </c>
      <c r="B10" s="736"/>
      <c r="C10" s="736"/>
      <c r="D10" s="736"/>
      <c r="E10" s="736"/>
      <c r="F10" s="736"/>
      <c r="G10" s="736"/>
      <c r="H10" s="14"/>
      <c r="I10" s="14"/>
      <c r="J10" s="14"/>
      <c r="K10" s="14"/>
    </row>
    <row r="11" spans="1:11">
      <c r="A11" s="738">
        <v>8</v>
      </c>
      <c r="B11" s="616" t="s">
        <v>1723</v>
      </c>
      <c r="C11" s="736"/>
      <c r="D11" s="736"/>
      <c r="E11" s="736"/>
      <c r="F11" s="736"/>
      <c r="G11" s="736"/>
      <c r="H11" s="14"/>
      <c r="I11" s="14"/>
      <c r="J11" s="14"/>
      <c r="K11" s="14"/>
    </row>
    <row r="12" spans="1:11">
      <c r="A12" s="738">
        <v>9</v>
      </c>
      <c r="B12" s="616" t="s">
        <v>1724</v>
      </c>
      <c r="C12" s="736"/>
      <c r="D12" s="736"/>
      <c r="E12" s="736"/>
      <c r="F12" s="736"/>
      <c r="G12" s="736"/>
      <c r="H12" s="14"/>
      <c r="I12" s="14"/>
      <c r="J12" s="14"/>
      <c r="K12" s="14"/>
    </row>
    <row r="13" spans="1:11">
      <c r="A13" s="738">
        <v>10</v>
      </c>
      <c r="B13" s="616" t="s">
        <v>1725</v>
      </c>
      <c r="C13" s="736"/>
      <c r="D13" s="736"/>
      <c r="E13" s="736"/>
      <c r="F13" s="736"/>
      <c r="G13" s="736"/>
      <c r="H13" s="14"/>
      <c r="I13" s="14"/>
      <c r="J13" s="14"/>
      <c r="K13" s="14"/>
    </row>
    <row r="14" spans="1:11">
      <c r="A14" s="738">
        <v>11</v>
      </c>
      <c r="B14" s="736"/>
      <c r="C14" s="736"/>
      <c r="D14" s="736"/>
      <c r="E14" s="736"/>
      <c r="F14" s="736"/>
      <c r="G14" s="736"/>
      <c r="H14" s="14"/>
      <c r="I14" s="14"/>
      <c r="J14" s="14"/>
      <c r="K14" s="14"/>
    </row>
    <row r="15" spans="1:11">
      <c r="A15" s="738">
        <v>12</v>
      </c>
      <c r="B15" s="616"/>
      <c r="C15" s="736"/>
      <c r="D15" s="736"/>
      <c r="E15" s="738" t="s">
        <v>63</v>
      </c>
      <c r="F15" s="736"/>
      <c r="G15" s="736"/>
      <c r="H15" s="14"/>
      <c r="I15" s="14"/>
      <c r="J15" s="14"/>
      <c r="K15" s="14"/>
    </row>
    <row r="16" spans="1:11">
      <c r="A16" s="738">
        <v>13</v>
      </c>
      <c r="B16" s="736"/>
      <c r="C16" s="736"/>
      <c r="D16" s="736"/>
      <c r="E16" s="1034" t="s">
        <v>175</v>
      </c>
      <c r="F16" s="736"/>
      <c r="G16" s="1035" t="s">
        <v>1894</v>
      </c>
      <c r="H16" s="14"/>
      <c r="I16" s="14"/>
      <c r="J16" s="14"/>
      <c r="K16" s="14"/>
    </row>
    <row r="17" spans="1:11">
      <c r="A17" s="738">
        <v>14</v>
      </c>
      <c r="B17" s="616" t="s">
        <v>414</v>
      </c>
      <c r="C17" s="736"/>
      <c r="D17" s="736"/>
      <c r="E17" s="611">
        <f>D29</f>
        <v>0</v>
      </c>
      <c r="F17" s="736"/>
      <c r="G17" s="616" t="s">
        <v>507</v>
      </c>
      <c r="H17" s="14"/>
      <c r="I17" s="14"/>
      <c r="J17" s="14"/>
      <c r="K17" s="14"/>
    </row>
    <row r="18" spans="1:11">
      <c r="A18" s="738">
        <v>15</v>
      </c>
      <c r="B18" s="616" t="s">
        <v>1644</v>
      </c>
      <c r="C18" s="736"/>
      <c r="D18" s="736"/>
      <c r="E18" s="611">
        <f>(C29+D29)/2</f>
        <v>0</v>
      </c>
      <c r="F18" s="736"/>
      <c r="G18" s="616" t="s">
        <v>1895</v>
      </c>
      <c r="H18" s="14"/>
      <c r="I18" s="14"/>
      <c r="J18" s="14"/>
      <c r="K18" s="14"/>
    </row>
    <row r="19" spans="1:11">
      <c r="A19" s="738">
        <v>16</v>
      </c>
      <c r="B19" s="616" t="s">
        <v>1726</v>
      </c>
      <c r="C19" s="736"/>
      <c r="D19" s="736"/>
      <c r="E19" s="611">
        <f>E29</f>
        <v>0</v>
      </c>
      <c r="F19" s="736"/>
      <c r="G19" s="616" t="s">
        <v>1896</v>
      </c>
      <c r="H19" s="14"/>
      <c r="I19" s="14"/>
      <c r="J19" s="14"/>
      <c r="K19" s="14"/>
    </row>
    <row r="20" spans="1:11">
      <c r="A20" s="738"/>
      <c r="B20" s="616"/>
      <c r="C20" s="736"/>
      <c r="D20" s="736"/>
      <c r="E20" s="611"/>
      <c r="F20" s="736"/>
      <c r="G20" s="736"/>
      <c r="H20" s="14"/>
      <c r="I20" s="14"/>
      <c r="J20" s="14"/>
      <c r="K20" s="14"/>
    </row>
    <row r="21" spans="1:11">
      <c r="A21" s="738"/>
      <c r="B21" s="736"/>
      <c r="C21" s="744" t="s">
        <v>363</v>
      </c>
      <c r="D21" s="744" t="s">
        <v>347</v>
      </c>
      <c r="E21" s="744" t="s">
        <v>348</v>
      </c>
      <c r="F21" s="736"/>
      <c r="G21" s="736"/>
      <c r="H21" s="14"/>
      <c r="I21" s="14"/>
      <c r="J21" s="14"/>
      <c r="K21" s="14"/>
    </row>
    <row r="22" spans="1:11">
      <c r="A22" s="738"/>
      <c r="B22" s="736"/>
      <c r="C22" s="738" t="s">
        <v>63</v>
      </c>
      <c r="D22" s="738" t="s">
        <v>63</v>
      </c>
      <c r="E22" s="738" t="s">
        <v>63</v>
      </c>
      <c r="F22" s="736"/>
      <c r="G22" s="736"/>
      <c r="H22" s="14"/>
      <c r="I22" s="14"/>
      <c r="J22" s="14"/>
      <c r="K22" s="14"/>
    </row>
    <row r="23" spans="1:11" ht="15">
      <c r="A23" s="738"/>
      <c r="B23" s="738" t="s">
        <v>415</v>
      </c>
      <c r="C23" s="738" t="s">
        <v>385</v>
      </c>
      <c r="D23" s="738" t="s">
        <v>302</v>
      </c>
      <c r="E23" s="1036" t="s">
        <v>1727</v>
      </c>
      <c r="F23" s="736"/>
      <c r="G23" s="1037" t="s">
        <v>1897</v>
      </c>
      <c r="H23" s="980"/>
      <c r="I23" s="14"/>
      <c r="J23" s="14"/>
      <c r="K23" s="14"/>
    </row>
    <row r="24" spans="1:11">
      <c r="A24" s="738"/>
      <c r="B24" s="738" t="s">
        <v>416</v>
      </c>
      <c r="C24" s="738" t="s">
        <v>421</v>
      </c>
      <c r="D24" s="738" t="s">
        <v>421</v>
      </c>
      <c r="E24" s="738" t="s">
        <v>422</v>
      </c>
      <c r="F24" s="736"/>
      <c r="G24" s="1037" t="s">
        <v>1898</v>
      </c>
      <c r="H24" s="980"/>
      <c r="I24" s="14"/>
      <c r="J24" s="14"/>
      <c r="K24" s="14"/>
    </row>
    <row r="25" spans="1:11">
      <c r="A25" s="738"/>
      <c r="B25" s="1034" t="s">
        <v>417</v>
      </c>
      <c r="C25" s="1034" t="s">
        <v>417</v>
      </c>
      <c r="D25" s="1034" t="s">
        <v>417</v>
      </c>
      <c r="E25" s="1034" t="s">
        <v>1728</v>
      </c>
      <c r="F25" s="736"/>
      <c r="G25" s="1038" t="s">
        <v>1899</v>
      </c>
      <c r="H25" s="980"/>
      <c r="I25" s="14"/>
      <c r="J25" s="14"/>
      <c r="K25" s="14"/>
    </row>
    <row r="26" spans="1:11">
      <c r="A26" s="607">
        <v>17</v>
      </c>
      <c r="B26" s="612" t="s">
        <v>418</v>
      </c>
      <c r="C26" s="613"/>
      <c r="D26" s="613"/>
      <c r="E26" s="613"/>
      <c r="F26" s="605"/>
      <c r="G26" s="628"/>
      <c r="H26" s="97"/>
    </row>
    <row r="27" spans="1:11">
      <c r="A27" s="607">
        <v>18</v>
      </c>
      <c r="B27" s="612" t="s">
        <v>419</v>
      </c>
      <c r="C27" s="613"/>
      <c r="D27" s="613"/>
      <c r="E27" s="613"/>
      <c r="F27" s="605"/>
      <c r="G27" s="628"/>
      <c r="H27" s="97"/>
    </row>
    <row r="28" spans="1:11">
      <c r="A28" s="607">
        <v>19</v>
      </c>
      <c r="B28" s="612" t="s">
        <v>420</v>
      </c>
      <c r="C28" s="614"/>
      <c r="D28" s="614"/>
      <c r="E28" s="614"/>
      <c r="F28" s="605"/>
      <c r="G28" s="628"/>
      <c r="H28" s="97"/>
    </row>
    <row r="29" spans="1:11">
      <c r="A29" s="607">
        <v>20</v>
      </c>
      <c r="B29" s="608" t="s">
        <v>197</v>
      </c>
      <c r="C29" s="615">
        <f>SUM(C26:C28)</f>
        <v>0</v>
      </c>
      <c r="D29" s="615">
        <f>SUM(D26:D28)</f>
        <v>0</v>
      </c>
      <c r="E29" s="615">
        <f>SUM(E26:E28)</f>
        <v>0</v>
      </c>
      <c r="F29" s="605"/>
      <c r="G29" s="608" t="s">
        <v>328</v>
      </c>
    </row>
    <row r="30" spans="1:11">
      <c r="A30" s="607"/>
      <c r="B30" s="605"/>
      <c r="C30" s="605"/>
      <c r="D30" s="605"/>
      <c r="E30" s="605"/>
      <c r="F30" s="605"/>
      <c r="G30" s="605"/>
    </row>
    <row r="31" spans="1:11">
      <c r="A31" s="607"/>
      <c r="B31" s="604" t="s">
        <v>382</v>
      </c>
      <c r="C31" s="605"/>
      <c r="D31" s="605"/>
      <c r="E31" s="605"/>
      <c r="F31" s="605"/>
      <c r="G31" s="605"/>
    </row>
    <row r="32" spans="1:11">
      <c r="A32" s="607"/>
      <c r="B32" s="616" t="s">
        <v>1729</v>
      </c>
      <c r="C32" s="736"/>
      <c r="D32" s="736"/>
      <c r="E32" s="736"/>
      <c r="F32" s="736"/>
      <c r="G32" s="736"/>
      <c r="H32" s="14"/>
    </row>
    <row r="33" spans="1:8">
      <c r="A33" s="607"/>
      <c r="B33" s="616" t="s">
        <v>423</v>
      </c>
      <c r="C33" s="14"/>
      <c r="D33" s="14"/>
      <c r="E33" s="14"/>
      <c r="F33" s="14"/>
      <c r="G33" s="14"/>
      <c r="H33" s="14"/>
    </row>
    <row r="34" spans="1:8">
      <c r="A34" s="607"/>
      <c r="B34" s="1039" t="s">
        <v>508</v>
      </c>
      <c r="C34" s="14"/>
      <c r="D34" s="14"/>
      <c r="E34" s="14"/>
      <c r="F34" s="14"/>
      <c r="G34" s="14"/>
      <c r="H34" s="14"/>
    </row>
    <row r="35" spans="1:8">
      <c r="A35" s="607"/>
      <c r="B35" s="1039" t="s">
        <v>509</v>
      </c>
      <c r="C35" s="14"/>
      <c r="D35" s="14"/>
      <c r="E35" s="980"/>
      <c r="F35" s="14"/>
      <c r="G35" s="14"/>
      <c r="H35" s="14"/>
    </row>
    <row r="36" spans="1:8">
      <c r="A36" s="607"/>
      <c r="B36" s="616" t="s">
        <v>424</v>
      </c>
      <c r="C36" s="14"/>
      <c r="D36" s="14"/>
      <c r="E36" s="14"/>
      <c r="F36" s="14"/>
      <c r="G36" s="14"/>
      <c r="H36" s="14"/>
    </row>
    <row r="37" spans="1:8">
      <c r="A37" s="607"/>
    </row>
    <row r="38" spans="1:8">
      <c r="A38" s="607"/>
      <c r="B38" s="605"/>
    </row>
    <row r="39" spans="1:8">
      <c r="A39" s="607"/>
      <c r="B39" s="605"/>
    </row>
  </sheetData>
  <pageMargins left="0.7" right="0.7" top="0.75" bottom="0.75" header="0.3" footer="0.3"/>
  <pageSetup orientation="landscape" cellComments="asDisplayed" r:id="rId1"/>
  <headerFooter>
    <oddHeader>&amp;CSchedule 23
Regulatory Assets and Liabilities
&amp;RExhibit SCE-4
TO2018 Formula Rate Spreadsheet</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1442</v>
      </c>
    </row>
    <row r="3" spans="1:6">
      <c r="A3" s="503" t="s">
        <v>1666</v>
      </c>
    </row>
    <row r="5" spans="1:6">
      <c r="B5" s="3" t="s">
        <v>174</v>
      </c>
      <c r="C5" s="3" t="s">
        <v>175</v>
      </c>
    </row>
    <row r="6" spans="1:6">
      <c r="B6" t="s">
        <v>95</v>
      </c>
      <c r="C6" s="7">
        <f>'1-BaseTRR'!K141</f>
        <v>1099599088.841696</v>
      </c>
    </row>
    <row r="7" spans="1:6">
      <c r="B7" t="s">
        <v>321</v>
      </c>
      <c r="C7" s="7">
        <f>'1-BaseTRR'!K147</f>
        <v>109324745.5373141</v>
      </c>
    </row>
    <row r="8" spans="1:6">
      <c r="B8" t="s">
        <v>96</v>
      </c>
      <c r="C8" s="101">
        <f>'1-BaseTRR'!K148</f>
        <v>-39617211.828272499</v>
      </c>
      <c r="E8" s="1"/>
    </row>
    <row r="9" spans="1:6">
      <c r="B9" s="505" t="s">
        <v>1906</v>
      </c>
      <c r="C9" s="91">
        <f>'1-BaseTRR'!K149</f>
        <v>0</v>
      </c>
      <c r="E9" s="1"/>
    </row>
    <row r="10" spans="1:6">
      <c r="B10" t="s">
        <v>1667</v>
      </c>
      <c r="C10" s="7">
        <f>SUM(C6:C9)</f>
        <v>1169306622.5507376</v>
      </c>
    </row>
    <row r="12" spans="1:6">
      <c r="A12" t="s">
        <v>554</v>
      </c>
    </row>
    <row r="14" spans="1:6">
      <c r="B14" t="s">
        <v>203</v>
      </c>
    </row>
    <row r="15" spans="1:6">
      <c r="B15" s="507" t="s">
        <v>1803</v>
      </c>
      <c r="E15" s="14"/>
      <c r="F15" s="14"/>
    </row>
    <row r="16" spans="1:6">
      <c r="B16" s="16"/>
    </row>
    <row r="17" spans="2:2">
      <c r="B17" t="s">
        <v>553</v>
      </c>
    </row>
    <row r="18" spans="2:2">
      <c r="B18" s="505" t="s">
        <v>1804</v>
      </c>
    </row>
    <row r="19" spans="2:2">
      <c r="B19" s="16"/>
    </row>
    <row r="20" spans="2:2">
      <c r="B20" s="65" t="s">
        <v>1218</v>
      </c>
    </row>
    <row r="21" spans="2:2">
      <c r="B21" s="502" t="s">
        <v>1805</v>
      </c>
    </row>
    <row r="23" spans="2:2">
      <c r="B23" s="505" t="s">
        <v>1907</v>
      </c>
    </row>
  </sheetData>
  <phoneticPr fontId="23" type="noConversion"/>
  <pageMargins left="0.75" right="0.75" top="1.25" bottom="1" header="0.5" footer="0.5"/>
  <pageSetup orientation="landscape" r:id="rId1"/>
  <headerFooter alignWithMargins="0">
    <oddHeader>&amp;COverview
&amp;RExhibit SCE-4
TO2018 Formula Rate Spreadsheet</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1255</v>
      </c>
      <c r="I1" s="375"/>
    </row>
    <row r="3" spans="1:9">
      <c r="B3" s="1" t="s">
        <v>1518</v>
      </c>
    </row>
    <row r="4" spans="1:9">
      <c r="B4" s="1"/>
    </row>
    <row r="5" spans="1:9">
      <c r="B5" s="1"/>
      <c r="C5" s="1" t="s">
        <v>1407</v>
      </c>
      <c r="D5" s="84" t="s">
        <v>363</v>
      </c>
      <c r="E5" s="84" t="s">
        <v>347</v>
      </c>
      <c r="F5" s="84" t="s">
        <v>348</v>
      </c>
    </row>
    <row r="6" spans="1:9" ht="15">
      <c r="D6" s="245" t="s">
        <v>63</v>
      </c>
      <c r="E6" s="245" t="s">
        <v>63</v>
      </c>
      <c r="F6" s="245" t="s">
        <v>198</v>
      </c>
    </row>
    <row r="7" spans="1:9" ht="15">
      <c r="C7" s="1"/>
      <c r="D7" s="245" t="s">
        <v>302</v>
      </c>
      <c r="E7" s="245" t="s">
        <v>231</v>
      </c>
      <c r="F7" s="245" t="s">
        <v>199</v>
      </c>
    </row>
    <row r="8" spans="1:9">
      <c r="A8" s="3" t="s">
        <v>332</v>
      </c>
      <c r="C8" s="3" t="s">
        <v>226</v>
      </c>
      <c r="D8" s="3" t="s">
        <v>175</v>
      </c>
      <c r="E8" s="3" t="s">
        <v>175</v>
      </c>
      <c r="F8" s="3" t="s">
        <v>175</v>
      </c>
      <c r="G8" s="3" t="s">
        <v>179</v>
      </c>
    </row>
    <row r="9" spans="1:9">
      <c r="A9" s="2">
        <v>1</v>
      </c>
      <c r="C9" s="94" t="s">
        <v>1268</v>
      </c>
      <c r="D9" s="7">
        <f>'10-CWIP'!E25</f>
        <v>14915547.51</v>
      </c>
      <c r="E9" s="7">
        <f>'10-CWIP'!E26</f>
        <v>194883792.39230773</v>
      </c>
      <c r="F9" s="7">
        <f>'10-CWIP'!K113</f>
        <v>-14915547.51</v>
      </c>
      <c r="G9" s="46" t="str">
        <f>"10-CWIP, Lines "&amp;'10-CWIP'!A25&amp;", "&amp;'10-CWIP'!A26&amp;", "&amp;'10-CWIP'!A113&amp;""</f>
        <v>10-CWIP, Lines 13, 14, 80</v>
      </c>
    </row>
    <row r="10" spans="1:9">
      <c r="A10" s="2">
        <f>A9+1</f>
        <v>2</v>
      </c>
      <c r="C10" s="94" t="s">
        <v>1269</v>
      </c>
      <c r="D10" s="7">
        <f>'10-CWIP'!F25</f>
        <v>0</v>
      </c>
      <c r="E10" s="7">
        <f>'10-CWIP'!F26</f>
        <v>0</v>
      </c>
      <c r="F10" s="7">
        <f>'10-CWIP'!K146</f>
        <v>0</v>
      </c>
      <c r="G10" s="46" t="str">
        <f>"10-CWIP, Lines "&amp;'10-CWIP'!A25&amp;", "&amp;'10-CWIP'!A26&amp;", "&amp;'10-CWIP'!A146&amp;""</f>
        <v>10-CWIP, Lines 13, 14, 106</v>
      </c>
    </row>
    <row r="11" spans="1:9">
      <c r="A11" s="2">
        <f t="shared" ref="A11:A20" si="0">A10+1</f>
        <v>3</v>
      </c>
      <c r="C11" s="501" t="s">
        <v>1273</v>
      </c>
      <c r="D11" s="7">
        <f>'10-CWIP'!G25</f>
        <v>4204927.07</v>
      </c>
      <c r="E11" s="7">
        <f>'10-CWIP'!G26</f>
        <v>3394860.4015384614</v>
      </c>
      <c r="F11" s="7">
        <f>'10-CWIP'!K177</f>
        <v>1836037.099269232</v>
      </c>
      <c r="G11" s="46" t="str">
        <f>"10-CWIP, Lines "&amp;'10-CWIP'!A25&amp;", "&amp;'10-CWIP'!A26&amp;", "&amp;'10-CWIP'!A177&amp;""</f>
        <v>10-CWIP, Lines 13, 14, 132</v>
      </c>
    </row>
    <row r="12" spans="1:9">
      <c r="A12" s="2">
        <f t="shared" si="0"/>
        <v>4</v>
      </c>
      <c r="C12" s="501" t="s">
        <v>1274</v>
      </c>
      <c r="D12" s="7">
        <f>'10-CWIP'!H25</f>
        <v>69685244.670000002</v>
      </c>
      <c r="E12" s="7">
        <f>'10-CWIP'!H26</f>
        <v>56339987.615384616</v>
      </c>
      <c r="F12" s="7">
        <f>'10-CWIP'!K210</f>
        <v>155484662.49298072</v>
      </c>
      <c r="G12" s="46" t="str">
        <f>"10-CWIP, Lines "&amp;'10-CWIP'!A25&amp;", "&amp;'10-CWIP'!A26&amp;", "&amp;'10-CWIP'!A210&amp;""</f>
        <v>10-CWIP, Lines 13, 14, 158</v>
      </c>
    </row>
    <row r="13" spans="1:9">
      <c r="A13" s="2">
        <f t="shared" si="0"/>
        <v>5</v>
      </c>
      <c r="C13" s="94" t="s">
        <v>1270</v>
      </c>
      <c r="D13" s="7">
        <f>'10-CWIP'!I25</f>
        <v>0</v>
      </c>
      <c r="E13" s="7">
        <f>'10-CWIP'!I26</f>
        <v>709238.02</v>
      </c>
      <c r="F13" s="7">
        <f>'10-CWIP'!K241</f>
        <v>0</v>
      </c>
      <c r="G13" s="46" t="str">
        <f>"10-CWIP, Lines "&amp;'10-CWIP'!A25&amp;", "&amp;'10-CWIP'!A26&amp;", "&amp;'10-CWIP'!A241&amp;""</f>
        <v>10-CWIP, Lines 13, 14, 184</v>
      </c>
    </row>
    <row r="14" spans="1:9">
      <c r="A14" s="2">
        <f t="shared" si="0"/>
        <v>6</v>
      </c>
      <c r="C14" s="94" t="s">
        <v>1271</v>
      </c>
      <c r="D14" s="7">
        <f>'10-CWIP'!D45</f>
        <v>26943987.050000001</v>
      </c>
      <c r="E14" s="7">
        <f>'10-CWIP'!D46</f>
        <v>16606019.996153845</v>
      </c>
      <c r="F14" s="7">
        <f>'10-CWIP'!K274</f>
        <v>-26943987.050000008</v>
      </c>
      <c r="G14" s="46" t="str">
        <f>"10-CWIP, Lines "&amp;'10-CWIP'!A45&amp;", "&amp;'10-CWIP'!A46&amp;", "&amp;'10-CWIP'!A274&amp;""</f>
        <v>10-CWIP, Lines 27, 28, 210</v>
      </c>
    </row>
    <row r="15" spans="1:9">
      <c r="A15" s="2">
        <f t="shared" si="0"/>
        <v>7</v>
      </c>
      <c r="C15" s="94" t="s">
        <v>1272</v>
      </c>
      <c r="D15" s="7">
        <f>'10-CWIP'!E45</f>
        <v>0</v>
      </c>
      <c r="E15" s="7">
        <f>'10-CWIP'!E46</f>
        <v>0</v>
      </c>
      <c r="F15" s="7">
        <f>'10-CWIP'!K305</f>
        <v>0</v>
      </c>
      <c r="G15" s="46" t="str">
        <f>"10-CWIP, Lines "&amp;'10-CWIP'!A45&amp;", "&amp;'10-CWIP'!A46&amp;", "&amp;'10-CWIP'!A305&amp;""</f>
        <v>10-CWIP, Lines 27, 28, 236</v>
      </c>
    </row>
    <row r="16" spans="1:9">
      <c r="A16" s="2">
        <f t="shared" si="0"/>
        <v>8</v>
      </c>
      <c r="C16" s="431"/>
      <c r="D16" s="7">
        <f>'10-CWIP'!F45</f>
        <v>0</v>
      </c>
      <c r="E16" s="7">
        <f>'10-CWIP'!F46</f>
        <v>0</v>
      </c>
      <c r="F16" s="7">
        <f>'10-CWIP'!K338</f>
        <v>0</v>
      </c>
      <c r="G16" s="46" t="str">
        <f>"10-CWIP, Lines "&amp;'10-CWIP'!A45&amp;", "&amp;'10-CWIP'!A46&amp;", "&amp;'10-CWIP'!A338&amp;""</f>
        <v>10-CWIP, Lines 27, 28, 262</v>
      </c>
    </row>
    <row r="17" spans="1:7">
      <c r="A17" s="2">
        <f t="shared" si="0"/>
        <v>9</v>
      </c>
      <c r="C17" s="431"/>
      <c r="D17" s="7">
        <f>'10-CWIP'!G45</f>
        <v>0</v>
      </c>
      <c r="E17" s="7">
        <f>'10-CWIP'!G46</f>
        <v>0</v>
      </c>
      <c r="F17" s="7">
        <f>'10-CWIP'!K369</f>
        <v>0</v>
      </c>
      <c r="G17" s="46" t="str">
        <f>"10-CWIP, Lines "&amp;'10-CWIP'!A45&amp;", "&amp;'10-CWIP'!A46&amp;", "&amp;'10-CWIP'!A369&amp;""</f>
        <v>10-CWIP, Lines 27, 28, 288</v>
      </c>
    </row>
    <row r="18" spans="1:7">
      <c r="A18" s="2">
        <f t="shared" si="0"/>
        <v>10</v>
      </c>
      <c r="C18" s="431"/>
      <c r="D18" s="432">
        <f>'10-CWIP'!H45</f>
        <v>0</v>
      </c>
      <c r="E18" s="432" t="str">
        <f>'10-CWIP'!H46</f>
        <v>---</v>
      </c>
      <c r="F18" s="415">
        <f>'10-CWIP'!K402</f>
        <v>0</v>
      </c>
      <c r="G18" s="46" t="str">
        <f>"10-CWIP, Lines "&amp;'10-CWIP'!A45&amp;", "&amp;'10-CWIP'!A46&amp;", "&amp;'10-CWIP'!A402&amp;""</f>
        <v>10-CWIP, Lines 27, 28, 314</v>
      </c>
    </row>
    <row r="19" spans="1:7">
      <c r="A19" s="2">
        <f t="shared" si="0"/>
        <v>11</v>
      </c>
      <c r="C19" s="431"/>
      <c r="D19" s="432">
        <f>'10-CWIP'!I45</f>
        <v>0</v>
      </c>
      <c r="E19" s="432" t="str">
        <f>'10-CWIP'!I46</f>
        <v>---</v>
      </c>
      <c r="F19" s="58">
        <f>'10-CWIP'!K428</f>
        <v>0</v>
      </c>
      <c r="G19" s="46" t="str">
        <f>"10-CWIP, Lines "&amp;'10-CWIP'!A45&amp;", "&amp;'10-CWIP'!A46&amp;", 340"</f>
        <v>10-CWIP, Lines 27, 28, 340</v>
      </c>
    </row>
    <row r="20" spans="1:7">
      <c r="A20" s="2">
        <f t="shared" si="0"/>
        <v>12</v>
      </c>
      <c r="C20" s="94" t="s">
        <v>197</v>
      </c>
      <c r="D20" s="7">
        <f>SUM(D9:D19)</f>
        <v>115749706.3</v>
      </c>
      <c r="E20" s="7">
        <f>SUM(E9:E19)</f>
        <v>271933898.42538464</v>
      </c>
      <c r="F20" s="7">
        <f>SUM(F9:F19)</f>
        <v>115461165.03224993</v>
      </c>
      <c r="G20" s="13" t="str">
        <f>"Sum of Lines "&amp;A9&amp;" to "&amp;A19&amp;""</f>
        <v>Sum of Lines 1 to 11</v>
      </c>
    </row>
    <row r="21" spans="1:7">
      <c r="A21" s="2"/>
      <c r="C21" s="1"/>
    </row>
    <row r="22" spans="1:7" ht="15">
      <c r="A22" s="2"/>
      <c r="C22" s="1" t="s">
        <v>1267</v>
      </c>
      <c r="D22" s="245" t="s">
        <v>302</v>
      </c>
      <c r="E22" s="245" t="s">
        <v>231</v>
      </c>
      <c r="F22" s="13"/>
    </row>
    <row r="23" spans="1:7">
      <c r="D23" s="3" t="s">
        <v>175</v>
      </c>
      <c r="E23" s="3" t="s">
        <v>175</v>
      </c>
      <c r="F23" s="3" t="s">
        <v>179</v>
      </c>
    </row>
    <row r="24" spans="1:7">
      <c r="A24" s="2">
        <f>A20+1</f>
        <v>13</v>
      </c>
      <c r="C24" s="94" t="s">
        <v>1408</v>
      </c>
      <c r="D24" s="7">
        <f>D20</f>
        <v>115749706.3</v>
      </c>
      <c r="E24" s="7">
        <f>E20</f>
        <v>271933898.42538464</v>
      </c>
      <c r="F24" s="16" t="str">
        <f>"Line "&amp;A20&amp;""</f>
        <v>Line 12</v>
      </c>
    </row>
    <row r="25" spans="1:7">
      <c r="A25" s="2">
        <f>A24+1</f>
        <v>14</v>
      </c>
      <c r="C25" s="94" t="s">
        <v>1256</v>
      </c>
      <c r="D25" s="8">
        <f>'1-BaseTRR'!K91</f>
        <v>7.9920333163735147E-2</v>
      </c>
      <c r="E25" s="8">
        <f>'1-BaseTRR'!K91</f>
        <v>7.9920333163735147E-2</v>
      </c>
      <c r="F25" s="114" t="str">
        <f>"1-BaseTRR, Line "&amp;'1-BaseTRR'!A91&amp;""</f>
        <v>1-BaseTRR, Line 54</v>
      </c>
    </row>
    <row r="26" spans="1:7">
      <c r="A26" s="2">
        <f>A25+1</f>
        <v>15</v>
      </c>
      <c r="C26" s="37" t="s">
        <v>1409</v>
      </c>
      <c r="D26" s="7">
        <f>D24*D25</f>
        <v>9250755.0911004934</v>
      </c>
      <c r="E26" s="7">
        <f>E24*E25</f>
        <v>21733047.760670055</v>
      </c>
      <c r="F26" s="114" t="str">
        <f>"Line "&amp;A24&amp;" * Line "&amp;A25&amp;""</f>
        <v>Line 13 * Line 14</v>
      </c>
    </row>
    <row r="27" spans="1:7">
      <c r="F27" s="14"/>
    </row>
    <row r="28" spans="1:7">
      <c r="C28" s="1" t="s">
        <v>86</v>
      </c>
      <c r="F28" s="14"/>
    </row>
    <row r="29" spans="1:7" ht="15">
      <c r="D29" s="245" t="s">
        <v>302</v>
      </c>
      <c r="E29" s="245" t="s">
        <v>231</v>
      </c>
      <c r="F29" s="14"/>
    </row>
    <row r="30" spans="1:7">
      <c r="D30" s="3" t="s">
        <v>175</v>
      </c>
      <c r="E30" s="3" t="s">
        <v>175</v>
      </c>
      <c r="F30" s="125" t="s">
        <v>179</v>
      </c>
    </row>
    <row r="31" spans="1:7" ht="15">
      <c r="A31" s="245">
        <f>A26+1</f>
        <v>16</v>
      </c>
      <c r="C31" s="94" t="s">
        <v>1408</v>
      </c>
      <c r="D31" s="7">
        <f>D20</f>
        <v>115749706.3</v>
      </c>
      <c r="E31" s="7">
        <f>E20</f>
        <v>271933898.42538464</v>
      </c>
      <c r="F31" s="114" t="str">
        <f>"Line "&amp;A20&amp;""</f>
        <v>Line 12</v>
      </c>
    </row>
    <row r="32" spans="1:7">
      <c r="A32" s="2">
        <f t="shared" ref="A32:A38" si="1">A31+1</f>
        <v>17</v>
      </c>
      <c r="C32" s="368" t="s">
        <v>1410</v>
      </c>
      <c r="D32" s="8">
        <f>'1-BaseTRR'!K93</f>
        <v>5.9926450947462254E-2</v>
      </c>
      <c r="E32" s="8">
        <f>'1-BaseTRR'!K93</f>
        <v>5.9926450947462254E-2</v>
      </c>
      <c r="F32" s="114" t="str">
        <f>"1-BaseTRR, Line "&amp;'1-BaseTRR'!A93&amp;""</f>
        <v>1-BaseTRR, Line 55</v>
      </c>
    </row>
    <row r="33" spans="1:7">
      <c r="A33" s="2">
        <f t="shared" si="1"/>
        <v>18</v>
      </c>
      <c r="C33" s="368" t="s">
        <v>1053</v>
      </c>
      <c r="D33" s="8">
        <f>'1-BaseTRR'!K102</f>
        <v>0.40745999999999999</v>
      </c>
      <c r="E33" s="8">
        <f>'1-BaseTRR'!K102</f>
        <v>0.40745999999999999</v>
      </c>
      <c r="F33" s="114" t="str">
        <f>"1-BaseTRR, Line "&amp;'1-BaseTRR'!A102&amp;""</f>
        <v>1-BaseTRR, Line 59</v>
      </c>
    </row>
    <row r="34" spans="1:7">
      <c r="A34" s="2">
        <f t="shared" si="1"/>
        <v>19</v>
      </c>
      <c r="C34" s="368" t="s">
        <v>264</v>
      </c>
      <c r="D34" s="63">
        <f>((D24*D32)*(D33/(1-D33)))</f>
        <v>4769861.4408646664</v>
      </c>
      <c r="E34" s="63">
        <f>((E24*E32)*(E33/(1-E33)))</f>
        <v>11205963.781899039</v>
      </c>
      <c r="F34" s="502"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3"/>
      <c r="F36" s="15"/>
      <c r="G36" s="14"/>
    </row>
    <row r="37" spans="1:7">
      <c r="A37" s="2">
        <f t="shared" si="1"/>
        <v>22</v>
      </c>
      <c r="C37" s="502" t="s">
        <v>1794</v>
      </c>
      <c r="D37" s="14"/>
      <c r="E37" s="63"/>
      <c r="F37" s="15"/>
      <c r="G37" s="14"/>
    </row>
    <row r="38" spans="1:7">
      <c r="A38" s="2">
        <f t="shared" si="1"/>
        <v>23</v>
      </c>
      <c r="D38" s="13"/>
      <c r="E38" s="7"/>
      <c r="F38" s="12"/>
      <c r="G38" s="13"/>
    </row>
    <row r="39" spans="1:7">
      <c r="C39" s="1" t="s">
        <v>1264</v>
      </c>
    </row>
    <row r="40" spans="1:7">
      <c r="D40" s="3" t="s">
        <v>171</v>
      </c>
      <c r="E40" s="3" t="s">
        <v>179</v>
      </c>
    </row>
    <row r="41" spans="1:7">
      <c r="A41" s="2">
        <f>A38+1</f>
        <v>24</v>
      </c>
      <c r="C41" s="368" t="s">
        <v>498</v>
      </c>
      <c r="D41" s="63">
        <f>'15-IncentiveAdder'!G17</f>
        <v>8538.3455370053107</v>
      </c>
      <c r="E41" s="114" t="str">
        <f>"15-IncentiveAdder, Line "&amp;'15-IncentiveAdder'!A17&amp;""</f>
        <v>15-IncentiveAdder, Line 3</v>
      </c>
      <c r="F41" s="14"/>
      <c r="G41" s="14"/>
    </row>
    <row r="42" spans="1:7">
      <c r="C42" s="14"/>
      <c r="D42" s="14"/>
      <c r="E42" s="14"/>
      <c r="F42" s="14"/>
      <c r="G42" s="14"/>
    </row>
    <row r="43" spans="1:7">
      <c r="C43" s="1040" t="s">
        <v>341</v>
      </c>
      <c r="D43" s="14"/>
      <c r="E43" s="14"/>
      <c r="F43" s="14"/>
      <c r="G43" s="14"/>
    </row>
    <row r="44" spans="1:7" ht="15">
      <c r="C44" s="14"/>
      <c r="D44" s="1041" t="s">
        <v>302</v>
      </c>
      <c r="E44" s="1041" t="s">
        <v>231</v>
      </c>
      <c r="F44" s="14"/>
      <c r="G44" s="14"/>
    </row>
    <row r="45" spans="1:7">
      <c r="C45" s="14"/>
      <c r="D45" s="125" t="s">
        <v>175</v>
      </c>
      <c r="E45" s="125" t="s">
        <v>175</v>
      </c>
      <c r="F45" s="14"/>
      <c r="G45" s="14"/>
    </row>
    <row r="46" spans="1:7">
      <c r="A46" s="2">
        <f>A41+1</f>
        <v>25</v>
      </c>
      <c r="C46" s="368" t="s">
        <v>1411</v>
      </c>
      <c r="D46" s="63">
        <f>D9</f>
        <v>14915547.51</v>
      </c>
      <c r="E46" s="63">
        <f>E9</f>
        <v>194883792.39230773</v>
      </c>
      <c r="F46" s="114" t="str">
        <f>"Line "&amp;A9&amp;""</f>
        <v>Line 1</v>
      </c>
      <c r="G46" s="14"/>
    </row>
    <row r="47" spans="1:7">
      <c r="A47" s="2">
        <f>A46+1</f>
        <v>26</v>
      </c>
      <c r="C47" s="368" t="s">
        <v>1258</v>
      </c>
      <c r="D47" s="78">
        <f>'15-IncentiveAdder'!E26</f>
        <v>1.2500000000000001E-2</v>
      </c>
      <c r="E47" s="78">
        <f>'15-IncentiveAdder'!E26</f>
        <v>1.2500000000000001E-2</v>
      </c>
      <c r="F47" s="114" t="str">
        <f>"15-IncentiveAdder, Line "&amp;'15-IncentiveAdder'!A26&amp;""</f>
        <v>15-IncentiveAdder, Line 5</v>
      </c>
      <c r="G47" s="14"/>
    </row>
    <row r="48" spans="1:7">
      <c r="A48" s="2">
        <f>A47+1</f>
        <v>27</v>
      </c>
      <c r="C48" s="368" t="s">
        <v>1412</v>
      </c>
      <c r="D48" s="63">
        <f>(D46/1000000)*($D$41*(D47/0.01))</f>
        <v>159192.62314249898</v>
      </c>
      <c r="E48" s="63">
        <f>(E46/1000000)*($D$41*(E47/0.01))</f>
        <v>2079981.4487594129</v>
      </c>
      <c r="F48" s="502" t="str">
        <f>"Formula on Line "&amp;A57&amp;""</f>
        <v>Formula on Line 32</v>
      </c>
      <c r="G48" s="14"/>
    </row>
    <row r="49" spans="1:7">
      <c r="C49" s="382"/>
      <c r="D49" s="14"/>
      <c r="E49" s="14"/>
      <c r="F49" s="14"/>
      <c r="G49" s="14"/>
    </row>
    <row r="50" spans="1:7">
      <c r="C50" s="1040" t="s">
        <v>1265</v>
      </c>
      <c r="D50" s="14"/>
      <c r="E50" s="125"/>
      <c r="F50" s="125"/>
      <c r="G50" s="14"/>
    </row>
    <row r="51" spans="1:7" ht="15">
      <c r="C51" s="14"/>
      <c r="D51" s="1041" t="s">
        <v>302</v>
      </c>
      <c r="E51" s="1041" t="s">
        <v>231</v>
      </c>
      <c r="F51" s="14"/>
      <c r="G51" s="14"/>
    </row>
    <row r="52" spans="1:7">
      <c r="C52" s="14"/>
      <c r="D52" s="125" t="s">
        <v>175</v>
      </c>
      <c r="E52" s="125" t="s">
        <v>175</v>
      </c>
      <c r="F52" s="14"/>
      <c r="G52" s="14"/>
    </row>
    <row r="53" spans="1:7">
      <c r="A53" s="2">
        <f>A48+1</f>
        <v>28</v>
      </c>
      <c r="C53" s="969" t="s">
        <v>1433</v>
      </c>
      <c r="D53" s="63">
        <f>D10</f>
        <v>0</v>
      </c>
      <c r="E53" s="63">
        <f>E10</f>
        <v>0</v>
      </c>
      <c r="F53" s="114" t="str">
        <f>"Line "&amp;A10&amp;""</f>
        <v>Line 2</v>
      </c>
      <c r="G53" s="14"/>
    </row>
    <row r="54" spans="1:7">
      <c r="A54" s="2">
        <f>A53+1</f>
        <v>29</v>
      </c>
      <c r="C54" s="368" t="s">
        <v>1258</v>
      </c>
      <c r="D54" s="78">
        <f>'15-IncentiveAdder'!E27</f>
        <v>0.01</v>
      </c>
      <c r="E54" s="78">
        <f>'15-IncentiveAdder'!E27</f>
        <v>0.01</v>
      </c>
      <c r="F54" s="114" t="str">
        <f>"15-IncentiveAdder, Line "&amp;'15-IncentiveAdder'!A27&amp;""</f>
        <v>15-IncentiveAdder, Line 6</v>
      </c>
      <c r="G54" s="14"/>
    </row>
    <row r="55" spans="1:7">
      <c r="A55" s="2">
        <f>A54+1</f>
        <v>30</v>
      </c>
      <c r="C55" s="368" t="s">
        <v>1412</v>
      </c>
      <c r="D55" s="63">
        <f>(D53/1000000)*($D$41*(D54/0.01))</f>
        <v>0</v>
      </c>
      <c r="E55" s="63">
        <f>(E53/1000000)*($D$41*(E54/0.01))</f>
        <v>0</v>
      </c>
      <c r="F55" s="502" t="str">
        <f>"Formula on Line "&amp;A57&amp;""</f>
        <v>Formula on Line 32</v>
      </c>
      <c r="G55" s="14"/>
    </row>
    <row r="56" spans="1:7">
      <c r="A56" s="2">
        <f>A55+1</f>
        <v>31</v>
      </c>
      <c r="C56" s="14"/>
      <c r="D56" s="110"/>
      <c r="E56" s="63"/>
      <c r="F56" s="46"/>
      <c r="G56" s="14"/>
    </row>
    <row r="57" spans="1:7">
      <c r="A57" s="2">
        <f>A56+1</f>
        <v>32</v>
      </c>
      <c r="C57" s="968" t="s">
        <v>1872</v>
      </c>
      <c r="D57" s="63"/>
      <c r="E57" s="46"/>
      <c r="F57" s="14"/>
      <c r="G57" s="14"/>
    </row>
    <row r="59" spans="1:7">
      <c r="C59" s="1" t="s">
        <v>1519</v>
      </c>
    </row>
    <row r="60" spans="1:7">
      <c r="C60" s="1"/>
    </row>
    <row r="61" spans="1:7" ht="15">
      <c r="C61" s="1"/>
      <c r="E61" s="245" t="s">
        <v>281</v>
      </c>
    </row>
    <row r="62" spans="1:7" ht="15">
      <c r="C62" s="1"/>
      <c r="D62" s="245" t="s">
        <v>1414</v>
      </c>
      <c r="E62" s="245" t="s">
        <v>967</v>
      </c>
    </row>
    <row r="63" spans="1:7">
      <c r="D63" s="3" t="s">
        <v>175</v>
      </c>
      <c r="E63" s="3" t="s">
        <v>175</v>
      </c>
      <c r="F63" s="3" t="s">
        <v>179</v>
      </c>
    </row>
    <row r="64" spans="1:7">
      <c r="A64" s="2">
        <f>A57+1</f>
        <v>33</v>
      </c>
      <c r="C64" s="94" t="s">
        <v>1257</v>
      </c>
      <c r="D64" s="7">
        <f>D26</f>
        <v>9250755.0911004934</v>
      </c>
      <c r="E64" s="7">
        <f>E26</f>
        <v>21733047.760670055</v>
      </c>
      <c r="F64" s="16" t="str">
        <f>"Line "&amp;A26&amp;""</f>
        <v>Line 15</v>
      </c>
    </row>
    <row r="65" spans="1:9">
      <c r="A65" s="2">
        <f>A64+1</f>
        <v>34</v>
      </c>
      <c r="C65" s="94" t="s">
        <v>264</v>
      </c>
      <c r="D65" s="7">
        <f>D34</f>
        <v>4769861.4408646664</v>
      </c>
      <c r="E65" s="7">
        <f>E34</f>
        <v>11205963.781899039</v>
      </c>
      <c r="F65" s="16" t="str">
        <f>"Line "&amp;A34&amp;""</f>
        <v>Line 19</v>
      </c>
    </row>
    <row r="66" spans="1:9">
      <c r="A66" s="2">
        <f>A65+1</f>
        <v>35</v>
      </c>
      <c r="C66" s="94" t="s">
        <v>1259</v>
      </c>
      <c r="D66" s="7">
        <f>D48</f>
        <v>159192.62314249898</v>
      </c>
      <c r="E66" s="7">
        <f>E48</f>
        <v>2079981.4487594129</v>
      </c>
      <c r="F66" s="16" t="str">
        <f>"Line "&amp;A48&amp;""</f>
        <v>Line 27</v>
      </c>
    </row>
    <row r="67" spans="1:9">
      <c r="A67" s="2">
        <f>A66+1</f>
        <v>36</v>
      </c>
      <c r="C67" s="94" t="s">
        <v>1260</v>
      </c>
      <c r="D67" s="101">
        <f>D55</f>
        <v>0</v>
      </c>
      <c r="E67" s="236">
        <f>E55</f>
        <v>0</v>
      </c>
      <c r="F67" s="16" t="str">
        <f>"Line "&amp;A55&amp;""</f>
        <v>Line 30</v>
      </c>
    </row>
    <row r="68" spans="1:9">
      <c r="A68" s="496">
        <f t="shared" ref="A68:A69" si="2">A67+1</f>
        <v>37</v>
      </c>
      <c r="C68" s="94" t="s">
        <v>1460</v>
      </c>
      <c r="D68" s="91">
        <f>SUM(D64:D67)*('28-FFU'!D22+'28-FFU'!E22)</f>
        <v>164674.37766101176</v>
      </c>
      <c r="E68" s="91">
        <f>SUM(E64:E67)*('28-FFU'!D22)</f>
        <v>322374.34378027287</v>
      </c>
      <c r="F68" s="13" t="s">
        <v>364</v>
      </c>
    </row>
    <row r="69" spans="1:9">
      <c r="A69" s="496">
        <f t="shared" si="2"/>
        <v>38</v>
      </c>
      <c r="C69" s="94" t="s">
        <v>4</v>
      </c>
      <c r="D69" s="7">
        <f>SUM(D64:D68)</f>
        <v>14344483.53276867</v>
      </c>
      <c r="E69" s="7">
        <f>SUM(E64:E68)</f>
        <v>35341367.335108779</v>
      </c>
      <c r="F69" s="13" t="str">
        <f>"Sum Lines "&amp;A64&amp;" to "&amp;A68&amp;""</f>
        <v>Sum Lines 33 to 37</v>
      </c>
    </row>
    <row r="70" spans="1:9">
      <c r="A70" s="2"/>
      <c r="D70" s="94"/>
      <c r="E70" s="7"/>
      <c r="F70" s="13"/>
    </row>
    <row r="71" spans="1:9" ht="12.75" customHeight="1">
      <c r="A71" s="2"/>
      <c r="C71" s="375" t="s">
        <v>1520</v>
      </c>
      <c r="D71" s="94"/>
      <c r="E71" s="7"/>
      <c r="F71" s="13"/>
    </row>
    <row r="72" spans="1:9">
      <c r="A72" s="2"/>
      <c r="D72" s="94"/>
      <c r="E72" s="7"/>
      <c r="F72" s="13"/>
    </row>
    <row r="73" spans="1:9" ht="12.75" customHeight="1">
      <c r="A73" s="2"/>
      <c r="C73" s="375" t="s">
        <v>1415</v>
      </c>
      <c r="D73" s="94"/>
      <c r="E73" s="7"/>
      <c r="F73" s="13"/>
    </row>
    <row r="74" spans="1:9" ht="15">
      <c r="A74" s="2"/>
      <c r="C74" s="375"/>
      <c r="D74" s="84" t="s">
        <v>363</v>
      </c>
      <c r="E74" s="84" t="s">
        <v>347</v>
      </c>
      <c r="F74" s="84" t="s">
        <v>348</v>
      </c>
      <c r="G74" s="84" t="s">
        <v>349</v>
      </c>
      <c r="H74" s="84" t="s">
        <v>350</v>
      </c>
    </row>
    <row r="75" spans="1:9" ht="15">
      <c r="A75" s="2"/>
      <c r="C75" s="375"/>
      <c r="D75" s="2" t="s">
        <v>1416</v>
      </c>
      <c r="E75" s="490" t="s">
        <v>1417</v>
      </c>
      <c r="F75" s="2"/>
      <c r="H75" s="96" t="s">
        <v>1466</v>
      </c>
    </row>
    <row r="76" spans="1:9" ht="15">
      <c r="A76" s="2"/>
      <c r="C76" s="3" t="s">
        <v>226</v>
      </c>
      <c r="D76" s="3" t="s">
        <v>1418</v>
      </c>
      <c r="E76" s="422" t="s">
        <v>1419</v>
      </c>
      <c r="F76" s="3" t="s">
        <v>9</v>
      </c>
      <c r="G76" s="3" t="s">
        <v>1423</v>
      </c>
      <c r="H76" s="3" t="s">
        <v>196</v>
      </c>
      <c r="I76" s="3" t="s">
        <v>179</v>
      </c>
    </row>
    <row r="77" spans="1:9">
      <c r="A77" s="2">
        <f>A69+1</f>
        <v>39</v>
      </c>
      <c r="C77" s="94" t="s">
        <v>1268</v>
      </c>
      <c r="D77" s="491">
        <f t="shared" ref="D77:D85" si="3">$D$26*(D9/$D$20)</f>
        <v>1192055.5263187201</v>
      </c>
      <c r="E77" s="491">
        <f t="shared" ref="E77:E85" si="4">$D$34*(D9/$D$20)</f>
        <v>614646.0082839448</v>
      </c>
      <c r="F77" s="491">
        <f>D48</f>
        <v>159192.62314249898</v>
      </c>
      <c r="G77" s="7">
        <f>(D77+E77+F77)*('28-FFU'!$D$22+'28-FFU'!$E$22)</f>
        <v>22830.518622141914</v>
      </c>
      <c r="H77" s="143">
        <f>SUM(D77:G77)</f>
        <v>1988724.6763673057</v>
      </c>
      <c r="I77" s="13" t="s">
        <v>365</v>
      </c>
    </row>
    <row r="78" spans="1:9">
      <c r="A78" s="2">
        <f t="shared" ref="A78:A88" si="5">A77+1</f>
        <v>40</v>
      </c>
      <c r="C78" s="94" t="s">
        <v>1269</v>
      </c>
      <c r="D78" s="491">
        <f t="shared" si="3"/>
        <v>0</v>
      </c>
      <c r="E78" s="491">
        <f t="shared" si="4"/>
        <v>0</v>
      </c>
      <c r="F78" s="491">
        <f>D55</f>
        <v>0</v>
      </c>
      <c r="G78" s="7">
        <f>(D78+E78+F78)*('28-FFU'!$D$22+'28-FFU'!$E$22)</f>
        <v>0</v>
      </c>
      <c r="H78" s="143">
        <f t="shared" ref="H78:H85" si="6">SUM(D78:G78)</f>
        <v>0</v>
      </c>
      <c r="I78" s="13" t="s">
        <v>365</v>
      </c>
    </row>
    <row r="79" spans="1:9">
      <c r="A79" s="2">
        <f t="shared" si="5"/>
        <v>41</v>
      </c>
      <c r="C79" s="501" t="s">
        <v>1273</v>
      </c>
      <c r="D79" s="491">
        <f t="shared" si="3"/>
        <v>336059.17236360873</v>
      </c>
      <c r="E79" s="491">
        <f t="shared" si="4"/>
        <v>173278.36185482435</v>
      </c>
      <c r="F79" s="491">
        <v>0</v>
      </c>
      <c r="G79" s="7">
        <f>(D79+E79+F79)*('28-FFU'!$D$22+'28-FFU'!$E$22)</f>
        <v>5915.089586138929</v>
      </c>
      <c r="H79" s="143">
        <f t="shared" si="6"/>
        <v>515252.62380457204</v>
      </c>
      <c r="I79" s="13" t="s">
        <v>365</v>
      </c>
    </row>
    <row r="80" spans="1:9">
      <c r="A80" s="2">
        <f t="shared" si="5"/>
        <v>42</v>
      </c>
      <c r="C80" s="501" t="s">
        <v>1274</v>
      </c>
      <c r="D80" s="491">
        <f t="shared" si="3"/>
        <v>5569267.9706227994</v>
      </c>
      <c r="E80" s="491">
        <f t="shared" si="4"/>
        <v>2871618.1852519573</v>
      </c>
      <c r="F80" s="491">
        <v>0</v>
      </c>
      <c r="G80" s="7">
        <f>(D80+E80+F80)*('28-FFU'!$D$22+'28-FFU'!$E$22)</f>
        <v>98026.543194020313</v>
      </c>
      <c r="H80" s="143">
        <f t="shared" si="6"/>
        <v>8538912.6990687773</v>
      </c>
      <c r="I80" s="13" t="s">
        <v>365</v>
      </c>
    </row>
    <row r="81" spans="1:9">
      <c r="A81" s="2">
        <f t="shared" si="5"/>
        <v>43</v>
      </c>
      <c r="C81" s="94" t="s">
        <v>1270</v>
      </c>
      <c r="D81" s="491">
        <f t="shared" si="3"/>
        <v>0</v>
      </c>
      <c r="E81" s="491">
        <f t="shared" si="4"/>
        <v>0</v>
      </c>
      <c r="F81" s="491">
        <v>0</v>
      </c>
      <c r="G81" s="7">
        <f>(D81+E81+F81)*('28-FFU'!$D$22+'28-FFU'!$E$22)</f>
        <v>0</v>
      </c>
      <c r="H81" s="143">
        <f t="shared" si="6"/>
        <v>0</v>
      </c>
      <c r="I81" s="13" t="s">
        <v>365</v>
      </c>
    </row>
    <row r="82" spans="1:9">
      <c r="A82" s="2">
        <f t="shared" si="5"/>
        <v>44</v>
      </c>
      <c r="C82" s="94" t="s">
        <v>1271</v>
      </c>
      <c r="D82" s="491">
        <f t="shared" si="3"/>
        <v>2153372.4217953654</v>
      </c>
      <c r="E82" s="491">
        <f t="shared" si="4"/>
        <v>1110318.8854739403</v>
      </c>
      <c r="F82" s="491">
        <v>0</v>
      </c>
      <c r="G82" s="7">
        <f>(D82+E82+F82)*('28-FFU'!$D$22+'28-FFU'!$E$22)</f>
        <v>37902.226258710631</v>
      </c>
      <c r="H82" s="143">
        <f t="shared" si="6"/>
        <v>3301593.5335280164</v>
      </c>
      <c r="I82" s="13" t="s">
        <v>365</v>
      </c>
    </row>
    <row r="83" spans="1:9">
      <c r="A83" s="2">
        <f t="shared" si="5"/>
        <v>45</v>
      </c>
      <c r="C83" s="94" t="s">
        <v>1272</v>
      </c>
      <c r="D83" s="491">
        <f t="shared" si="3"/>
        <v>0</v>
      </c>
      <c r="E83" s="491">
        <f t="shared" si="4"/>
        <v>0</v>
      </c>
      <c r="F83" s="491">
        <v>0</v>
      </c>
      <c r="G83" s="7">
        <f>(D83+E83+F83)*('28-FFU'!$D$22+'28-FFU'!$E$22)</f>
        <v>0</v>
      </c>
      <c r="H83" s="143">
        <f t="shared" si="6"/>
        <v>0</v>
      </c>
      <c r="I83" s="13" t="s">
        <v>365</v>
      </c>
    </row>
    <row r="84" spans="1:9">
      <c r="A84" s="2">
        <f t="shared" si="5"/>
        <v>46</v>
      </c>
      <c r="C84" s="431"/>
      <c r="D84" s="491">
        <f t="shared" si="3"/>
        <v>0</v>
      </c>
      <c r="E84" s="491">
        <f t="shared" si="4"/>
        <v>0</v>
      </c>
      <c r="F84" s="491">
        <v>0</v>
      </c>
      <c r="G84" s="7">
        <f>(D84+E84+F84)*('28-FFU'!$D$22+'28-FFU'!$E$22)</f>
        <v>0</v>
      </c>
      <c r="H84" s="143">
        <f t="shared" si="6"/>
        <v>0</v>
      </c>
      <c r="I84" s="13" t="s">
        <v>365</v>
      </c>
    </row>
    <row r="85" spans="1:9">
      <c r="A85" s="2">
        <f t="shared" si="5"/>
        <v>47</v>
      </c>
      <c r="C85" s="431"/>
      <c r="D85" s="491">
        <f t="shared" si="3"/>
        <v>0</v>
      </c>
      <c r="E85" s="491">
        <f t="shared" si="4"/>
        <v>0</v>
      </c>
      <c r="F85" s="491">
        <v>0</v>
      </c>
      <c r="G85" s="7">
        <f>(D85+E85+F85)*('28-FFU'!$D$22+'28-FFU'!$E$22)</f>
        <v>0</v>
      </c>
      <c r="H85" s="143">
        <f t="shared" si="6"/>
        <v>0</v>
      </c>
      <c r="I85" s="13" t="s">
        <v>365</v>
      </c>
    </row>
    <row r="86" spans="1:9">
      <c r="A86" s="2">
        <f t="shared" si="5"/>
        <v>48</v>
      </c>
      <c r="C86" s="431"/>
      <c r="D86" s="194" t="s">
        <v>76</v>
      </c>
      <c r="E86" s="194" t="s">
        <v>76</v>
      </c>
      <c r="F86" s="194" t="s">
        <v>76</v>
      </c>
      <c r="G86" s="194" t="s">
        <v>76</v>
      </c>
      <c r="H86" s="194" t="s">
        <v>76</v>
      </c>
      <c r="I86" s="13" t="s">
        <v>365</v>
      </c>
    </row>
    <row r="87" spans="1:9">
      <c r="A87" s="2">
        <f t="shared" si="5"/>
        <v>49</v>
      </c>
      <c r="C87" s="431"/>
      <c r="D87" s="194" t="s">
        <v>76</v>
      </c>
      <c r="E87" s="194" t="s">
        <v>76</v>
      </c>
      <c r="F87" s="194" t="s">
        <v>76</v>
      </c>
      <c r="G87" s="194" t="s">
        <v>76</v>
      </c>
      <c r="H87" s="194" t="s">
        <v>76</v>
      </c>
      <c r="I87" s="13" t="s">
        <v>365</v>
      </c>
    </row>
    <row r="88" spans="1:9">
      <c r="A88" s="2">
        <f t="shared" si="5"/>
        <v>50</v>
      </c>
      <c r="C88" s="94" t="s">
        <v>197</v>
      </c>
      <c r="D88" s="59">
        <f>SUM(D77:D87)</f>
        <v>9250755.0911004934</v>
      </c>
      <c r="E88" s="59">
        <f>SUM(E77:E87)</f>
        <v>4769861.4408646664</v>
      </c>
      <c r="F88" s="59">
        <f>SUM(F77:F87)</f>
        <v>159192.62314249898</v>
      </c>
      <c r="G88" s="59">
        <f>SUM(G77:G87)</f>
        <v>164674.37766101179</v>
      </c>
      <c r="H88" s="59">
        <f>SUM(H77:H87)</f>
        <v>14344483.532768672</v>
      </c>
      <c r="I88" s="13" t="str">
        <f>"Sum L "&amp;A77&amp;" to L "&amp;A87&amp;""</f>
        <v>Sum L 39 to L 49</v>
      </c>
    </row>
    <row r="89" spans="1:9">
      <c r="A89" s="2"/>
      <c r="C89" s="94"/>
      <c r="D89" s="94"/>
      <c r="E89" s="7"/>
      <c r="F89" s="13"/>
    </row>
    <row r="90" spans="1:9" ht="15">
      <c r="A90" s="2"/>
      <c r="C90" s="375" t="s">
        <v>1521</v>
      </c>
      <c r="D90" s="94"/>
      <c r="E90" s="7"/>
      <c r="F90" s="13"/>
    </row>
    <row r="91" spans="1:9" ht="15">
      <c r="A91" s="2"/>
      <c r="C91" s="375"/>
      <c r="D91" s="84" t="s">
        <v>363</v>
      </c>
      <c r="E91" s="84" t="s">
        <v>347</v>
      </c>
      <c r="F91" s="84" t="s">
        <v>348</v>
      </c>
      <c r="G91" s="84" t="s">
        <v>349</v>
      </c>
      <c r="H91" s="84" t="s">
        <v>350</v>
      </c>
    </row>
    <row r="92" spans="1:9" ht="15">
      <c r="A92" s="2"/>
      <c r="C92" s="375"/>
      <c r="D92" s="2" t="s">
        <v>1416</v>
      </c>
      <c r="E92" s="490" t="s">
        <v>1417</v>
      </c>
      <c r="F92" s="2"/>
      <c r="H92" s="96" t="s">
        <v>1466</v>
      </c>
    </row>
    <row r="93" spans="1:9" ht="15">
      <c r="A93" s="2"/>
      <c r="C93" s="3" t="s">
        <v>226</v>
      </c>
      <c r="D93" s="3" t="s">
        <v>1418</v>
      </c>
      <c r="E93" s="422" t="s">
        <v>1419</v>
      </c>
      <c r="F93" s="3" t="s">
        <v>9</v>
      </c>
      <c r="G93" s="3" t="s">
        <v>1423</v>
      </c>
      <c r="H93" s="3" t="s">
        <v>196</v>
      </c>
      <c r="I93" s="3" t="s">
        <v>179</v>
      </c>
    </row>
    <row r="94" spans="1:9">
      <c r="A94" s="2">
        <f>A88+1</f>
        <v>51</v>
      </c>
      <c r="C94" s="94" t="s">
        <v>1268</v>
      </c>
      <c r="D94" s="59">
        <f t="shared" ref="D94:D102" si="7">$E$26*(E9/$E$20)</f>
        <v>15575177.616205428</v>
      </c>
      <c r="E94" s="59">
        <f t="shared" ref="E94:E102" si="8">$E$34*(E9/$E$20)</f>
        <v>8030851.3645148091</v>
      </c>
      <c r="F94" s="492">
        <f>E48</f>
        <v>2079981.4487594129</v>
      </c>
      <c r="G94" s="7">
        <f>(D94+E94+F94)*('28-FFU'!$D$22+'28-FFU'!$E$22)</f>
        <v>298299.34492067603</v>
      </c>
      <c r="H94" s="415">
        <f>SUM(D94:G94)</f>
        <v>25984309.774400327</v>
      </c>
      <c r="I94" s="13" t="s">
        <v>1174</v>
      </c>
    </row>
    <row r="95" spans="1:9">
      <c r="A95" s="2">
        <f t="shared" ref="A95:A105" si="9">A94+1</f>
        <v>52</v>
      </c>
      <c r="C95" s="94" t="s">
        <v>1269</v>
      </c>
      <c r="D95" s="59">
        <f t="shared" si="7"/>
        <v>0</v>
      </c>
      <c r="E95" s="59">
        <f t="shared" si="8"/>
        <v>0</v>
      </c>
      <c r="F95" s="492">
        <f>E55</f>
        <v>0</v>
      </c>
      <c r="G95" s="7">
        <f>(D95+E95+F95)*('28-FFU'!$D$22+'28-FFU'!$E$22)</f>
        <v>0</v>
      </c>
      <c r="H95" s="415">
        <f t="shared" ref="H95:H102" si="10">SUM(D95:G95)</f>
        <v>0</v>
      </c>
      <c r="I95" s="13" t="s">
        <v>1174</v>
      </c>
    </row>
    <row r="96" spans="1:9">
      <c r="A96" s="2">
        <f t="shared" si="9"/>
        <v>53</v>
      </c>
      <c r="C96" s="501" t="s">
        <v>1273</v>
      </c>
      <c r="D96" s="59">
        <f t="shared" si="7"/>
        <v>271318.37433532556</v>
      </c>
      <c r="E96" s="59">
        <f t="shared" si="8"/>
        <v>139896.80184973951</v>
      </c>
      <c r="F96" s="492">
        <v>0</v>
      </c>
      <c r="G96" s="7">
        <f>(D96+E96+F96)*('28-FFU'!$D$22+'28-FFU'!$E$22)</f>
        <v>4775.5652055900164</v>
      </c>
      <c r="H96" s="415">
        <f t="shared" si="10"/>
        <v>415990.74139065511</v>
      </c>
      <c r="I96" s="13" t="s">
        <v>1174</v>
      </c>
    </row>
    <row r="97" spans="1:9">
      <c r="A97" s="2">
        <f t="shared" si="9"/>
        <v>54</v>
      </c>
      <c r="C97" s="501" t="s">
        <v>1274</v>
      </c>
      <c r="D97" s="59">
        <f t="shared" si="7"/>
        <v>4502710.5806622515</v>
      </c>
      <c r="E97" s="59">
        <f t="shared" si="8"/>
        <v>2321681.3510430129</v>
      </c>
      <c r="F97" s="492">
        <v>0</v>
      </c>
      <c r="G97" s="7">
        <f>(D97+E97+F97)*('28-FFU'!$D$22+'28-FFU'!$E$22)</f>
        <v>79253.710820472741</v>
      </c>
      <c r="H97" s="415">
        <f t="shared" si="10"/>
        <v>6903645.6425257372</v>
      </c>
      <c r="I97" s="13" t="s">
        <v>1174</v>
      </c>
    </row>
    <row r="98" spans="1:9">
      <c r="A98" s="2">
        <f t="shared" si="9"/>
        <v>55</v>
      </c>
      <c r="C98" s="94" t="s">
        <v>1270</v>
      </c>
      <c r="D98" s="59">
        <f t="shared" si="7"/>
        <v>56682.538850787852</v>
      </c>
      <c r="E98" s="59">
        <f t="shared" si="8"/>
        <v>29226.571644382675</v>
      </c>
      <c r="F98" s="492">
        <v>0</v>
      </c>
      <c r="G98" s="7">
        <f>(D98+E98+F98)*('28-FFU'!$D$22+'28-FFU'!$E$22)</f>
        <v>997.68827291356376</v>
      </c>
      <c r="H98" s="415">
        <f t="shared" si="10"/>
        <v>86906.798768084089</v>
      </c>
      <c r="I98" s="13" t="s">
        <v>1174</v>
      </c>
    </row>
    <row r="99" spans="1:9">
      <c r="A99" s="2">
        <f t="shared" si="9"/>
        <v>56</v>
      </c>
      <c r="C99" s="94" t="s">
        <v>1271</v>
      </c>
      <c r="D99" s="59">
        <f t="shared" si="7"/>
        <v>1327158.6506162633</v>
      </c>
      <c r="E99" s="59">
        <f t="shared" si="8"/>
        <v>684307.69284709485</v>
      </c>
      <c r="F99" s="492">
        <v>0</v>
      </c>
      <c r="G99" s="7">
        <f>(D99+E99+F99)*('28-FFU'!$D$22+'28-FFU'!$E$22)</f>
        <v>23359.762086543014</v>
      </c>
      <c r="H99" s="415">
        <f t="shared" si="10"/>
        <v>2034826.105549901</v>
      </c>
      <c r="I99" s="13" t="s">
        <v>1174</v>
      </c>
    </row>
    <row r="100" spans="1:9">
      <c r="A100" s="2">
        <f t="shared" si="9"/>
        <v>57</v>
      </c>
      <c r="C100" s="94" t="s">
        <v>1272</v>
      </c>
      <c r="D100" s="59">
        <f t="shared" si="7"/>
        <v>0</v>
      </c>
      <c r="E100" s="59">
        <f t="shared" si="8"/>
        <v>0</v>
      </c>
      <c r="F100" s="492">
        <v>0</v>
      </c>
      <c r="G100" s="7">
        <f>(D100+E100+F100)*('28-FFU'!$D$22+'28-FFU'!$E$22)</f>
        <v>0</v>
      </c>
      <c r="H100" s="415">
        <f t="shared" si="10"/>
        <v>0</v>
      </c>
      <c r="I100" s="13" t="s">
        <v>1174</v>
      </c>
    </row>
    <row r="101" spans="1:9">
      <c r="A101" s="2">
        <f t="shared" si="9"/>
        <v>58</v>
      </c>
      <c r="C101" s="431"/>
      <c r="D101" s="59">
        <f t="shared" si="7"/>
        <v>0</v>
      </c>
      <c r="E101" s="59">
        <f t="shared" si="8"/>
        <v>0</v>
      </c>
      <c r="F101" s="492">
        <v>0</v>
      </c>
      <c r="G101" s="7">
        <f>(D101+E101+F101)*('28-FFU'!$D$22+'28-FFU'!$E$22)</f>
        <v>0</v>
      </c>
      <c r="H101" s="415">
        <f t="shared" si="10"/>
        <v>0</v>
      </c>
      <c r="I101" s="13" t="s">
        <v>1174</v>
      </c>
    </row>
    <row r="102" spans="1:9">
      <c r="A102" s="2">
        <f t="shared" si="9"/>
        <v>59</v>
      </c>
      <c r="C102" s="431"/>
      <c r="D102" s="59">
        <f t="shared" si="7"/>
        <v>0</v>
      </c>
      <c r="E102" s="59">
        <f t="shared" si="8"/>
        <v>0</v>
      </c>
      <c r="F102" s="492">
        <v>0</v>
      </c>
      <c r="G102" s="7">
        <f>(D102+E102+F102)*('28-FFU'!$D$22+'28-FFU'!$E$22)</f>
        <v>0</v>
      </c>
      <c r="H102" s="415">
        <f t="shared" si="10"/>
        <v>0</v>
      </c>
      <c r="I102" s="13" t="s">
        <v>1174</v>
      </c>
    </row>
    <row r="103" spans="1:9">
      <c r="A103" s="2">
        <f t="shared" si="9"/>
        <v>60</v>
      </c>
      <c r="C103" s="431"/>
      <c r="D103" s="194" t="s">
        <v>76</v>
      </c>
      <c r="E103" s="194" t="s">
        <v>76</v>
      </c>
      <c r="F103" s="194" t="s">
        <v>76</v>
      </c>
      <c r="G103" s="194" t="s">
        <v>76</v>
      </c>
      <c r="H103" s="194" t="s">
        <v>76</v>
      </c>
      <c r="I103" s="13" t="s">
        <v>1174</v>
      </c>
    </row>
    <row r="104" spans="1:9">
      <c r="A104" s="2">
        <f t="shared" si="9"/>
        <v>61</v>
      </c>
      <c r="C104" s="431"/>
      <c r="D104" s="194" t="s">
        <v>76</v>
      </c>
      <c r="E104" s="194" t="s">
        <v>76</v>
      </c>
      <c r="F104" s="194" t="s">
        <v>76</v>
      </c>
      <c r="G104" s="194" t="s">
        <v>76</v>
      </c>
      <c r="H104" s="194" t="s">
        <v>76</v>
      </c>
      <c r="I104" s="13" t="s">
        <v>1174</v>
      </c>
    </row>
    <row r="105" spans="1:9">
      <c r="A105" s="2">
        <f t="shared" si="9"/>
        <v>62</v>
      </c>
      <c r="C105" s="94" t="s">
        <v>197</v>
      </c>
      <c r="D105" s="7">
        <f>SUM(D94:D104)</f>
        <v>21733047.760670055</v>
      </c>
      <c r="E105" s="7">
        <f>SUM(E94:E104)</f>
        <v>11205963.781899041</v>
      </c>
      <c r="F105" s="7">
        <f>SUM(F94:F104)</f>
        <v>2079981.4487594129</v>
      </c>
      <c r="G105" s="59">
        <f>SUM(G94:G104)</f>
        <v>406686.0713061954</v>
      </c>
      <c r="H105" s="7">
        <f>SUM(H94:H104)</f>
        <v>35425679.062634706</v>
      </c>
      <c r="I105" s="13" t="str">
        <f>"Sum of L "&amp;A94&amp;" to "&amp;A104&amp;""</f>
        <v>Sum of L 51 to 61</v>
      </c>
    </row>
    <row r="106" spans="1:9">
      <c r="C106" s="94"/>
    </row>
    <row r="107" spans="1:9">
      <c r="B107" s="1" t="s">
        <v>1266</v>
      </c>
    </row>
    <row r="108" spans="1:9">
      <c r="B108" s="1"/>
    </row>
    <row r="109" spans="1:9" ht="15">
      <c r="B109" s="1"/>
      <c r="C109" s="375" t="s">
        <v>1420</v>
      </c>
    </row>
    <row r="110" spans="1:9">
      <c r="E110" s="3" t="s">
        <v>171</v>
      </c>
      <c r="F110" s="3" t="s">
        <v>179</v>
      </c>
    </row>
    <row r="111" spans="1:9">
      <c r="A111" s="2">
        <f>A105+1</f>
        <v>63</v>
      </c>
      <c r="D111" s="94" t="s">
        <v>358</v>
      </c>
      <c r="E111" s="7">
        <f>F20</f>
        <v>115461165.03224993</v>
      </c>
      <c r="F111" s="16" t="str">
        <f>"Line "&amp;A20&amp;", Col 3"</f>
        <v>Line 12, Col 3</v>
      </c>
    </row>
    <row r="112" spans="1:9">
      <c r="A112" s="2">
        <f>A111+1</f>
        <v>64</v>
      </c>
      <c r="D112" s="94" t="s">
        <v>356</v>
      </c>
      <c r="E112" s="385">
        <f>'2-IFPTRR'!D25</f>
        <v>0.12112874390909067</v>
      </c>
      <c r="F112" s="46" t="str">
        <f>"2-IFPTRR, Line "&amp;'2-IFPTRR'!A25&amp;""</f>
        <v>2-IFPTRR, Line 16</v>
      </c>
      <c r="G112" s="14"/>
      <c r="H112" s="14"/>
    </row>
    <row r="113" spans="1:8">
      <c r="A113" s="2">
        <f>A112+1</f>
        <v>65</v>
      </c>
      <c r="D113" s="94" t="s">
        <v>1461</v>
      </c>
      <c r="E113" s="7">
        <f>E111*E112</f>
        <v>13985665.890636656</v>
      </c>
      <c r="F113" s="114" t="str">
        <f>"Line "&amp;A111&amp;" * Line "&amp;A112&amp;""</f>
        <v>Line 63 * Line 64</v>
      </c>
      <c r="G113" s="14"/>
      <c r="H113" s="14"/>
    </row>
    <row r="114" spans="1:8">
      <c r="A114" s="496">
        <f>A113+1</f>
        <v>66</v>
      </c>
      <c r="D114" s="94" t="s">
        <v>1460</v>
      </c>
      <c r="E114" s="91">
        <f>E113*('28-FFU'!D22+'28-FFU'!E22)</f>
        <v>162419.73368773068</v>
      </c>
      <c r="F114" s="502" t="str">
        <f>"Line "&amp;A113&amp;" * (28-FFU, L"&amp;'28-FFU'!A22&amp;" FF Factor + U Factor)"</f>
        <v>Line 65 * (28-FFU, L5 FF Factor + U Factor)</v>
      </c>
      <c r="G114" s="14"/>
      <c r="H114" s="14"/>
    </row>
    <row r="115" spans="1:8">
      <c r="A115" s="499">
        <f>A114+1</f>
        <v>67</v>
      </c>
      <c r="D115" s="94" t="s">
        <v>1462</v>
      </c>
      <c r="E115" s="7">
        <f>SUM(E113:E114)</f>
        <v>14148085.624324387</v>
      </c>
      <c r="F115" s="16" t="str">
        <f>"Line "&amp;A113&amp;" + Line "&amp;A114&amp;""</f>
        <v>Line 65 + Line 66</v>
      </c>
    </row>
    <row r="116" spans="1:8">
      <c r="A116" s="496"/>
      <c r="D116" s="94"/>
      <c r="E116" s="7"/>
    </row>
    <row r="117" spans="1:8" ht="15">
      <c r="A117" s="2"/>
      <c r="C117" s="375" t="s">
        <v>1421</v>
      </c>
      <c r="D117" s="94"/>
      <c r="E117" s="7"/>
      <c r="F117" s="16"/>
    </row>
    <row r="118" spans="1:8">
      <c r="A118" s="2"/>
      <c r="D118" s="525" t="s">
        <v>175</v>
      </c>
      <c r="E118" s="525" t="s">
        <v>175</v>
      </c>
    </row>
    <row r="119" spans="1:8">
      <c r="A119" s="2"/>
      <c r="C119" s="3" t="s">
        <v>226</v>
      </c>
      <c r="D119" s="3" t="s">
        <v>1491</v>
      </c>
      <c r="E119" s="3" t="s">
        <v>1492</v>
      </c>
      <c r="F119" s="3" t="s">
        <v>179</v>
      </c>
    </row>
    <row r="120" spans="1:8">
      <c r="A120" s="2">
        <f>A115+1</f>
        <v>68</v>
      </c>
      <c r="C120" s="94" t="s">
        <v>1268</v>
      </c>
      <c r="D120" s="59">
        <f>$E$113*(F9/$F$20)</f>
        <v>-1806701.5346026651</v>
      </c>
      <c r="E120" s="59">
        <f>$E$115*(F9/$F$20)</f>
        <v>-1827683.3015344662</v>
      </c>
      <c r="F120" s="13" t="s">
        <v>1189</v>
      </c>
    </row>
    <row r="121" spans="1:8">
      <c r="A121" s="2">
        <f t="shared" ref="A121:A131" si="11">A120+1</f>
        <v>69</v>
      </c>
      <c r="C121" s="94" t="s">
        <v>1269</v>
      </c>
      <c r="D121" s="59">
        <f t="shared" ref="D121:D128" si="12">$E$113*(F10/$F$20)</f>
        <v>0</v>
      </c>
      <c r="E121" s="59">
        <f t="shared" ref="E121:E128" si="13">$E$115*(F10/$F$20)</f>
        <v>0</v>
      </c>
      <c r="F121" s="13" t="s">
        <v>1189</v>
      </c>
    </row>
    <row r="122" spans="1:8">
      <c r="A122" s="2">
        <f t="shared" si="11"/>
        <v>70</v>
      </c>
      <c r="C122" s="501" t="s">
        <v>1273</v>
      </c>
      <c r="D122" s="59">
        <f t="shared" si="12"/>
        <v>222396.8676049725</v>
      </c>
      <c r="E122" s="59">
        <f t="shared" si="13"/>
        <v>224979.62914752934</v>
      </c>
      <c r="F122" s="13" t="s">
        <v>1189</v>
      </c>
    </row>
    <row r="123" spans="1:8">
      <c r="A123" s="2">
        <f t="shared" si="11"/>
        <v>71</v>
      </c>
      <c r="C123" s="501" t="s">
        <v>1274</v>
      </c>
      <c r="D123" s="59">
        <f t="shared" si="12"/>
        <v>18833661.864903655</v>
      </c>
      <c r="E123" s="59">
        <f t="shared" si="13"/>
        <v>19052382.830239341</v>
      </c>
      <c r="F123" s="13" t="s">
        <v>1189</v>
      </c>
    </row>
    <row r="124" spans="1:8">
      <c r="A124" s="2">
        <f t="shared" si="11"/>
        <v>72</v>
      </c>
      <c r="C124" s="94" t="s">
        <v>1270</v>
      </c>
      <c r="D124" s="59">
        <f t="shared" si="12"/>
        <v>0</v>
      </c>
      <c r="E124" s="59">
        <f t="shared" si="13"/>
        <v>0</v>
      </c>
      <c r="F124" s="13" t="s">
        <v>1189</v>
      </c>
    </row>
    <row r="125" spans="1:8">
      <c r="A125" s="2">
        <f t="shared" si="11"/>
        <v>73</v>
      </c>
      <c r="C125" s="94" t="s">
        <v>1271</v>
      </c>
      <c r="D125" s="59">
        <f t="shared" si="12"/>
        <v>-3263691.3072693064</v>
      </c>
      <c r="E125" s="59">
        <f t="shared" si="13"/>
        <v>-3301593.5335280169</v>
      </c>
      <c r="F125" s="13" t="s">
        <v>1189</v>
      </c>
    </row>
    <row r="126" spans="1:8">
      <c r="A126" s="2">
        <f t="shared" si="11"/>
        <v>74</v>
      </c>
      <c r="C126" s="94" t="s">
        <v>1272</v>
      </c>
      <c r="D126" s="59">
        <f t="shared" si="12"/>
        <v>0</v>
      </c>
      <c r="E126" s="59">
        <f t="shared" si="13"/>
        <v>0</v>
      </c>
      <c r="F126" s="13" t="s">
        <v>1189</v>
      </c>
    </row>
    <row r="127" spans="1:8">
      <c r="A127" s="2">
        <f t="shared" si="11"/>
        <v>75</v>
      </c>
      <c r="C127" s="431"/>
      <c r="D127" s="59">
        <f t="shared" si="12"/>
        <v>0</v>
      </c>
      <c r="E127" s="59">
        <f t="shared" si="13"/>
        <v>0</v>
      </c>
      <c r="F127" s="13" t="s">
        <v>1189</v>
      </c>
    </row>
    <row r="128" spans="1:8">
      <c r="A128" s="2">
        <f t="shared" si="11"/>
        <v>76</v>
      </c>
      <c r="C128" s="431"/>
      <c r="D128" s="59">
        <f t="shared" si="12"/>
        <v>0</v>
      </c>
      <c r="E128" s="59">
        <f t="shared" si="13"/>
        <v>0</v>
      </c>
      <c r="F128" s="13" t="s">
        <v>1189</v>
      </c>
    </row>
    <row r="129" spans="1:8">
      <c r="A129" s="2">
        <f t="shared" si="11"/>
        <v>77</v>
      </c>
      <c r="C129" s="431"/>
      <c r="D129" s="489" t="s">
        <v>76</v>
      </c>
      <c r="E129" s="489" t="s">
        <v>76</v>
      </c>
      <c r="F129" s="13" t="s">
        <v>1189</v>
      </c>
    </row>
    <row r="130" spans="1:8">
      <c r="A130" s="2">
        <f t="shared" si="11"/>
        <v>78</v>
      </c>
      <c r="C130" s="431"/>
      <c r="D130" s="489" t="s">
        <v>76</v>
      </c>
      <c r="E130" s="489" t="s">
        <v>76</v>
      </c>
      <c r="F130" s="13" t="s">
        <v>1189</v>
      </c>
    </row>
    <row r="131" spans="1:8">
      <c r="A131" s="2">
        <f t="shared" si="11"/>
        <v>79</v>
      </c>
      <c r="C131" s="94" t="s">
        <v>197</v>
      </c>
      <c r="D131" s="7">
        <f>SUM(D120:D130)</f>
        <v>13985665.890636655</v>
      </c>
      <c r="E131" s="7">
        <f>SUM(E120:E130)</f>
        <v>14148085.624324387</v>
      </c>
      <c r="F131" s="13" t="str">
        <f>"Sum of Lines "&amp;A120&amp;" to "&amp;A130&amp;""</f>
        <v>Sum of Lines 68 to 78</v>
      </c>
    </row>
    <row r="133" spans="1:8">
      <c r="B133" s="1" t="s">
        <v>1497</v>
      </c>
    </row>
    <row r="134" spans="1:8">
      <c r="B134" s="1"/>
    </row>
    <row r="135" spans="1:8" ht="15">
      <c r="C135" s="375" t="s">
        <v>1420</v>
      </c>
    </row>
    <row r="136" spans="1:8">
      <c r="E136" s="3" t="s">
        <v>171</v>
      </c>
      <c r="F136" s="3" t="s">
        <v>179</v>
      </c>
      <c r="H136" s="1"/>
    </row>
    <row r="137" spans="1:8">
      <c r="A137" s="2">
        <f>A131+1</f>
        <v>80</v>
      </c>
      <c r="D137" s="94" t="s">
        <v>1275</v>
      </c>
      <c r="E137" s="7">
        <f>SUM(D64:D67)</f>
        <v>14179809.155107658</v>
      </c>
      <c r="F137" s="16" t="str">
        <f>"Sum Line "&amp;A64&amp;" to "&amp;A67&amp;""</f>
        <v>Sum Line 33 to 36</v>
      </c>
    </row>
    <row r="138" spans="1:8">
      <c r="A138" s="2">
        <f t="shared" ref="A138:A145" si="14">A137+1</f>
        <v>81</v>
      </c>
      <c r="D138" s="501" t="s">
        <v>1489</v>
      </c>
      <c r="E138" s="7">
        <f>E113</f>
        <v>13985665.890636656</v>
      </c>
      <c r="F138" s="16" t="str">
        <f>"Line "&amp;A113&amp;""</f>
        <v>Line 65</v>
      </c>
    </row>
    <row r="139" spans="1:8">
      <c r="A139" s="2">
        <f t="shared" si="14"/>
        <v>82</v>
      </c>
      <c r="D139" s="94" t="s">
        <v>1276</v>
      </c>
      <c r="E139" s="7">
        <f>SUM(E137:E138)</f>
        <v>28165475.045744315</v>
      </c>
      <c r="F139" s="16" t="str">
        <f>"Line "&amp;A137&amp;" + Line "&amp;A138&amp;""</f>
        <v>Line 80 + Line 81</v>
      </c>
    </row>
    <row r="140" spans="1:8">
      <c r="A140" s="2">
        <f t="shared" si="14"/>
        <v>83</v>
      </c>
      <c r="D140" s="94" t="s">
        <v>1261</v>
      </c>
      <c r="E140" s="8">
        <f>'28-FFU'!D22</f>
        <v>9.2057000000000007E-3</v>
      </c>
      <c r="F140" s="46" t="str">
        <f>"28-FFU, Line "&amp;'28-FFU'!A22&amp;""</f>
        <v>28-FFU, Line 5</v>
      </c>
    </row>
    <row r="141" spans="1:8">
      <c r="A141" s="2">
        <f t="shared" si="14"/>
        <v>84</v>
      </c>
      <c r="D141" s="94" t="s">
        <v>1262</v>
      </c>
      <c r="E141" s="8">
        <f>'28-FFU'!E22</f>
        <v>2.4076000000000002E-3</v>
      </c>
      <c r="F141" s="46" t="str">
        <f>"28-FFU, Line "&amp;'28-FFU'!A22&amp;""</f>
        <v>28-FFU, Line 5</v>
      </c>
    </row>
    <row r="142" spans="1:8">
      <c r="A142" s="2">
        <f t="shared" si="14"/>
        <v>85</v>
      </c>
      <c r="D142" s="501" t="s">
        <v>1495</v>
      </c>
      <c r="E142" s="7">
        <f>E139*E140</f>
        <v>259282.91362860845</v>
      </c>
      <c r="F142" s="16" t="str">
        <f>"Line "&amp;A139&amp;" * Line "&amp;A140&amp;""</f>
        <v>Line 82 * Line 83</v>
      </c>
    </row>
    <row r="143" spans="1:8">
      <c r="A143" s="526">
        <f t="shared" si="14"/>
        <v>86</v>
      </c>
      <c r="D143" s="501" t="s">
        <v>1496</v>
      </c>
      <c r="E143" s="7">
        <f>E139*E141</f>
        <v>67811.19772013402</v>
      </c>
      <c r="F143" s="16" t="str">
        <f>"Line "&amp;A139&amp;" * Line "&amp;A141&amp;""</f>
        <v>Line 82 * Line 84</v>
      </c>
    </row>
    <row r="144" spans="1:8">
      <c r="A144" s="526">
        <f t="shared" si="14"/>
        <v>87</v>
      </c>
      <c r="D144" s="94" t="s">
        <v>1277</v>
      </c>
      <c r="E144" s="7">
        <f>E139+E142+E143</f>
        <v>28492569.157093056</v>
      </c>
      <c r="F144" s="13" t="str">
        <f>"Line "&amp;A139&amp;" + Line "&amp;A142&amp;" + Line "&amp;A143&amp;""</f>
        <v>Line 82 + Line 85 + Line 86</v>
      </c>
    </row>
    <row r="145" spans="1:8">
      <c r="A145" s="526">
        <f t="shared" si="14"/>
        <v>88</v>
      </c>
      <c r="D145" s="501" t="s">
        <v>1494</v>
      </c>
      <c r="E145" s="7">
        <f>E139+E142</f>
        <v>28424757.959372923</v>
      </c>
      <c r="F145" s="13" t="str">
        <f>"Line "&amp;A139&amp;" + Line "&amp;A142&amp;""</f>
        <v>Line 82 + Line 85</v>
      </c>
    </row>
    <row r="147" spans="1:8" ht="15">
      <c r="C147" s="375" t="s">
        <v>1422</v>
      </c>
    </row>
    <row r="148" spans="1:8" ht="15">
      <c r="C148" s="375"/>
      <c r="D148" s="84" t="s">
        <v>363</v>
      </c>
      <c r="E148" s="84" t="s">
        <v>347</v>
      </c>
      <c r="F148" s="84" t="s">
        <v>348</v>
      </c>
      <c r="G148" s="84" t="s">
        <v>349</v>
      </c>
    </row>
    <row r="149" spans="1:8" ht="12.75" customHeight="1">
      <c r="D149" s="245" t="s">
        <v>1414</v>
      </c>
      <c r="E149" s="245" t="s">
        <v>1102</v>
      </c>
    </row>
    <row r="150" spans="1:8" ht="12.75" customHeight="1">
      <c r="D150" s="3" t="s">
        <v>1491</v>
      </c>
      <c r="E150" s="3" t="s">
        <v>1491</v>
      </c>
      <c r="F150" s="3" t="s">
        <v>1423</v>
      </c>
      <c r="G150" s="246" t="s">
        <v>196</v>
      </c>
      <c r="H150" s="3" t="s">
        <v>179</v>
      </c>
    </row>
    <row r="151" spans="1:8">
      <c r="A151" s="526">
        <f>A145+1</f>
        <v>89</v>
      </c>
      <c r="C151" s="94" t="s">
        <v>1268</v>
      </c>
      <c r="D151" s="7">
        <f t="shared" ref="D151:D159" si="15">D77+E77+F77</f>
        <v>1965894.1577451639</v>
      </c>
      <c r="E151" s="7">
        <f t="shared" ref="E151:E159" si="16">D120</f>
        <v>-1806701.5346026651</v>
      </c>
      <c r="F151" s="7">
        <f>(D151+E151)*('28-FFU'!$D$22+'28-FFU'!$E$22)</f>
        <v>1848.7516903407811</v>
      </c>
      <c r="G151" s="7">
        <f>SUM(D151:F151)</f>
        <v>161041.37483283956</v>
      </c>
      <c r="H151" s="13" t="s">
        <v>1191</v>
      </c>
    </row>
    <row r="152" spans="1:8">
      <c r="A152" s="526">
        <f t="shared" ref="A152:A162" si="17">A151+1</f>
        <v>90</v>
      </c>
      <c r="C152" s="94" t="s">
        <v>1269</v>
      </c>
      <c r="D152" s="7">
        <f t="shared" si="15"/>
        <v>0</v>
      </c>
      <c r="E152" s="7">
        <f t="shared" si="16"/>
        <v>0</v>
      </c>
      <c r="F152" s="7">
        <f>(D152+E152)*('28-FFU'!$D$22+'28-FFU'!$E$22)</f>
        <v>0</v>
      </c>
      <c r="G152" s="7">
        <f t="shared" ref="G152:G159" si="18">SUM(D152:F152)</f>
        <v>0</v>
      </c>
      <c r="H152" s="13" t="s">
        <v>1191</v>
      </c>
    </row>
    <row r="153" spans="1:8">
      <c r="A153" s="526">
        <f t="shared" si="17"/>
        <v>91</v>
      </c>
      <c r="C153" s="501" t="s">
        <v>1273</v>
      </c>
      <c r="D153" s="7">
        <f t="shared" si="15"/>
        <v>509337.53421843308</v>
      </c>
      <c r="E153" s="7">
        <f t="shared" si="16"/>
        <v>222396.8676049725</v>
      </c>
      <c r="F153" s="7">
        <f>(D153+E153)*('28-FFU'!$D$22+'28-FFU'!$E$22)</f>
        <v>8497.8511286957564</v>
      </c>
      <c r="G153" s="7">
        <f t="shared" si="18"/>
        <v>740232.25295210141</v>
      </c>
      <c r="H153" s="13" t="s">
        <v>1191</v>
      </c>
    </row>
    <row r="154" spans="1:8">
      <c r="A154" s="526">
        <f t="shared" si="17"/>
        <v>92</v>
      </c>
      <c r="C154" s="501" t="s">
        <v>1274</v>
      </c>
      <c r="D154" s="7">
        <f t="shared" si="15"/>
        <v>8440886.1558747571</v>
      </c>
      <c r="E154" s="7">
        <f t="shared" si="16"/>
        <v>18833661.864903655</v>
      </c>
      <c r="F154" s="7">
        <f>(D154+E154)*('28-FFU'!$D$22+'28-FFU'!$E$22)</f>
        <v>316747.50852970593</v>
      </c>
      <c r="G154" s="7">
        <f t="shared" si="18"/>
        <v>27591295.529308118</v>
      </c>
      <c r="H154" s="13" t="s">
        <v>1191</v>
      </c>
    </row>
    <row r="155" spans="1:8">
      <c r="A155" s="526">
        <f t="shared" si="17"/>
        <v>93</v>
      </c>
      <c r="C155" s="94" t="s">
        <v>1270</v>
      </c>
      <c r="D155" s="7">
        <f t="shared" si="15"/>
        <v>0</v>
      </c>
      <c r="E155" s="7">
        <f t="shared" si="16"/>
        <v>0</v>
      </c>
      <c r="F155" s="7">
        <f>(D155+E155)*('28-FFU'!$D$22+'28-FFU'!$E$22)</f>
        <v>0</v>
      </c>
      <c r="G155" s="7">
        <f t="shared" si="18"/>
        <v>0</v>
      </c>
      <c r="H155" s="13" t="s">
        <v>1191</v>
      </c>
    </row>
    <row r="156" spans="1:8">
      <c r="A156" s="526">
        <f t="shared" si="17"/>
        <v>94</v>
      </c>
      <c r="C156" s="94" t="s">
        <v>1271</v>
      </c>
      <c r="D156" s="7">
        <f t="shared" si="15"/>
        <v>3263691.3072693059</v>
      </c>
      <c r="E156" s="7">
        <f t="shared" si="16"/>
        <v>-3263691.3072693064</v>
      </c>
      <c r="F156" s="7">
        <f>(D156+E156)*('28-FFU'!$D$22+'28-FFU'!$E$22)</f>
        <v>-5.4078642278909683E-12</v>
      </c>
      <c r="G156" s="7">
        <f t="shared" si="18"/>
        <v>-4.7106915153563025E-10</v>
      </c>
      <c r="H156" s="13" t="s">
        <v>1191</v>
      </c>
    </row>
    <row r="157" spans="1:8">
      <c r="A157" s="526">
        <f t="shared" si="17"/>
        <v>95</v>
      </c>
      <c r="C157" s="94" t="s">
        <v>1272</v>
      </c>
      <c r="D157" s="7">
        <f t="shared" si="15"/>
        <v>0</v>
      </c>
      <c r="E157" s="7">
        <f t="shared" si="16"/>
        <v>0</v>
      </c>
      <c r="F157" s="7">
        <f>(D157+E157)*('28-FFU'!$D$22+'28-FFU'!$E$22)</f>
        <v>0</v>
      </c>
      <c r="G157" s="7">
        <f t="shared" si="18"/>
        <v>0</v>
      </c>
      <c r="H157" s="13" t="s">
        <v>1191</v>
      </c>
    </row>
    <row r="158" spans="1:8">
      <c r="A158" s="526">
        <f t="shared" si="17"/>
        <v>96</v>
      </c>
      <c r="C158" s="431"/>
      <c r="D158" s="7">
        <f t="shared" si="15"/>
        <v>0</v>
      </c>
      <c r="E158" s="7">
        <f t="shared" si="16"/>
        <v>0</v>
      </c>
      <c r="F158" s="7">
        <f>(D158+E158)*('28-FFU'!$D$22+'28-FFU'!$E$22)</f>
        <v>0</v>
      </c>
      <c r="G158" s="7">
        <f t="shared" si="18"/>
        <v>0</v>
      </c>
      <c r="H158" s="13" t="s">
        <v>1191</v>
      </c>
    </row>
    <row r="159" spans="1:8">
      <c r="A159" s="526">
        <f t="shared" si="17"/>
        <v>97</v>
      </c>
      <c r="C159" s="431"/>
      <c r="D159" s="7">
        <f t="shared" si="15"/>
        <v>0</v>
      </c>
      <c r="E159" s="7">
        <f t="shared" si="16"/>
        <v>0</v>
      </c>
      <c r="F159" s="7">
        <f>(D159+E159)*('28-FFU'!$D$22+'28-FFU'!$E$22)</f>
        <v>0</v>
      </c>
      <c r="G159" s="7">
        <f t="shared" si="18"/>
        <v>0</v>
      </c>
      <c r="H159" s="13" t="s">
        <v>1191</v>
      </c>
    </row>
    <row r="160" spans="1:8">
      <c r="A160" s="526">
        <f t="shared" si="17"/>
        <v>98</v>
      </c>
      <c r="C160" s="431"/>
      <c r="D160" s="489" t="s">
        <v>76</v>
      </c>
      <c r="E160" s="489" t="s">
        <v>76</v>
      </c>
      <c r="F160" s="489" t="s">
        <v>76</v>
      </c>
      <c r="G160" s="489" t="s">
        <v>76</v>
      </c>
      <c r="H160" s="13" t="s">
        <v>1191</v>
      </c>
    </row>
    <row r="161" spans="1:8">
      <c r="A161" s="526">
        <f t="shared" si="17"/>
        <v>99</v>
      </c>
      <c r="C161" s="431"/>
      <c r="D161" s="489" t="s">
        <v>76</v>
      </c>
      <c r="E161" s="489" t="s">
        <v>76</v>
      </c>
      <c r="F161" s="489" t="s">
        <v>76</v>
      </c>
      <c r="G161" s="489" t="s">
        <v>76</v>
      </c>
      <c r="H161" s="13" t="s">
        <v>1191</v>
      </c>
    </row>
    <row r="162" spans="1:8">
      <c r="A162" s="526">
        <f t="shared" si="17"/>
        <v>100</v>
      </c>
      <c r="C162" s="94" t="s">
        <v>197</v>
      </c>
      <c r="D162" s="7">
        <f>SUM(D151:D161)</f>
        <v>14179809.155107658</v>
      </c>
      <c r="E162" s="7">
        <f>SUM(E151:E161)</f>
        <v>13985665.890636655</v>
      </c>
      <c r="F162" s="7">
        <f>SUM(F151:F161)</f>
        <v>327094.11134874244</v>
      </c>
      <c r="G162" s="7">
        <f>SUM(G151:G161)</f>
        <v>28492569.157093059</v>
      </c>
    </row>
    <row r="164" spans="1:8" ht="15">
      <c r="C164" s="375" t="s">
        <v>1490</v>
      </c>
    </row>
    <row r="165" spans="1:8" ht="15">
      <c r="C165" s="375"/>
    </row>
    <row r="166" spans="1:8">
      <c r="D166" s="84" t="s">
        <v>363</v>
      </c>
      <c r="E166" s="84" t="s">
        <v>347</v>
      </c>
      <c r="F166" s="84" t="s">
        <v>348</v>
      </c>
      <c r="G166" s="84" t="s">
        <v>349</v>
      </c>
    </row>
    <row r="167" spans="1:8" ht="12.75" customHeight="1">
      <c r="D167" s="245" t="s">
        <v>1414</v>
      </c>
      <c r="E167" s="245" t="s">
        <v>1102</v>
      </c>
      <c r="F167" s="84"/>
      <c r="G167" s="84"/>
    </row>
    <row r="168" spans="1:8" ht="12.75" customHeight="1">
      <c r="D168" s="3" t="s">
        <v>1491</v>
      </c>
      <c r="E168" s="3" t="s">
        <v>1491</v>
      </c>
      <c r="F168" s="3" t="s">
        <v>1465</v>
      </c>
      <c r="G168" s="246" t="s">
        <v>196</v>
      </c>
      <c r="H168" s="3" t="s">
        <v>179</v>
      </c>
    </row>
    <row r="169" spans="1:8">
      <c r="A169" s="526">
        <f>A162+1</f>
        <v>101</v>
      </c>
      <c r="C169" s="94" t="s">
        <v>1268</v>
      </c>
      <c r="D169" s="7">
        <f t="shared" ref="D169:D177" si="19">D77+E77+F77</f>
        <v>1965894.1577451639</v>
      </c>
      <c r="E169" s="7">
        <f t="shared" ref="E169:E177" si="20">D120</f>
        <v>-1806701.5346026651</v>
      </c>
      <c r="F169" s="7">
        <f>(D169+E169)*('28-FFU'!$D$22)</f>
        <v>1465.4795308629011</v>
      </c>
      <c r="G169" s="7">
        <f>SUM(D169:F169)</f>
        <v>160658.10267336169</v>
      </c>
      <c r="H169" s="507" t="s">
        <v>1192</v>
      </c>
    </row>
    <row r="170" spans="1:8">
      <c r="A170" s="526">
        <f t="shared" ref="A170:A180" si="21">A169+1</f>
        <v>102</v>
      </c>
      <c r="C170" s="94" t="s">
        <v>1269</v>
      </c>
      <c r="D170" s="7">
        <f t="shared" si="19"/>
        <v>0</v>
      </c>
      <c r="E170" s="7">
        <f t="shared" si="20"/>
        <v>0</v>
      </c>
      <c r="F170" s="7">
        <f>(D170+E170)*('28-FFU'!$D$22)</f>
        <v>0</v>
      </c>
      <c r="G170" s="7">
        <f t="shared" ref="G170:G177" si="22">SUM(D170:F170)</f>
        <v>0</v>
      </c>
      <c r="H170" s="507" t="s">
        <v>1192</v>
      </c>
    </row>
    <row r="171" spans="1:8">
      <c r="A171" s="526">
        <f t="shared" si="21"/>
        <v>103</v>
      </c>
      <c r="C171" s="501" t="s">
        <v>1273</v>
      </c>
      <c r="D171" s="7">
        <f t="shared" si="19"/>
        <v>509337.53421843308</v>
      </c>
      <c r="E171" s="7">
        <f t="shared" si="20"/>
        <v>222396.8676049725</v>
      </c>
      <c r="F171" s="7">
        <f>(D171+E171)*('28-FFU'!$D$22)</f>
        <v>6736.1273828657258</v>
      </c>
      <c r="G171" s="7">
        <f t="shared" si="22"/>
        <v>738470.5292062714</v>
      </c>
      <c r="H171" s="507" t="s">
        <v>1192</v>
      </c>
    </row>
    <row r="172" spans="1:8">
      <c r="A172" s="526">
        <f t="shared" si="21"/>
        <v>104</v>
      </c>
      <c r="C172" s="501" t="s">
        <v>1274</v>
      </c>
      <c r="D172" s="7">
        <f t="shared" si="19"/>
        <v>8440886.1558747571</v>
      </c>
      <c r="E172" s="7">
        <f t="shared" si="20"/>
        <v>18833661.864903655</v>
      </c>
      <c r="F172" s="7">
        <f>(D172+E172)*('28-FFU'!$D$22)</f>
        <v>251081.30671487981</v>
      </c>
      <c r="G172" s="7">
        <f t="shared" si="22"/>
        <v>27525629.327493291</v>
      </c>
      <c r="H172" s="507" t="s">
        <v>1192</v>
      </c>
    </row>
    <row r="173" spans="1:8">
      <c r="A173" s="526">
        <f t="shared" si="21"/>
        <v>105</v>
      </c>
      <c r="C173" s="94" t="s">
        <v>1270</v>
      </c>
      <c r="D173" s="7">
        <f t="shared" si="19"/>
        <v>0</v>
      </c>
      <c r="E173" s="7">
        <f t="shared" si="20"/>
        <v>0</v>
      </c>
      <c r="F173" s="7">
        <f>(D173+E173)*('28-FFU'!$D$22)</f>
        <v>0</v>
      </c>
      <c r="G173" s="7">
        <f t="shared" si="22"/>
        <v>0</v>
      </c>
      <c r="H173" s="507" t="s">
        <v>1192</v>
      </c>
    </row>
    <row r="174" spans="1:8">
      <c r="A174" s="526">
        <f t="shared" si="21"/>
        <v>106</v>
      </c>
      <c r="C174" s="94" t="s">
        <v>1271</v>
      </c>
      <c r="D174" s="7">
        <f t="shared" si="19"/>
        <v>3263691.3072693059</v>
      </c>
      <c r="E174" s="7">
        <f t="shared" si="20"/>
        <v>-3263691.3072693064</v>
      </c>
      <c r="F174" s="7">
        <f>(D174+E174)*('28-FFU'!$D$22)</f>
        <v>-4.2867381125688556E-12</v>
      </c>
      <c r="G174" s="7">
        <f t="shared" si="22"/>
        <v>-4.6994802542030816E-10</v>
      </c>
      <c r="H174" s="507" t="s">
        <v>1192</v>
      </c>
    </row>
    <row r="175" spans="1:8">
      <c r="A175" s="526">
        <f t="shared" si="21"/>
        <v>107</v>
      </c>
      <c r="C175" s="94" t="s">
        <v>1272</v>
      </c>
      <c r="D175" s="7">
        <f t="shared" si="19"/>
        <v>0</v>
      </c>
      <c r="E175" s="7">
        <f t="shared" si="20"/>
        <v>0</v>
      </c>
      <c r="F175" s="7">
        <f>(D175+E175)*('28-FFU'!$D$22)</f>
        <v>0</v>
      </c>
      <c r="G175" s="7">
        <f t="shared" si="22"/>
        <v>0</v>
      </c>
      <c r="H175" s="507" t="s">
        <v>1192</v>
      </c>
    </row>
    <row r="176" spans="1:8">
      <c r="A176" s="526">
        <f t="shared" si="21"/>
        <v>108</v>
      </c>
      <c r="C176" s="431"/>
      <c r="D176" s="7">
        <f t="shared" si="19"/>
        <v>0</v>
      </c>
      <c r="E176" s="7">
        <f t="shared" si="20"/>
        <v>0</v>
      </c>
      <c r="F176" s="7">
        <f>(D176+E176)*('28-FFU'!$D$22)</f>
        <v>0</v>
      </c>
      <c r="G176" s="7">
        <f t="shared" si="22"/>
        <v>0</v>
      </c>
      <c r="H176" s="507" t="s">
        <v>1192</v>
      </c>
    </row>
    <row r="177" spans="1:11">
      <c r="A177" s="526">
        <f t="shared" si="21"/>
        <v>109</v>
      </c>
      <c r="C177" s="431"/>
      <c r="D177" s="7">
        <f t="shared" si="19"/>
        <v>0</v>
      </c>
      <c r="E177" s="7">
        <f t="shared" si="20"/>
        <v>0</v>
      </c>
      <c r="F177" s="7">
        <f>(D177+E177)*('28-FFU'!$D$22)</f>
        <v>0</v>
      </c>
      <c r="G177" s="7">
        <f t="shared" si="22"/>
        <v>0</v>
      </c>
      <c r="H177" s="507" t="s">
        <v>1192</v>
      </c>
    </row>
    <row r="178" spans="1:11">
      <c r="A178" s="526">
        <f t="shared" si="21"/>
        <v>110</v>
      </c>
      <c r="C178" s="431"/>
      <c r="D178" s="489" t="s">
        <v>76</v>
      </c>
      <c r="E178" s="489" t="s">
        <v>76</v>
      </c>
      <c r="F178" s="489" t="s">
        <v>76</v>
      </c>
      <c r="G178" s="489" t="s">
        <v>76</v>
      </c>
      <c r="H178" s="507" t="s">
        <v>1192</v>
      </c>
    </row>
    <row r="179" spans="1:11">
      <c r="A179" s="526">
        <f t="shared" si="21"/>
        <v>111</v>
      </c>
      <c r="C179" s="431"/>
      <c r="D179" s="489" t="s">
        <v>76</v>
      </c>
      <c r="E179" s="489" t="s">
        <v>76</v>
      </c>
      <c r="F179" s="489" t="s">
        <v>76</v>
      </c>
      <c r="G179" s="489" t="s">
        <v>76</v>
      </c>
      <c r="H179" s="507" t="s">
        <v>1192</v>
      </c>
    </row>
    <row r="180" spans="1:11">
      <c r="A180" s="526">
        <f t="shared" si="21"/>
        <v>112</v>
      </c>
      <c r="C180" s="94" t="s">
        <v>197</v>
      </c>
      <c r="D180" s="7">
        <f>SUM(D169:D179)</f>
        <v>14179809.155107658</v>
      </c>
      <c r="E180" s="7">
        <f>SUM(E169:E179)</f>
        <v>13985665.890636655</v>
      </c>
      <c r="F180" s="7">
        <f>SUM(F169:F179)</f>
        <v>259282.91362860845</v>
      </c>
      <c r="G180" s="7">
        <f>SUM(G169:G179)</f>
        <v>28424757.959372923</v>
      </c>
    </row>
    <row r="182" spans="1:11">
      <c r="B182" s="1" t="s">
        <v>232</v>
      </c>
    </row>
    <row r="183" spans="1:11">
      <c r="B183" s="11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4"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502"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503" t="s">
        <v>1493</v>
      </c>
    </row>
  </sheetData>
  <pageMargins left="0.7" right="0.7" top="0.75" bottom="0.75" header="0.3" footer="0.3"/>
  <pageSetup scale="70" orientation="portrait" cellComments="asDisplayed" r:id="rId1"/>
  <headerFooter>
    <oddHeader>&amp;CSchedule 24
CWIP TRR
&amp;RExhibit SCE-4
TO2018 Formula Rate Spreadsheet</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3"/>
  <sheetViews>
    <sheetView zoomScale="90" zoomScaleNormal="90" workbookViewId="0"/>
  </sheetViews>
  <sheetFormatPr defaultRowHeight="12.75"/>
  <cols>
    <col min="1" max="1" width="4.7109375" customWidth="1"/>
    <col min="6" max="6" width="11.7109375" customWidth="1"/>
    <col min="7" max="7" width="21.7109375" customWidth="1"/>
    <col min="8" max="9" width="14.7109375" customWidth="1"/>
  </cols>
  <sheetData>
    <row r="1" spans="1:12">
      <c r="A1" s="1" t="s">
        <v>1343</v>
      </c>
      <c r="B1" s="234"/>
      <c r="C1" s="234"/>
      <c r="D1" s="234"/>
      <c r="E1" s="234"/>
      <c r="F1" s="234"/>
      <c r="G1" s="234"/>
      <c r="H1" s="234"/>
      <c r="I1" s="234"/>
      <c r="J1" s="234"/>
      <c r="K1" s="234"/>
      <c r="L1" s="234"/>
    </row>
    <row r="2" spans="1:12">
      <c r="A2" s="1"/>
      <c r="B2" s="234"/>
      <c r="C2" s="234"/>
      <c r="D2" s="234"/>
      <c r="E2" s="234"/>
      <c r="F2" s="234"/>
      <c r="G2" s="234"/>
      <c r="H2" s="475" t="s">
        <v>17</v>
      </c>
      <c r="I2" s="417"/>
      <c r="J2" s="234"/>
      <c r="K2" s="234"/>
      <c r="L2" s="234"/>
    </row>
    <row r="3" spans="1:12">
      <c r="A3" s="1"/>
      <c r="B3" s="234" t="s">
        <v>1344</v>
      </c>
      <c r="C3" s="234"/>
      <c r="D3" s="234"/>
      <c r="E3" s="234"/>
      <c r="F3" s="234"/>
      <c r="G3" s="234"/>
      <c r="H3" s="243"/>
      <c r="I3" s="243"/>
      <c r="J3" s="234"/>
      <c r="K3" s="234"/>
      <c r="L3" s="234"/>
    </row>
    <row r="4" spans="1:12">
      <c r="A4" s="1"/>
      <c r="B4" s="243" t="s">
        <v>1844</v>
      </c>
      <c r="C4" s="243"/>
      <c r="D4" s="243"/>
      <c r="E4" s="243"/>
      <c r="F4" s="243"/>
      <c r="G4" s="243"/>
      <c r="H4" s="243"/>
      <c r="I4" s="243"/>
      <c r="J4" s="234"/>
      <c r="K4" s="234"/>
      <c r="L4" s="234"/>
    </row>
    <row r="5" spans="1:12">
      <c r="A5" s="1"/>
      <c r="B5" s="243" t="s">
        <v>1755</v>
      </c>
      <c r="C5" s="243"/>
      <c r="D5" s="243"/>
      <c r="E5" s="243"/>
      <c r="F5" s="243"/>
      <c r="G5" s="243"/>
      <c r="H5" s="243"/>
      <c r="I5" s="243"/>
      <c r="J5" s="234"/>
      <c r="K5" s="234"/>
      <c r="L5" s="234"/>
    </row>
    <row r="6" spans="1:12">
      <c r="A6" s="1"/>
      <c r="B6" s="243"/>
      <c r="C6" s="243"/>
      <c r="D6" s="243"/>
      <c r="E6" s="243"/>
      <c r="F6" s="243"/>
      <c r="G6" s="243"/>
      <c r="H6" s="243"/>
      <c r="I6" s="243"/>
      <c r="J6" s="234"/>
      <c r="K6" s="234"/>
      <c r="L6" s="234"/>
    </row>
    <row r="7" spans="1:12">
      <c r="A7" s="1"/>
      <c r="B7" s="243" t="s">
        <v>1845</v>
      </c>
      <c r="C7" s="243"/>
      <c r="D7" s="243"/>
      <c r="E7" s="243"/>
      <c r="F7" s="243"/>
      <c r="G7" s="243"/>
      <c r="H7" s="243"/>
      <c r="I7" s="243"/>
      <c r="J7" s="234"/>
      <c r="K7" s="234"/>
      <c r="L7" s="234"/>
    </row>
    <row r="8" spans="1:12">
      <c r="A8" s="1"/>
      <c r="B8" s="243" t="s">
        <v>1345</v>
      </c>
      <c r="C8" s="243"/>
      <c r="D8" s="243"/>
      <c r="E8" s="243"/>
      <c r="F8" s="243"/>
      <c r="G8" s="243"/>
      <c r="H8" s="243"/>
      <c r="I8" s="243"/>
      <c r="J8" s="234"/>
      <c r="K8" s="234"/>
      <c r="L8" s="234"/>
    </row>
    <row r="9" spans="1:12">
      <c r="A9" s="1"/>
      <c r="B9" s="243" t="s">
        <v>1346</v>
      </c>
      <c r="C9" s="243"/>
      <c r="D9" s="243"/>
      <c r="E9" s="243"/>
      <c r="F9" s="243"/>
      <c r="G9" s="243"/>
      <c r="H9" s="243"/>
      <c r="I9" s="243"/>
      <c r="J9" s="234"/>
      <c r="K9" s="234"/>
      <c r="L9" s="234"/>
    </row>
    <row r="10" spans="1:12">
      <c r="A10" s="1"/>
      <c r="B10" s="243"/>
      <c r="C10" s="243"/>
      <c r="D10" s="243"/>
      <c r="E10" s="243"/>
      <c r="F10" s="243"/>
      <c r="G10" s="243"/>
      <c r="H10" s="476" t="s">
        <v>1347</v>
      </c>
      <c r="I10" s="243"/>
      <c r="J10" s="234"/>
      <c r="K10" s="234"/>
      <c r="L10" s="234"/>
    </row>
    <row r="11" spans="1:12" ht="15">
      <c r="A11" s="1"/>
      <c r="B11" s="243"/>
      <c r="C11" s="243"/>
      <c r="D11" s="243"/>
      <c r="E11" s="243"/>
      <c r="F11" s="243"/>
      <c r="G11" s="476" t="s">
        <v>173</v>
      </c>
      <c r="H11" s="1041" t="s">
        <v>1348</v>
      </c>
      <c r="I11" s="476" t="s">
        <v>326</v>
      </c>
      <c r="J11" s="234"/>
      <c r="K11" s="234"/>
      <c r="L11" s="234"/>
    </row>
    <row r="12" spans="1:12">
      <c r="A12" s="51" t="s">
        <v>332</v>
      </c>
      <c r="B12" s="243"/>
      <c r="C12" s="243"/>
      <c r="D12" s="243"/>
      <c r="E12" s="243"/>
      <c r="F12" s="243"/>
      <c r="G12" s="477" t="s">
        <v>290</v>
      </c>
      <c r="H12" s="477" t="s">
        <v>290</v>
      </c>
      <c r="I12" s="477" t="s">
        <v>1349</v>
      </c>
      <c r="J12" s="234"/>
      <c r="K12" s="234"/>
      <c r="L12" s="234"/>
    </row>
    <row r="13" spans="1:12">
      <c r="A13" s="2">
        <v>1</v>
      </c>
      <c r="B13" s="243" t="s">
        <v>1350</v>
      </c>
      <c r="C13" s="243"/>
      <c r="D13" s="243"/>
      <c r="E13" s="243"/>
      <c r="F13" s="243"/>
      <c r="G13" s="478" t="s">
        <v>222</v>
      </c>
      <c r="H13" s="478" t="s">
        <v>222</v>
      </c>
      <c r="I13" s="965" t="s">
        <v>224</v>
      </c>
      <c r="J13" s="234"/>
      <c r="K13" s="234"/>
      <c r="L13" s="234"/>
    </row>
    <row r="14" spans="1:12">
      <c r="A14" s="2">
        <f>A13+1</f>
        <v>2</v>
      </c>
      <c r="B14" s="243" t="s">
        <v>1351</v>
      </c>
      <c r="C14" s="243"/>
      <c r="D14" s="243"/>
      <c r="E14" s="243"/>
      <c r="F14" s="243"/>
      <c r="G14" s="478" t="s">
        <v>222</v>
      </c>
      <c r="H14" s="478" t="s">
        <v>222</v>
      </c>
      <c r="I14" s="478" t="s">
        <v>222</v>
      </c>
      <c r="J14" s="234"/>
      <c r="K14" s="234"/>
      <c r="L14" s="234"/>
    </row>
    <row r="15" spans="1:12">
      <c r="A15" s="111">
        <f>A14+1</f>
        <v>3</v>
      </c>
      <c r="B15" s="243" t="s">
        <v>1525</v>
      </c>
      <c r="C15" s="243"/>
      <c r="D15" s="243"/>
      <c r="E15" s="243"/>
      <c r="F15" s="243"/>
      <c r="G15" s="478" t="s">
        <v>222</v>
      </c>
      <c r="H15" s="478" t="s">
        <v>222</v>
      </c>
      <c r="I15" s="478" t="s">
        <v>222</v>
      </c>
      <c r="J15" s="234"/>
      <c r="K15" s="234"/>
      <c r="L15" s="234"/>
    </row>
    <row r="16" spans="1:12">
      <c r="A16" s="2">
        <f>A15+1</f>
        <v>4</v>
      </c>
      <c r="B16" s="243" t="s">
        <v>1352</v>
      </c>
      <c r="C16" s="243"/>
      <c r="D16" s="243"/>
      <c r="E16" s="243"/>
      <c r="F16" s="243"/>
      <c r="G16" s="478" t="s">
        <v>222</v>
      </c>
      <c r="H16" s="478" t="s">
        <v>222</v>
      </c>
      <c r="I16" s="478" t="s">
        <v>224</v>
      </c>
      <c r="J16" s="234"/>
      <c r="K16" s="234"/>
      <c r="L16" s="234"/>
    </row>
    <row r="17" spans="1:12">
      <c r="A17" s="2">
        <f>A16+1</f>
        <v>5</v>
      </c>
      <c r="B17" s="243" t="s">
        <v>1353</v>
      </c>
      <c r="C17" s="243"/>
      <c r="D17" s="243"/>
      <c r="E17" s="243"/>
      <c r="F17" s="243"/>
      <c r="G17" s="478" t="s">
        <v>224</v>
      </c>
      <c r="H17" s="478" t="s">
        <v>222</v>
      </c>
      <c r="I17" s="478" t="s">
        <v>224</v>
      </c>
      <c r="J17" s="234"/>
      <c r="K17" s="234"/>
      <c r="L17" s="234"/>
    </row>
    <row r="18" spans="1:12">
      <c r="A18" s="111">
        <f>A17+1</f>
        <v>6</v>
      </c>
      <c r="B18" s="243" t="s">
        <v>2372</v>
      </c>
      <c r="C18" s="243"/>
      <c r="D18" s="243"/>
      <c r="E18" s="243"/>
      <c r="F18" s="243"/>
      <c r="G18" s="478" t="s">
        <v>224</v>
      </c>
      <c r="H18" s="478" t="s">
        <v>222</v>
      </c>
      <c r="I18" s="478" t="s">
        <v>224</v>
      </c>
      <c r="J18" s="234"/>
      <c r="K18" s="234"/>
      <c r="L18" s="234"/>
    </row>
    <row r="19" spans="1:12">
      <c r="A19" s="234"/>
      <c r="B19" s="234"/>
      <c r="C19" s="479"/>
      <c r="D19" s="243"/>
      <c r="E19" s="243"/>
      <c r="F19" s="243"/>
      <c r="G19" s="234"/>
      <c r="H19" s="234"/>
      <c r="I19" s="234"/>
      <c r="J19" s="234"/>
      <c r="K19" s="234"/>
      <c r="L19" s="234"/>
    </row>
    <row r="20" spans="1:12">
      <c r="A20" s="234"/>
      <c r="B20" s="416" t="s">
        <v>1354</v>
      </c>
      <c r="C20" s="381"/>
      <c r="D20" s="243"/>
      <c r="E20" s="243"/>
      <c r="F20" s="243"/>
      <c r="G20" s="234"/>
      <c r="H20" s="234"/>
      <c r="I20" s="234"/>
      <c r="J20" s="234"/>
      <c r="K20" s="234"/>
      <c r="L20" s="234"/>
    </row>
    <row r="21" spans="1:12">
      <c r="A21" s="234"/>
      <c r="B21" s="416"/>
      <c r="C21" s="381"/>
      <c r="D21" s="243"/>
      <c r="E21" s="243"/>
      <c r="F21" s="243"/>
      <c r="G21" s="234"/>
      <c r="H21" s="234"/>
      <c r="I21" s="234"/>
      <c r="J21" s="234"/>
      <c r="K21" s="234"/>
      <c r="L21" s="234"/>
    </row>
    <row r="22" spans="1:12">
      <c r="A22" s="234"/>
      <c r="B22" s="480" t="s">
        <v>1355</v>
      </c>
      <c r="C22" s="383"/>
      <c r="D22" s="243"/>
      <c r="E22" s="243"/>
      <c r="F22" s="243"/>
      <c r="G22" s="234"/>
      <c r="H22" s="234"/>
      <c r="I22" s="234"/>
      <c r="J22" s="234"/>
      <c r="K22" s="234"/>
      <c r="L22" s="234"/>
    </row>
    <row r="23" spans="1:12">
      <c r="A23" s="234"/>
      <c r="B23" s="249" t="s">
        <v>2382</v>
      </c>
      <c r="C23" s="383"/>
      <c r="D23" s="243"/>
      <c r="E23" s="243"/>
      <c r="F23" s="243"/>
      <c r="G23" s="234"/>
      <c r="H23" s="234"/>
      <c r="I23" s="234"/>
      <c r="J23" s="234"/>
      <c r="K23" s="234"/>
      <c r="L23" s="234"/>
    </row>
    <row r="24" spans="1:12">
      <c r="A24" s="234"/>
      <c r="B24" s="249" t="s">
        <v>1356</v>
      </c>
      <c r="C24" s="234"/>
      <c r="D24" s="234"/>
      <c r="E24" s="234"/>
      <c r="F24" s="234"/>
      <c r="G24" s="234"/>
      <c r="H24" s="234"/>
      <c r="I24" s="234"/>
      <c r="J24" s="234"/>
      <c r="K24" s="234"/>
      <c r="L24" s="234"/>
    </row>
    <row r="25" spans="1:12">
      <c r="A25" s="234"/>
      <c r="B25" s="234"/>
      <c r="C25" s="234"/>
      <c r="D25" s="234"/>
      <c r="E25" s="234"/>
      <c r="F25" s="234"/>
      <c r="G25" s="234"/>
      <c r="H25" s="84" t="s">
        <v>363</v>
      </c>
      <c r="I25" s="84" t="s">
        <v>347</v>
      </c>
      <c r="J25" s="234"/>
      <c r="K25" s="234"/>
      <c r="L25" s="234"/>
    </row>
    <row r="26" spans="1:12">
      <c r="A26" s="234"/>
      <c r="B26" s="234"/>
      <c r="C26" s="234"/>
      <c r="D26" s="234"/>
      <c r="E26" s="234"/>
      <c r="F26" s="234"/>
      <c r="G26" s="234"/>
      <c r="H26" s="481" t="s">
        <v>1357</v>
      </c>
      <c r="I26" s="234"/>
      <c r="J26" s="234"/>
      <c r="K26" s="234"/>
      <c r="L26" s="234"/>
    </row>
    <row r="27" spans="1:12">
      <c r="A27" s="234"/>
      <c r="B27" s="234"/>
      <c r="C27" s="234"/>
      <c r="D27" s="234"/>
      <c r="E27" s="234"/>
      <c r="F27" s="234"/>
      <c r="G27" s="234"/>
      <c r="H27" s="481" t="s">
        <v>290</v>
      </c>
      <c r="I27" s="237" t="s">
        <v>1358</v>
      </c>
      <c r="J27" s="234"/>
      <c r="K27" s="234"/>
      <c r="L27" s="234"/>
    </row>
    <row r="28" spans="1:12">
      <c r="A28" s="234"/>
      <c r="B28" s="234"/>
      <c r="C28" s="234"/>
      <c r="D28" s="234"/>
      <c r="E28" s="234"/>
      <c r="F28" s="234"/>
      <c r="G28" s="26" t="s">
        <v>194</v>
      </c>
      <c r="H28" s="237" t="s">
        <v>1359</v>
      </c>
      <c r="I28" s="237" t="s">
        <v>1360</v>
      </c>
      <c r="J28" s="234"/>
      <c r="K28" s="234"/>
      <c r="L28" s="234"/>
    </row>
    <row r="29" spans="1:12" ht="15">
      <c r="A29" s="51"/>
      <c r="B29" s="234"/>
      <c r="C29" s="234"/>
      <c r="D29" s="234"/>
      <c r="E29" s="234"/>
      <c r="F29" s="234"/>
      <c r="G29" s="25" t="s">
        <v>179</v>
      </c>
      <c r="H29" s="482" t="s">
        <v>1361</v>
      </c>
      <c r="I29" s="246" t="s">
        <v>1348</v>
      </c>
      <c r="J29" s="373"/>
      <c r="K29" s="234"/>
      <c r="L29" s="234"/>
    </row>
    <row r="30" spans="1:12">
      <c r="A30" s="111">
        <f>A18+1</f>
        <v>7</v>
      </c>
      <c r="B30" s="243"/>
      <c r="C30" s="243" t="s">
        <v>1362</v>
      </c>
      <c r="D30" s="243"/>
      <c r="E30" s="243"/>
      <c r="F30" s="243"/>
      <c r="G30" s="46" t="s">
        <v>1363</v>
      </c>
      <c r="H30" s="238">
        <v>31556000</v>
      </c>
      <c r="I30" s="236">
        <v>-2176300</v>
      </c>
      <c r="J30" s="234"/>
      <c r="K30" s="234"/>
      <c r="L30" s="234"/>
    </row>
    <row r="31" spans="1:12">
      <c r="A31" s="111">
        <f>A30+1</f>
        <v>8</v>
      </c>
      <c r="B31" s="243"/>
      <c r="C31" s="243" t="s">
        <v>1364</v>
      </c>
      <c r="D31" s="243"/>
      <c r="E31" s="243"/>
      <c r="F31" s="243"/>
      <c r="G31" s="46" t="s">
        <v>1363</v>
      </c>
      <c r="H31" s="236">
        <v>-35044000</v>
      </c>
      <c r="I31" s="236">
        <v>2503000</v>
      </c>
      <c r="J31" s="234"/>
      <c r="K31" s="234"/>
      <c r="L31" s="234"/>
    </row>
    <row r="32" spans="1:12">
      <c r="A32" s="111">
        <f>A31+1</f>
        <v>9</v>
      </c>
      <c r="B32" s="243"/>
      <c r="C32" s="243" t="s">
        <v>1526</v>
      </c>
      <c r="D32" s="243"/>
      <c r="E32" s="243"/>
      <c r="F32" s="243"/>
      <c r="G32" s="46" t="s">
        <v>1363</v>
      </c>
      <c r="H32" s="238">
        <v>-624650</v>
      </c>
      <c r="I32" s="238">
        <v>43100</v>
      </c>
      <c r="J32" s="234"/>
      <c r="K32" s="234"/>
      <c r="L32" s="234"/>
    </row>
    <row r="33" spans="1:12">
      <c r="A33" s="111">
        <f>A32+1</f>
        <v>10</v>
      </c>
      <c r="B33" s="243"/>
      <c r="C33" s="243" t="s">
        <v>1365</v>
      </c>
      <c r="D33" s="243"/>
      <c r="E33" s="243"/>
      <c r="F33" s="243"/>
      <c r="G33" s="46" t="s">
        <v>1363</v>
      </c>
      <c r="H33" s="372">
        <v>-7410000</v>
      </c>
      <c r="I33" s="483">
        <v>511200</v>
      </c>
      <c r="J33" s="234"/>
      <c r="K33" s="234"/>
      <c r="L33" s="234"/>
    </row>
    <row r="34" spans="1:12">
      <c r="A34" s="111">
        <f>A33+1</f>
        <v>11</v>
      </c>
      <c r="B34" s="243"/>
      <c r="C34" s="243"/>
      <c r="D34" s="243"/>
      <c r="E34" s="243"/>
      <c r="F34" s="14"/>
      <c r="G34" s="986" t="s">
        <v>197</v>
      </c>
      <c r="H34" s="236">
        <f>SUM(H30:H33)</f>
        <v>-11522650</v>
      </c>
      <c r="I34" s="236">
        <f>SUM(I30:I33)</f>
        <v>881000</v>
      </c>
      <c r="J34" s="234"/>
      <c r="K34" s="234"/>
      <c r="L34" s="234"/>
    </row>
    <row r="35" spans="1:12">
      <c r="A35" s="111"/>
      <c r="B35" s="243"/>
      <c r="C35" s="243"/>
      <c r="D35" s="243"/>
      <c r="E35" s="243"/>
      <c r="F35" s="14"/>
      <c r="G35" s="986"/>
      <c r="H35" s="236"/>
      <c r="I35" s="236"/>
      <c r="J35" s="234"/>
      <c r="K35" s="234"/>
      <c r="L35" s="234"/>
    </row>
    <row r="36" spans="1:12">
      <c r="A36" s="111"/>
      <c r="B36" s="1042" t="s">
        <v>1366</v>
      </c>
      <c r="C36" s="243"/>
      <c r="D36" s="243"/>
      <c r="E36" s="243"/>
      <c r="F36" s="14"/>
      <c r="G36" s="986"/>
      <c r="H36" s="236"/>
      <c r="I36" s="236"/>
      <c r="J36" s="234"/>
      <c r="K36" s="234"/>
      <c r="L36" s="234"/>
    </row>
    <row r="37" spans="1:12">
      <c r="A37" s="111"/>
      <c r="B37" s="488" t="s">
        <v>1645</v>
      </c>
      <c r="C37" s="243"/>
      <c r="D37" s="243"/>
      <c r="E37" s="243"/>
      <c r="F37" s="14"/>
      <c r="G37" s="986"/>
      <c r="H37" s="236"/>
      <c r="I37" s="236"/>
      <c r="J37" s="234"/>
      <c r="K37" s="234"/>
      <c r="L37" s="234"/>
    </row>
    <row r="38" spans="1:12">
      <c r="A38" s="111"/>
      <c r="B38" s="488" t="s">
        <v>1367</v>
      </c>
      <c r="C38" s="243"/>
      <c r="D38" s="243"/>
      <c r="E38" s="243"/>
      <c r="F38" s="14"/>
      <c r="G38" s="986"/>
      <c r="H38" s="236"/>
      <c r="I38" s="236"/>
      <c r="J38" s="234"/>
      <c r="K38" s="234"/>
      <c r="L38" s="234"/>
    </row>
    <row r="39" spans="1:12">
      <c r="A39" s="476"/>
      <c r="B39" s="243"/>
      <c r="C39" s="243"/>
      <c r="D39" s="243"/>
      <c r="E39" s="243"/>
      <c r="F39" s="243"/>
      <c r="G39" s="447" t="s">
        <v>194</v>
      </c>
      <c r="H39" s="234"/>
      <c r="I39" s="234"/>
      <c r="J39" s="234"/>
      <c r="K39" s="234"/>
      <c r="L39" s="234"/>
    </row>
    <row r="40" spans="1:12">
      <c r="A40" s="476"/>
      <c r="B40" s="1043"/>
      <c r="C40" s="381"/>
      <c r="D40" s="243"/>
      <c r="E40" s="243"/>
      <c r="F40" s="243"/>
      <c r="G40" s="29" t="s">
        <v>179</v>
      </c>
      <c r="H40" s="3" t="s">
        <v>171</v>
      </c>
      <c r="I40" s="485" t="s">
        <v>1368</v>
      </c>
      <c r="J40" s="234"/>
      <c r="K40" s="234"/>
      <c r="L40" s="234"/>
    </row>
    <row r="41" spans="1:12">
      <c r="A41" s="111">
        <f>A34+1</f>
        <v>12</v>
      </c>
      <c r="B41" s="488" t="s">
        <v>1369</v>
      </c>
      <c r="C41" s="243"/>
      <c r="D41" s="243"/>
      <c r="E41" s="243"/>
      <c r="F41" s="243"/>
      <c r="G41" s="488" t="str">
        <f>"2-IFPTRR Line "&amp;'2-IFPTRR'!A25&amp;""</f>
        <v>2-IFPTRR Line 16</v>
      </c>
      <c r="H41" s="371">
        <f>'2-IFPTRR'!D25</f>
        <v>0.12112874390909067</v>
      </c>
      <c r="I41" s="251">
        <v>1</v>
      </c>
      <c r="J41" s="234"/>
      <c r="K41" s="234"/>
      <c r="L41" s="234"/>
    </row>
    <row r="42" spans="1:12">
      <c r="A42" s="111">
        <f>A41+1</f>
        <v>13</v>
      </c>
      <c r="B42" s="488" t="s">
        <v>63</v>
      </c>
      <c r="C42" s="243"/>
      <c r="D42" s="243"/>
      <c r="E42" s="243"/>
      <c r="F42" s="243"/>
      <c r="G42" s="488"/>
      <c r="H42" s="486">
        <v>2016</v>
      </c>
      <c r="I42" s="251">
        <v>2</v>
      </c>
      <c r="J42" s="234"/>
      <c r="K42" s="234"/>
      <c r="L42" s="234"/>
    </row>
    <row r="43" spans="1:12">
      <c r="A43" s="111">
        <f>A42+1</f>
        <v>14</v>
      </c>
      <c r="B43" s="488" t="s">
        <v>1370</v>
      </c>
      <c r="C43" s="243"/>
      <c r="D43" s="243"/>
      <c r="E43" s="243"/>
      <c r="F43" s="243"/>
      <c r="G43" s="238"/>
      <c r="H43" s="236">
        <f>H34+ (I34*(H42-2010))</f>
        <v>-6236650</v>
      </c>
      <c r="I43" s="251">
        <v>3</v>
      </c>
      <c r="J43" s="234"/>
      <c r="K43" s="234"/>
      <c r="L43" s="234"/>
    </row>
    <row r="44" spans="1:12">
      <c r="A44" s="111">
        <f>A43+1</f>
        <v>15</v>
      </c>
      <c r="B44" s="488" t="s">
        <v>1371</v>
      </c>
      <c r="C44" s="381"/>
      <c r="D44" s="243"/>
      <c r="E44" s="243"/>
      <c r="F44" s="243"/>
      <c r="G44" s="46" t="str">
        <f>"Line "&amp;A43&amp;" * Line "&amp;A41&amp;""</f>
        <v>Line 14 * Line 12</v>
      </c>
      <c r="H44" s="236">
        <f xml:space="preserve"> H43*H41</f>
        <v>-755437.58070063032</v>
      </c>
      <c r="I44" s="234"/>
      <c r="J44" s="234"/>
      <c r="K44" s="234"/>
      <c r="L44" s="234"/>
    </row>
    <row r="45" spans="1:12">
      <c r="A45" s="14"/>
      <c r="B45" s="14"/>
      <c r="C45" s="14"/>
      <c r="D45" s="14"/>
      <c r="E45" s="14"/>
      <c r="F45" s="14"/>
      <c r="G45" s="14"/>
      <c r="L45" s="234"/>
    </row>
    <row r="46" spans="1:12">
      <c r="B46" s="416" t="s">
        <v>1531</v>
      </c>
      <c r="L46" s="234"/>
    </row>
    <row r="47" spans="1:12">
      <c r="L47" s="234"/>
    </row>
    <row r="48" spans="1:12">
      <c r="B48" s="234" t="str">
        <f>"The annual Wholesale Expense Difference impact is the negative of amounts stated in Lines "&amp;A30&amp;" to "&amp;A33&amp;" above, Column 2."</f>
        <v>The annual Wholesale Expense Difference impact is the negative of amounts stated in Lines 7 to 10 above, Column 2.</v>
      </c>
      <c r="L48" s="234"/>
    </row>
    <row r="49" spans="1:12">
      <c r="B49" s="234" t="s">
        <v>1398</v>
      </c>
      <c r="L49" s="234"/>
    </row>
    <row r="50" spans="1:12">
      <c r="A50" s="234"/>
      <c r="B50" s="234" t="s">
        <v>1646</v>
      </c>
      <c r="C50" s="234"/>
      <c r="D50" s="234"/>
      <c r="E50" s="234"/>
      <c r="F50" s="234"/>
      <c r="G50" s="234"/>
      <c r="H50" s="234"/>
      <c r="I50" s="234"/>
      <c r="J50" s="234"/>
      <c r="K50" s="234"/>
      <c r="L50" s="234"/>
    </row>
    <row r="52" spans="1:12">
      <c r="A52" s="234"/>
      <c r="B52" s="70" t="s">
        <v>1372</v>
      </c>
      <c r="C52" s="234"/>
      <c r="D52" s="234"/>
      <c r="E52" s="234"/>
      <c r="F52" s="234"/>
      <c r="G52" s="234"/>
      <c r="H52" s="234"/>
      <c r="I52" s="234"/>
      <c r="J52" s="234"/>
      <c r="K52" s="234"/>
      <c r="L52" s="234"/>
    </row>
    <row r="53" spans="1:12">
      <c r="A53" s="234"/>
      <c r="B53" s="234"/>
      <c r="C53" s="234"/>
      <c r="D53" s="234"/>
      <c r="E53" s="234"/>
      <c r="F53" s="234"/>
      <c r="G53" s="26"/>
      <c r="H53" s="234"/>
      <c r="I53" s="234"/>
      <c r="J53" s="234"/>
      <c r="K53" s="234"/>
      <c r="L53" s="234"/>
    </row>
    <row r="54" spans="1:12">
      <c r="B54" s="234"/>
      <c r="C54" s="234"/>
      <c r="D54" s="234"/>
      <c r="E54" s="234"/>
      <c r="F54" s="234"/>
      <c r="G54" s="25" t="s">
        <v>179</v>
      </c>
      <c r="H54" s="3" t="s">
        <v>171</v>
      </c>
      <c r="I54" s="234"/>
      <c r="J54" s="373"/>
      <c r="K54" s="234"/>
      <c r="L54" s="234"/>
    </row>
    <row r="55" spans="1:12">
      <c r="A55" s="111">
        <f>A44+1</f>
        <v>16</v>
      </c>
      <c r="B55" s="488" t="s">
        <v>1373</v>
      </c>
      <c r="C55" s="243"/>
      <c r="D55" s="243"/>
      <c r="E55" s="243"/>
      <c r="F55" s="243"/>
      <c r="G55" s="46" t="str">
        <f>"Line "&amp;A31&amp;""</f>
        <v>Line 8</v>
      </c>
      <c r="H55" s="236">
        <f>I31</f>
        <v>2503000</v>
      </c>
      <c r="I55" s="234"/>
      <c r="J55" s="234"/>
      <c r="K55" s="234"/>
      <c r="L55" s="234"/>
    </row>
    <row r="56" spans="1:12">
      <c r="A56" s="111">
        <f>A55+1</f>
        <v>17</v>
      </c>
      <c r="B56" s="46" t="s">
        <v>292</v>
      </c>
      <c r="C56" s="243"/>
      <c r="D56" s="243"/>
      <c r="E56" s="243"/>
      <c r="F56" s="243"/>
      <c r="G56" s="488" t="str">
        <f>"1-BaseTRR L "&amp;'1-BaseTRR'!A102&amp;""</f>
        <v>1-BaseTRR L 59</v>
      </c>
      <c r="H56" s="413">
        <f>'1-BaseTRR'!K102</f>
        <v>0.40745999999999999</v>
      </c>
      <c r="I56" s="234"/>
      <c r="J56" s="234"/>
      <c r="K56" s="234"/>
      <c r="L56" s="234"/>
    </row>
    <row r="57" spans="1:12">
      <c r="A57" s="111">
        <f>A56+1</f>
        <v>18</v>
      </c>
      <c r="B57" s="46" t="s">
        <v>1397</v>
      </c>
      <c r="C57" s="243"/>
      <c r="D57" s="243"/>
      <c r="E57" s="243"/>
      <c r="F57" s="243"/>
      <c r="G57" s="69" t="s">
        <v>291</v>
      </c>
      <c r="H57" s="487">
        <f>1/(1-H56)</f>
        <v>1.6876497789178788</v>
      </c>
      <c r="I57" s="234"/>
      <c r="J57" s="234"/>
      <c r="K57" s="234"/>
      <c r="L57" s="234"/>
    </row>
    <row r="58" spans="1:12">
      <c r="A58" s="111">
        <f>A57+1</f>
        <v>19</v>
      </c>
      <c r="B58" s="46" t="s">
        <v>334</v>
      </c>
      <c r="C58" s="243"/>
      <c r="D58" s="243"/>
      <c r="E58" s="243"/>
      <c r="F58" s="243"/>
      <c r="G58" s="243"/>
      <c r="H58" s="234"/>
      <c r="I58" s="234"/>
      <c r="J58" s="234"/>
      <c r="K58" s="234"/>
      <c r="L58" s="234"/>
    </row>
    <row r="59" spans="1:12">
      <c r="A59" s="111">
        <f>A58+1</f>
        <v>20</v>
      </c>
      <c r="B59" s="46" t="s">
        <v>333</v>
      </c>
      <c r="C59" s="243"/>
      <c r="D59" s="243"/>
      <c r="E59" s="243"/>
      <c r="F59" s="243"/>
      <c r="G59" s="46" t="str">
        <f>"- Line "&amp;A55&amp;" * Line "&amp;A57&amp;""</f>
        <v>- Line 16 * Line 18</v>
      </c>
      <c r="H59" s="236">
        <f>-H57*H55</f>
        <v>-4224187.3966314504</v>
      </c>
      <c r="I59" s="234"/>
      <c r="J59" s="234"/>
      <c r="K59" s="234"/>
      <c r="L59" s="234"/>
    </row>
    <row r="60" spans="1:12">
      <c r="A60" s="14"/>
      <c r="B60" s="14"/>
      <c r="C60" s="14"/>
      <c r="D60" s="14"/>
      <c r="E60" s="14"/>
      <c r="F60" s="14"/>
      <c r="G60" s="14"/>
    </row>
    <row r="61" spans="1:12">
      <c r="A61" s="14"/>
      <c r="B61" s="1044" t="s">
        <v>1528</v>
      </c>
      <c r="C61" s="14"/>
      <c r="D61" s="14"/>
      <c r="E61" s="14"/>
      <c r="F61" s="14"/>
      <c r="G61" s="14"/>
    </row>
    <row r="62" spans="1:12">
      <c r="A62" s="14"/>
      <c r="B62" s="14"/>
      <c r="C62" s="14"/>
      <c r="D62" s="14"/>
      <c r="E62" s="14"/>
      <c r="F62" s="14"/>
      <c r="G62" s="14"/>
    </row>
    <row r="63" spans="1:12">
      <c r="A63" s="14"/>
      <c r="B63" s="14"/>
      <c r="C63" s="14"/>
      <c r="D63" s="14"/>
      <c r="E63" s="14"/>
      <c r="F63" s="14"/>
      <c r="G63" s="29" t="s">
        <v>179</v>
      </c>
      <c r="H63" s="3" t="s">
        <v>171</v>
      </c>
    </row>
    <row r="64" spans="1:12">
      <c r="A64" s="111">
        <f>A59+1</f>
        <v>21</v>
      </c>
      <c r="B64" s="488" t="s">
        <v>1527</v>
      </c>
      <c r="C64" s="14"/>
      <c r="D64" s="14"/>
      <c r="E64" s="14"/>
      <c r="F64" s="14"/>
      <c r="G64" s="46" t="str">
        <f>"Line "&amp;A32&amp;""</f>
        <v>Line 9</v>
      </c>
      <c r="H64" s="7">
        <f>I32</f>
        <v>43100</v>
      </c>
    </row>
    <row r="65" spans="1:12">
      <c r="A65" s="111">
        <f>A64+1</f>
        <v>22</v>
      </c>
      <c r="B65" s="46" t="s">
        <v>1397</v>
      </c>
      <c r="C65" s="243"/>
      <c r="D65" s="243"/>
      <c r="E65" s="243"/>
      <c r="F65" s="243"/>
      <c r="G65" s="46" t="str">
        <f>"Line "&amp;A57&amp;""</f>
        <v>Line 18</v>
      </c>
      <c r="H65" s="487">
        <f>H57</f>
        <v>1.6876497789178788</v>
      </c>
    </row>
    <row r="66" spans="1:12">
      <c r="A66" s="111">
        <f>A65+1</f>
        <v>23</v>
      </c>
      <c r="B66" s="488" t="s">
        <v>1529</v>
      </c>
      <c r="C66" s="14"/>
      <c r="D66" s="14"/>
      <c r="E66" s="14"/>
      <c r="F66" s="14"/>
      <c r="G66" s="46" t="str">
        <f>"- Line "&amp;A64&amp;" * Line "&amp;A65&amp;""</f>
        <v>- Line 21 * Line 22</v>
      </c>
      <c r="H66" s="7">
        <f>-H64*H65</f>
        <v>-72737.705471360576</v>
      </c>
    </row>
    <row r="67" spans="1:12">
      <c r="A67" s="111">
        <f t="shared" ref="A67:A74" si="0">A66+1</f>
        <v>24</v>
      </c>
      <c r="B67" s="488"/>
      <c r="C67" s="14"/>
      <c r="D67" s="14"/>
      <c r="E67" s="14"/>
      <c r="F67" s="14"/>
      <c r="G67" s="46"/>
      <c r="H67" s="7"/>
    </row>
    <row r="68" spans="1:12">
      <c r="A68" s="111">
        <f t="shared" si="0"/>
        <v>25</v>
      </c>
      <c r="B68" s="1044" t="s">
        <v>2373</v>
      </c>
      <c r="C68" s="14"/>
      <c r="D68" s="14"/>
      <c r="E68" s="14"/>
      <c r="F68" s="14"/>
      <c r="G68" s="46"/>
      <c r="H68" s="7"/>
    </row>
    <row r="69" spans="1:12">
      <c r="A69" s="111">
        <f t="shared" si="0"/>
        <v>26</v>
      </c>
      <c r="B69" s="488"/>
      <c r="C69" s="14"/>
      <c r="D69" s="14"/>
      <c r="E69" s="14"/>
      <c r="F69" s="14"/>
      <c r="G69" s="29" t="s">
        <v>179</v>
      </c>
      <c r="H69" s="7"/>
      <c r="I69" s="586" t="s">
        <v>1368</v>
      </c>
    </row>
    <row r="70" spans="1:12">
      <c r="A70" s="111">
        <f t="shared" si="0"/>
        <v>27</v>
      </c>
      <c r="B70" s="488" t="s">
        <v>2374</v>
      </c>
      <c r="C70" s="14"/>
      <c r="D70" s="14"/>
      <c r="E70" s="14"/>
      <c r="F70" s="14"/>
      <c r="G70" s="502" t="s">
        <v>33</v>
      </c>
      <c r="H70" s="1136">
        <v>0</v>
      </c>
      <c r="I70" s="502" t="s">
        <v>1191</v>
      </c>
    </row>
    <row r="71" spans="1:12">
      <c r="A71" s="111">
        <f t="shared" si="0"/>
        <v>28</v>
      </c>
      <c r="B71" s="488" t="s">
        <v>2375</v>
      </c>
      <c r="C71" s="14"/>
      <c r="D71" s="14"/>
      <c r="E71" s="14"/>
      <c r="F71" s="14"/>
      <c r="G71" s="502" t="s">
        <v>33</v>
      </c>
      <c r="H71" s="1136">
        <v>1604261</v>
      </c>
      <c r="I71" s="16" t="s">
        <v>1191</v>
      </c>
    </row>
    <row r="72" spans="1:12">
      <c r="A72" s="111">
        <f t="shared" si="0"/>
        <v>29</v>
      </c>
      <c r="B72" s="488" t="s">
        <v>2376</v>
      </c>
      <c r="C72" s="14"/>
      <c r="D72" s="14"/>
      <c r="E72" s="14"/>
      <c r="F72" s="14"/>
      <c r="G72" s="976" t="str">
        <f>"Line "&amp;A70&amp;" + "&amp;A71&amp;""</f>
        <v>Line 27 + 28</v>
      </c>
      <c r="H72" s="1045">
        <f>SUM(H70:H71)</f>
        <v>1604261</v>
      </c>
    </row>
    <row r="73" spans="1:12">
      <c r="A73" s="111">
        <f t="shared" si="0"/>
        <v>30</v>
      </c>
      <c r="B73" s="488" t="s">
        <v>93</v>
      </c>
      <c r="C73" s="14"/>
      <c r="D73" s="14"/>
      <c r="E73" s="14"/>
      <c r="F73" s="14"/>
      <c r="G73" s="488" t="str">
        <f>"27-Allocators, Line "&amp;'27-Allocators'!A14&amp;""</f>
        <v>27-Allocators, Line 9</v>
      </c>
      <c r="H73" s="49">
        <f>'27-Allocators'!G14</f>
        <v>6.1650013139118928E-2</v>
      </c>
    </row>
    <row r="74" spans="1:12">
      <c r="A74" s="111">
        <f t="shared" si="0"/>
        <v>31</v>
      </c>
      <c r="B74" s="488" t="s">
        <v>2377</v>
      </c>
      <c r="C74" s="14"/>
      <c r="D74" s="14"/>
      <c r="E74" s="14"/>
      <c r="F74" s="14"/>
      <c r="G74" s="976" t="str">
        <f>"Line "&amp;A72&amp;" * "&amp;A73&amp;""</f>
        <v>Line 29 * 30</v>
      </c>
      <c r="H74" s="63">
        <f>H72*H73</f>
        <v>98902.711728576076</v>
      </c>
    </row>
    <row r="76" spans="1:12">
      <c r="A76" s="243"/>
      <c r="B76" s="1042" t="s">
        <v>1846</v>
      </c>
      <c r="C76" s="243"/>
      <c r="D76" s="243"/>
      <c r="E76" s="243"/>
      <c r="F76" s="243"/>
      <c r="G76" s="243"/>
      <c r="H76" s="243"/>
      <c r="I76" s="485" t="s">
        <v>1368</v>
      </c>
      <c r="J76" s="234"/>
      <c r="K76" s="234"/>
      <c r="L76" s="234"/>
    </row>
    <row r="77" spans="1:12">
      <c r="A77" s="111">
        <f>A74+1</f>
        <v>32</v>
      </c>
      <c r="B77" s="479" t="s">
        <v>1548</v>
      </c>
      <c r="C77" s="243"/>
      <c r="D77" s="243"/>
      <c r="E77" s="243"/>
      <c r="F77" s="243"/>
      <c r="G77" s="488" t="str">
        <f>" - Line "&amp;A30&amp;", Col. 2"</f>
        <v xml:space="preserve"> - Line 7, Col. 2</v>
      </c>
      <c r="H77" s="238">
        <f>-I30</f>
        <v>2176300</v>
      </c>
      <c r="I77" s="234"/>
      <c r="J77" s="234"/>
      <c r="K77" s="234"/>
      <c r="L77" s="234"/>
    </row>
    <row r="78" spans="1:12">
      <c r="A78" s="111">
        <f>A77+1</f>
        <v>33</v>
      </c>
      <c r="B78" s="479" t="s">
        <v>1364</v>
      </c>
      <c r="C78" s="243"/>
      <c r="D78" s="243"/>
      <c r="E78" s="243"/>
      <c r="F78" s="243"/>
      <c r="G78" s="488" t="str">
        <f>"Line "&amp;A59&amp;""</f>
        <v>Line 20</v>
      </c>
      <c r="H78" s="238">
        <f>H59</f>
        <v>-4224187.3966314504</v>
      </c>
      <c r="I78" s="234"/>
      <c r="J78" s="234"/>
      <c r="K78" s="234"/>
      <c r="L78" s="234"/>
    </row>
    <row r="79" spans="1:12">
      <c r="A79" s="111">
        <f>A78+1</f>
        <v>34</v>
      </c>
      <c r="B79" s="479" t="s">
        <v>1526</v>
      </c>
      <c r="C79" s="243"/>
      <c r="D79" s="243"/>
      <c r="E79" s="243"/>
      <c r="F79" s="243"/>
      <c r="G79" s="488" t="str">
        <f>"Line "&amp;A66&amp;""</f>
        <v>Line 23</v>
      </c>
      <c r="H79" s="238">
        <f>H66</f>
        <v>-72737.705471360576</v>
      </c>
      <c r="I79" s="234"/>
      <c r="J79" s="234"/>
      <c r="K79" s="234"/>
      <c r="L79" s="234"/>
    </row>
    <row r="80" spans="1:12">
      <c r="A80" s="111">
        <f>A79+1</f>
        <v>35</v>
      </c>
      <c r="B80" s="479" t="s">
        <v>1365</v>
      </c>
      <c r="C80" s="243"/>
      <c r="D80" s="243"/>
      <c r="E80" s="243"/>
      <c r="F80" s="243"/>
      <c r="G80" s="488" t="str">
        <f>"- Line "&amp;A33&amp;", Col. 2"</f>
        <v>- Line 10, Col. 2</v>
      </c>
      <c r="H80" s="238">
        <f>-I33</f>
        <v>-511200</v>
      </c>
      <c r="I80" s="234"/>
      <c r="J80" s="234"/>
      <c r="K80" s="234"/>
      <c r="L80" s="234"/>
    </row>
    <row r="81" spans="1:12">
      <c r="A81" s="111">
        <f t="shared" ref="A81:A83" si="1">A80+1</f>
        <v>36</v>
      </c>
      <c r="B81" s="479" t="s">
        <v>2378</v>
      </c>
      <c r="C81" s="243"/>
      <c r="D81" s="243"/>
      <c r="E81" s="243"/>
      <c r="F81" s="243"/>
      <c r="G81" s="976" t="str">
        <f>" - Line "&amp;A74&amp;""</f>
        <v xml:space="preserve"> - Line 31</v>
      </c>
      <c r="H81" s="238">
        <f>-H74</f>
        <v>-98902.711728576076</v>
      </c>
      <c r="I81" s="234"/>
      <c r="J81" s="234"/>
      <c r="K81" s="234"/>
      <c r="L81" s="234"/>
    </row>
    <row r="82" spans="1:12" s="1112" customFormat="1">
      <c r="A82" s="111">
        <f t="shared" si="1"/>
        <v>37</v>
      </c>
      <c r="B82" s="972" t="s">
        <v>2379</v>
      </c>
      <c r="C82" s="243"/>
      <c r="D82" s="243"/>
      <c r="E82" s="243"/>
      <c r="F82" s="243"/>
      <c r="G82" s="976"/>
      <c r="H82" s="1154">
        <v>0</v>
      </c>
      <c r="I82" s="249" t="s">
        <v>1192</v>
      </c>
      <c r="J82" s="234"/>
      <c r="K82" s="234"/>
      <c r="L82" s="234"/>
    </row>
    <row r="83" spans="1:12">
      <c r="A83" s="111">
        <f t="shared" si="1"/>
        <v>38</v>
      </c>
      <c r="B83" s="243"/>
      <c r="C83" s="243"/>
      <c r="D83" s="243"/>
      <c r="E83" s="243"/>
      <c r="F83" s="243"/>
      <c r="G83" s="986" t="s">
        <v>1374</v>
      </c>
      <c r="H83" s="238">
        <f>SUM(H77:H82)</f>
        <v>-2730727.8138313871</v>
      </c>
      <c r="I83" s="234"/>
      <c r="J83" s="234"/>
      <c r="K83" s="234"/>
      <c r="L83" s="234"/>
    </row>
    <row r="84" spans="1:12">
      <c r="A84" s="243"/>
      <c r="B84" s="243"/>
      <c r="C84" s="243"/>
      <c r="D84" s="243"/>
      <c r="E84" s="243"/>
      <c r="F84" s="243"/>
      <c r="G84" s="243"/>
      <c r="H84" s="243"/>
      <c r="I84" s="234"/>
      <c r="J84" s="234"/>
      <c r="K84" s="234"/>
      <c r="L84" s="234"/>
    </row>
    <row r="85" spans="1:12">
      <c r="A85" s="243"/>
      <c r="B85" s="1046" t="s">
        <v>1375</v>
      </c>
      <c r="C85" s="243"/>
      <c r="D85" s="243"/>
      <c r="E85" s="243"/>
      <c r="F85" s="243"/>
      <c r="G85" s="243"/>
      <c r="H85" s="243"/>
      <c r="I85" s="234"/>
      <c r="J85" s="234"/>
      <c r="K85" s="234"/>
      <c r="L85" s="234"/>
    </row>
    <row r="86" spans="1:12">
      <c r="A86" s="243"/>
      <c r="B86" s="14"/>
      <c r="C86" s="243"/>
      <c r="D86" s="243"/>
      <c r="E86" s="243"/>
      <c r="F86" s="243"/>
      <c r="G86" s="29" t="s">
        <v>179</v>
      </c>
      <c r="H86" s="125" t="s">
        <v>171</v>
      </c>
      <c r="I86" s="234"/>
      <c r="J86" s="234"/>
      <c r="K86" s="234"/>
      <c r="L86" s="234"/>
    </row>
    <row r="87" spans="1:12">
      <c r="A87" s="111">
        <f>A83+1</f>
        <v>39</v>
      </c>
      <c r="B87" s="975" t="s">
        <v>1371</v>
      </c>
      <c r="C87" s="243"/>
      <c r="D87" s="243"/>
      <c r="E87" s="243"/>
      <c r="F87" s="243"/>
      <c r="G87" s="488" t="str">
        <f>"Line "&amp;A44&amp;""</f>
        <v>Line 15</v>
      </c>
      <c r="H87" s="238">
        <f>H44</f>
        <v>-755437.58070063032</v>
      </c>
      <c r="I87" s="234"/>
      <c r="J87" s="234"/>
      <c r="K87" s="234"/>
      <c r="L87" s="234"/>
    </row>
    <row r="88" spans="1:12">
      <c r="A88" s="111">
        <f>A87+1</f>
        <v>40</v>
      </c>
      <c r="B88" s="243" t="s">
        <v>1376</v>
      </c>
      <c r="C88" s="243"/>
      <c r="D88" s="243"/>
      <c r="E88" s="243"/>
      <c r="F88" s="243"/>
      <c r="G88" s="488" t="str">
        <f>"Line "&amp;A83&amp;""</f>
        <v>Line 38</v>
      </c>
      <c r="H88" s="238">
        <f>H83</f>
        <v>-2730727.8138313871</v>
      </c>
      <c r="I88" s="234"/>
      <c r="J88" s="234"/>
      <c r="K88" s="234"/>
      <c r="L88" s="234"/>
    </row>
    <row r="89" spans="1:12">
      <c r="A89" s="111">
        <f>A88+1</f>
        <v>41</v>
      </c>
      <c r="B89" s="15" t="s">
        <v>1458</v>
      </c>
      <c r="C89" s="243"/>
      <c r="D89" s="243"/>
      <c r="E89" s="243"/>
      <c r="F89" s="243"/>
      <c r="G89" s="488" t="str">
        <f>"- 1-Base TRR, L "&amp;'1-BaseTRR'!A139&amp;""</f>
        <v>- 1-Base TRR, L 80</v>
      </c>
      <c r="H89" s="238">
        <f>-'1-BaseTRR'!K139</f>
        <v>-2617002.7285082825</v>
      </c>
      <c r="I89" s="234"/>
      <c r="J89" s="234"/>
      <c r="K89" s="234"/>
      <c r="L89" s="234"/>
    </row>
    <row r="90" spans="1:12">
      <c r="A90" s="111">
        <f t="shared" ref="A90:A93" si="2">A89+1</f>
        <v>42</v>
      </c>
      <c r="B90" s="15" t="s">
        <v>1459</v>
      </c>
      <c r="C90" s="243"/>
      <c r="D90" s="243"/>
      <c r="E90" s="243"/>
      <c r="F90" s="243"/>
      <c r="G90" s="488" t="str">
        <f>"- 2-IFPTRR, L "&amp;'2-IFPTRR'!A89&amp;""</f>
        <v>- 2-IFPTRR, L 80</v>
      </c>
      <c r="H90" s="483">
        <f>-'2-IFPTRR'!D89</f>
        <v>-260188.6089829359</v>
      </c>
      <c r="I90" s="234"/>
      <c r="J90" s="234"/>
      <c r="K90" s="234"/>
      <c r="L90" s="234"/>
    </row>
    <row r="91" spans="1:12">
      <c r="A91" s="111">
        <f t="shared" si="2"/>
        <v>43</v>
      </c>
      <c r="B91" s="15" t="s">
        <v>97</v>
      </c>
      <c r="C91" s="243"/>
      <c r="D91" s="243"/>
      <c r="E91" s="243"/>
      <c r="F91" s="243"/>
      <c r="G91" s="46" t="str">
        <f>"Sum Line "&amp;A87&amp;" to Line "&amp;A90&amp;""</f>
        <v>Sum Line 39 to Line 42</v>
      </c>
      <c r="H91" s="238">
        <f>SUM(H87:H90)</f>
        <v>-6363356.7320232354</v>
      </c>
      <c r="I91" s="234"/>
      <c r="J91" s="234"/>
      <c r="K91" s="234"/>
      <c r="L91" s="234"/>
    </row>
    <row r="92" spans="1:12">
      <c r="A92" s="111">
        <f t="shared" si="2"/>
        <v>44</v>
      </c>
      <c r="B92" s="15" t="s">
        <v>1383</v>
      </c>
      <c r="C92" s="243"/>
      <c r="D92" s="243"/>
      <c r="E92" s="243"/>
      <c r="F92" s="243"/>
      <c r="G92" s="14"/>
      <c r="H92" s="483">
        <f>'28-FFU'!D22*SUM(H87+H88)</f>
        <v>-32092.592772443397</v>
      </c>
      <c r="I92" s="249" t="s">
        <v>1189</v>
      </c>
      <c r="J92" s="234"/>
      <c r="K92" s="234"/>
      <c r="L92" s="234"/>
    </row>
    <row r="93" spans="1:12">
      <c r="A93" s="111">
        <f t="shared" si="2"/>
        <v>45</v>
      </c>
      <c r="B93" s="14" t="s">
        <v>1377</v>
      </c>
      <c r="C93" s="243"/>
      <c r="D93" s="243"/>
      <c r="E93" s="243"/>
      <c r="F93" s="243"/>
      <c r="G93" s="46" t="str">
        <f>"Line "&amp;A91&amp;" + Line "&amp;A92&amp;""</f>
        <v>Line 43 + Line 44</v>
      </c>
      <c r="H93" s="238">
        <f>H91+H92</f>
        <v>-6395449.3247956792</v>
      </c>
      <c r="I93" s="234"/>
      <c r="J93" s="234"/>
      <c r="K93" s="234"/>
      <c r="L93" s="234"/>
    </row>
    <row r="94" spans="1:12">
      <c r="A94" s="243"/>
      <c r="B94" s="14"/>
      <c r="C94" s="243"/>
      <c r="D94" s="243"/>
      <c r="E94" s="243"/>
      <c r="F94" s="243"/>
      <c r="G94" s="243"/>
      <c r="H94" s="243"/>
      <c r="I94" s="234"/>
      <c r="J94" s="234"/>
      <c r="K94" s="234"/>
      <c r="L94" s="234"/>
    </row>
    <row r="95" spans="1:12">
      <c r="A95" s="243"/>
      <c r="B95" s="993" t="s">
        <v>1378</v>
      </c>
      <c r="C95" s="243"/>
      <c r="D95" s="243"/>
      <c r="E95" s="243"/>
      <c r="F95" s="243"/>
      <c r="G95" s="243"/>
      <c r="H95" s="243"/>
      <c r="I95" s="234"/>
      <c r="J95" s="234"/>
      <c r="K95" s="234"/>
      <c r="L95" s="234"/>
    </row>
    <row r="96" spans="1:12">
      <c r="A96" s="243"/>
      <c r="B96" s="243" t="s">
        <v>1379</v>
      </c>
      <c r="C96" s="243"/>
      <c r="D96" s="243"/>
      <c r="E96" s="243"/>
      <c r="F96" s="243"/>
      <c r="G96" s="243"/>
      <c r="H96" s="243"/>
      <c r="I96" s="234"/>
      <c r="J96" s="234"/>
      <c r="K96" s="234"/>
      <c r="L96" s="234"/>
    </row>
    <row r="97" spans="1:12">
      <c r="A97" s="243"/>
      <c r="B97" s="243" t="s">
        <v>1380</v>
      </c>
      <c r="C97" s="243"/>
      <c r="D97" s="243"/>
      <c r="E97" s="243"/>
      <c r="F97" s="243"/>
      <c r="G97" s="243"/>
      <c r="H97" s="243"/>
      <c r="I97" s="234"/>
      <c r="J97" s="234"/>
      <c r="K97" s="234"/>
      <c r="L97" s="234"/>
    </row>
    <row r="98" spans="1:12">
      <c r="A98" s="243"/>
      <c r="B98" s="243" t="str">
        <f>"2) Input Prior Year for this Informational Filing in Line "&amp;A42&amp;"."</f>
        <v>2) Input Prior Year for this Informational Filing in Line 13.</v>
      </c>
      <c r="C98" s="14"/>
      <c r="D98" s="14"/>
      <c r="E98" s="14"/>
      <c r="F98" s="14"/>
      <c r="G98" s="14"/>
      <c r="H98" s="14"/>
      <c r="I98" s="234"/>
      <c r="J98" s="234"/>
      <c r="K98" s="234"/>
      <c r="L98" s="234"/>
    </row>
    <row r="99" spans="1:12">
      <c r="A99" s="243"/>
      <c r="B99" s="243" t="str">
        <f>"3) Calculation: (Line "&amp;A34&amp;", "&amp;H25&amp;") + ((Line "&amp;A34&amp;", "&amp;I25&amp;") * (Line "&amp;A42&amp;" - 2010))."</f>
        <v>3) Calculation: (Line 11, Col 1) + ((Line 11, Col 2) * (Line 13 - 2010)).</v>
      </c>
      <c r="C99" s="14"/>
      <c r="D99" s="14"/>
      <c r="E99" s="14"/>
      <c r="F99" s="14"/>
      <c r="G99" s="14"/>
      <c r="H99" s="14"/>
      <c r="I99" s="234"/>
      <c r="J99" s="234"/>
      <c r="K99" s="234"/>
      <c r="L99" s="234"/>
    </row>
    <row r="100" spans="1:12">
      <c r="A100" s="243"/>
      <c r="B100" s="243" t="str">
        <f>"4) Franchise Fee Exclusion is equal to the Franchise Fee Factor on the 28-FFU Line "&amp;'28-FFU'!A22&amp;""</f>
        <v>4) Franchise Fee Exclusion is equal to the Franchise Fee Factor on the 28-FFU Line 5</v>
      </c>
      <c r="C100" s="243"/>
      <c r="D100" s="243"/>
      <c r="E100" s="243"/>
      <c r="F100" s="243"/>
      <c r="G100" s="243"/>
      <c r="H100" s="243"/>
      <c r="I100" s="234"/>
      <c r="J100" s="234"/>
      <c r="K100" s="234"/>
      <c r="L100" s="234"/>
    </row>
    <row r="101" spans="1:12">
      <c r="A101" s="234"/>
      <c r="B101" s="234" t="str">
        <f>"times Line "&amp;A87&amp;" + "&amp;A88&amp;"."</f>
        <v>times Line 39 + 40.</v>
      </c>
      <c r="C101" s="234"/>
      <c r="D101" s="234"/>
      <c r="E101" s="234"/>
      <c r="F101" s="234"/>
      <c r="G101" s="234"/>
      <c r="H101" s="234"/>
      <c r="I101" s="234"/>
      <c r="J101" s="234"/>
      <c r="K101" s="234"/>
      <c r="L101" s="234"/>
    </row>
    <row r="102" spans="1:12">
      <c r="A102" s="234"/>
      <c r="B102" s="243" t="s">
        <v>2257</v>
      </c>
      <c r="C102" s="243"/>
      <c r="D102" s="243"/>
      <c r="E102" s="243"/>
      <c r="F102" s="243"/>
      <c r="G102" s="234"/>
      <c r="H102" s="234"/>
      <c r="I102" s="234"/>
      <c r="J102" s="234"/>
      <c r="K102" s="234"/>
      <c r="L102" s="234"/>
    </row>
    <row r="103" spans="1:12">
      <c r="A103" s="234"/>
      <c r="B103" s="503" t="s">
        <v>2380</v>
      </c>
      <c r="C103" s="234"/>
      <c r="D103" s="234"/>
      <c r="E103" s="234"/>
      <c r="F103" s="234"/>
      <c r="G103" s="234"/>
      <c r="H103" s="234"/>
      <c r="I103" s="234"/>
      <c r="J103" s="234"/>
      <c r="K103" s="234"/>
      <c r="L103" s="234"/>
    </row>
    <row r="104" spans="1:12">
      <c r="A104" s="234"/>
      <c r="B104" s="234"/>
      <c r="C104" s="234"/>
      <c r="D104" s="234"/>
      <c r="E104" s="234"/>
      <c r="F104" s="234"/>
      <c r="G104" s="234"/>
      <c r="H104" s="234"/>
      <c r="I104" s="234"/>
      <c r="J104" s="234"/>
      <c r="K104" s="234"/>
      <c r="L104" s="234"/>
    </row>
    <row r="105" spans="1:12">
      <c r="A105" s="234"/>
      <c r="B105" s="234"/>
      <c r="C105" s="234"/>
      <c r="D105" s="234"/>
      <c r="E105" s="234"/>
      <c r="F105" s="234"/>
      <c r="G105" s="234"/>
      <c r="H105" s="234"/>
      <c r="I105" s="234"/>
      <c r="J105" s="234"/>
      <c r="K105" s="234"/>
      <c r="L105" s="234"/>
    </row>
    <row r="106" spans="1:12">
      <c r="A106" s="234"/>
      <c r="B106" s="234"/>
      <c r="C106" s="234"/>
      <c r="D106" s="234"/>
      <c r="E106" s="234"/>
      <c r="F106" s="234"/>
      <c r="G106" s="234"/>
      <c r="H106" s="234"/>
      <c r="I106" s="234"/>
      <c r="J106" s="234"/>
      <c r="K106" s="234"/>
      <c r="L106" s="234"/>
    </row>
    <row r="107" spans="1:12">
      <c r="A107" s="234"/>
      <c r="B107" s="234"/>
      <c r="C107" s="234"/>
      <c r="D107" s="234"/>
      <c r="E107" s="234"/>
      <c r="F107" s="234"/>
      <c r="G107" s="234"/>
      <c r="H107" s="234"/>
      <c r="I107" s="234"/>
      <c r="J107" s="234"/>
      <c r="K107" s="234"/>
      <c r="L107" s="234"/>
    </row>
    <row r="108" spans="1:12">
      <c r="A108" s="234"/>
      <c r="B108" s="234"/>
      <c r="C108" s="234"/>
      <c r="D108" s="234"/>
      <c r="E108" s="234"/>
      <c r="F108" s="234"/>
      <c r="G108" s="234"/>
      <c r="H108" s="234"/>
      <c r="I108" s="234"/>
      <c r="J108" s="234"/>
      <c r="K108" s="234"/>
      <c r="L108" s="234"/>
    </row>
    <row r="109" spans="1:12">
      <c r="A109" s="234"/>
      <c r="B109" s="234"/>
      <c r="C109" s="234"/>
      <c r="D109" s="234"/>
      <c r="E109" s="234"/>
      <c r="F109" s="234"/>
      <c r="G109" s="234"/>
      <c r="H109" s="234"/>
      <c r="I109" s="234"/>
      <c r="J109" s="234"/>
      <c r="K109" s="234"/>
      <c r="L109" s="234"/>
    </row>
    <row r="110" spans="1:12">
      <c r="A110" s="234"/>
      <c r="B110" s="234"/>
      <c r="C110" s="234"/>
      <c r="D110" s="234"/>
      <c r="E110" s="234"/>
      <c r="F110" s="234"/>
      <c r="G110" s="234"/>
      <c r="H110" s="234"/>
      <c r="I110" s="234"/>
      <c r="J110" s="234"/>
      <c r="K110" s="234"/>
      <c r="L110" s="234"/>
    </row>
    <row r="111" spans="1:12">
      <c r="A111" s="234"/>
      <c r="B111" s="234"/>
      <c r="C111" s="234"/>
      <c r="D111" s="234"/>
      <c r="E111" s="234"/>
      <c r="F111" s="234"/>
      <c r="G111" s="234"/>
      <c r="H111" s="234"/>
      <c r="I111" s="234"/>
      <c r="J111" s="234"/>
      <c r="K111" s="234"/>
      <c r="L111" s="234"/>
    </row>
    <row r="112" spans="1:12">
      <c r="A112" s="234"/>
      <c r="B112" s="234"/>
      <c r="C112" s="234"/>
      <c r="D112" s="234"/>
      <c r="E112" s="234"/>
      <c r="F112" s="234"/>
      <c r="G112" s="234"/>
      <c r="H112" s="234"/>
      <c r="I112" s="234"/>
      <c r="J112" s="234"/>
      <c r="K112" s="234"/>
      <c r="L112" s="234"/>
    </row>
    <row r="113" spans="1:12">
      <c r="A113" s="234"/>
      <c r="B113" s="234"/>
      <c r="C113" s="234"/>
      <c r="D113" s="234"/>
      <c r="E113" s="234"/>
      <c r="F113" s="234"/>
      <c r="G113" s="234"/>
      <c r="H113" s="234"/>
      <c r="I113" s="234"/>
      <c r="J113" s="234"/>
      <c r="K113" s="234"/>
      <c r="L113" s="234"/>
    </row>
    <row r="114" spans="1:12">
      <c r="A114" s="234"/>
      <c r="B114" s="234"/>
      <c r="C114" s="234"/>
      <c r="D114" s="234"/>
      <c r="E114" s="234"/>
      <c r="F114" s="234"/>
      <c r="G114" s="234"/>
      <c r="H114" s="234"/>
      <c r="I114" s="234"/>
      <c r="J114" s="234"/>
      <c r="K114" s="234"/>
      <c r="L114" s="234"/>
    </row>
    <row r="115" spans="1:12">
      <c r="A115" s="234"/>
      <c r="B115" s="234"/>
      <c r="C115" s="234"/>
      <c r="D115" s="234"/>
      <c r="E115" s="234"/>
      <c r="F115" s="234"/>
      <c r="G115" s="234"/>
      <c r="H115" s="234"/>
      <c r="I115" s="234"/>
      <c r="J115" s="234"/>
      <c r="K115" s="234"/>
      <c r="L115" s="234"/>
    </row>
    <row r="116" spans="1:12">
      <c r="A116" s="234"/>
      <c r="B116" s="234"/>
      <c r="C116" s="234"/>
      <c r="D116" s="234"/>
      <c r="E116" s="234"/>
      <c r="F116" s="234"/>
      <c r="G116" s="234"/>
      <c r="H116" s="234"/>
      <c r="I116" s="234"/>
      <c r="J116" s="234"/>
      <c r="K116" s="234"/>
      <c r="L116" s="234"/>
    </row>
    <row r="117" spans="1:12">
      <c r="A117" s="234"/>
      <c r="B117" s="234"/>
      <c r="C117" s="234"/>
      <c r="D117" s="234"/>
      <c r="E117" s="234"/>
      <c r="F117" s="234"/>
      <c r="G117" s="234"/>
      <c r="H117" s="234"/>
      <c r="I117" s="234"/>
      <c r="J117" s="234"/>
      <c r="K117" s="234"/>
      <c r="L117" s="234"/>
    </row>
    <row r="118" spans="1:12">
      <c r="A118" s="234"/>
      <c r="B118" s="234"/>
      <c r="C118" s="234"/>
      <c r="D118" s="234"/>
      <c r="E118" s="234"/>
      <c r="F118" s="234"/>
      <c r="G118" s="234"/>
      <c r="H118" s="234"/>
      <c r="I118" s="234"/>
      <c r="J118" s="234"/>
      <c r="K118" s="234"/>
      <c r="L118" s="234"/>
    </row>
    <row r="119" spans="1:12">
      <c r="A119" s="234"/>
      <c r="B119" s="234"/>
      <c r="C119" s="234"/>
      <c r="D119" s="234"/>
      <c r="E119" s="234"/>
      <c r="F119" s="234"/>
      <c r="G119" s="234"/>
      <c r="H119" s="234"/>
      <c r="I119" s="234"/>
      <c r="J119" s="234"/>
      <c r="K119" s="234"/>
      <c r="L119" s="234"/>
    </row>
    <row r="120" spans="1:12">
      <c r="A120" s="234"/>
      <c r="B120" s="234"/>
      <c r="C120" s="234"/>
      <c r="D120" s="234"/>
      <c r="E120" s="234"/>
      <c r="F120" s="234"/>
      <c r="G120" s="234"/>
      <c r="H120" s="234"/>
      <c r="I120" s="234"/>
      <c r="J120" s="234"/>
      <c r="K120" s="234"/>
      <c r="L120" s="234"/>
    </row>
    <row r="121" spans="1:12">
      <c r="A121" s="234"/>
      <c r="B121" s="234"/>
      <c r="C121" s="234"/>
      <c r="D121" s="234"/>
      <c r="E121" s="234"/>
      <c r="F121" s="234"/>
      <c r="G121" s="234"/>
      <c r="H121" s="234"/>
      <c r="I121" s="234"/>
      <c r="J121" s="234"/>
      <c r="K121" s="234"/>
      <c r="L121" s="234"/>
    </row>
    <row r="122" spans="1:12">
      <c r="A122" s="234"/>
      <c r="B122" s="234"/>
      <c r="C122" s="234"/>
      <c r="D122" s="234"/>
      <c r="E122" s="234"/>
      <c r="F122" s="234"/>
      <c r="G122" s="234"/>
      <c r="H122" s="234"/>
      <c r="I122" s="234"/>
      <c r="J122" s="234"/>
      <c r="K122" s="234"/>
      <c r="L122" s="234"/>
    </row>
    <row r="123" spans="1:12">
      <c r="A123" s="234"/>
      <c r="B123" s="234"/>
      <c r="C123" s="234"/>
      <c r="D123" s="234"/>
      <c r="E123" s="234"/>
      <c r="F123" s="234"/>
      <c r="G123" s="234"/>
      <c r="H123" s="234"/>
      <c r="I123" s="234"/>
      <c r="J123" s="234"/>
      <c r="K123" s="234"/>
      <c r="L123" s="234"/>
    </row>
    <row r="124" spans="1:12">
      <c r="A124" s="234"/>
      <c r="B124" s="234"/>
      <c r="C124" s="234"/>
      <c r="D124" s="234"/>
      <c r="E124" s="234"/>
      <c r="F124" s="234"/>
      <c r="G124" s="234"/>
      <c r="H124" s="234"/>
      <c r="I124" s="234"/>
      <c r="J124" s="234"/>
      <c r="K124" s="234"/>
      <c r="L124" s="234"/>
    </row>
    <row r="125" spans="1:12">
      <c r="A125" s="234"/>
      <c r="B125" s="234"/>
      <c r="C125" s="234"/>
      <c r="D125" s="234"/>
      <c r="E125" s="234"/>
      <c r="F125" s="234"/>
      <c r="G125" s="234"/>
      <c r="H125" s="234"/>
      <c r="I125" s="234"/>
      <c r="J125" s="234"/>
      <c r="K125" s="234"/>
      <c r="L125" s="234"/>
    </row>
    <row r="126" spans="1:12">
      <c r="A126" s="234"/>
      <c r="B126" s="234"/>
      <c r="C126" s="234"/>
      <c r="D126" s="234"/>
      <c r="E126" s="234"/>
      <c r="F126" s="234"/>
      <c r="G126" s="234"/>
      <c r="H126" s="234"/>
      <c r="I126" s="234"/>
      <c r="J126" s="234"/>
      <c r="K126" s="234"/>
      <c r="L126" s="234"/>
    </row>
    <row r="127" spans="1:12">
      <c r="A127" s="234"/>
      <c r="B127" s="234"/>
      <c r="C127" s="234"/>
      <c r="D127" s="234"/>
      <c r="E127" s="234"/>
      <c r="F127" s="234"/>
      <c r="G127" s="234"/>
      <c r="H127" s="234"/>
      <c r="I127" s="234"/>
      <c r="J127" s="234"/>
      <c r="K127" s="234"/>
      <c r="L127" s="234"/>
    </row>
    <row r="128" spans="1:12">
      <c r="A128" s="234"/>
      <c r="B128" s="234"/>
      <c r="C128" s="234"/>
      <c r="D128" s="234"/>
      <c r="E128" s="234"/>
      <c r="F128" s="234"/>
      <c r="G128" s="234"/>
      <c r="H128" s="234"/>
      <c r="I128" s="234"/>
      <c r="J128" s="234"/>
      <c r="K128" s="234"/>
      <c r="L128" s="234"/>
    </row>
    <row r="129" spans="1:12">
      <c r="A129" s="234"/>
      <c r="B129" s="234"/>
      <c r="C129" s="234"/>
      <c r="D129" s="234"/>
      <c r="E129" s="234"/>
      <c r="F129" s="234"/>
      <c r="G129" s="234"/>
      <c r="H129" s="234"/>
      <c r="I129" s="234"/>
      <c r="J129" s="234"/>
      <c r="K129" s="234"/>
      <c r="L129" s="234"/>
    </row>
    <row r="130" spans="1:12">
      <c r="A130" s="234"/>
      <c r="B130" s="234"/>
      <c r="C130" s="234"/>
      <c r="D130" s="234"/>
      <c r="E130" s="234"/>
      <c r="F130" s="234"/>
      <c r="G130" s="234"/>
      <c r="H130" s="234"/>
      <c r="I130" s="234"/>
      <c r="J130" s="234"/>
      <c r="K130" s="234"/>
      <c r="L130" s="234"/>
    </row>
    <row r="131" spans="1:12">
      <c r="A131" s="234"/>
      <c r="B131" s="234"/>
      <c r="C131" s="234"/>
      <c r="D131" s="234"/>
      <c r="E131" s="234"/>
      <c r="F131" s="234"/>
      <c r="G131" s="234"/>
      <c r="H131" s="234"/>
      <c r="I131" s="234"/>
      <c r="J131" s="234"/>
      <c r="K131" s="234"/>
      <c r="L131" s="234"/>
    </row>
    <row r="132" spans="1:12">
      <c r="A132" s="234"/>
      <c r="B132" s="234"/>
      <c r="C132" s="234"/>
      <c r="D132" s="234"/>
      <c r="E132" s="234"/>
      <c r="F132" s="234"/>
      <c r="G132" s="234"/>
      <c r="H132" s="234"/>
      <c r="I132" s="234"/>
      <c r="J132" s="234"/>
      <c r="K132" s="234"/>
      <c r="L132" s="234"/>
    </row>
    <row r="133" spans="1:12">
      <c r="A133" s="234"/>
      <c r="B133" s="234"/>
      <c r="C133" s="234"/>
      <c r="D133" s="234"/>
      <c r="E133" s="234"/>
      <c r="F133" s="234"/>
      <c r="G133" s="234"/>
      <c r="H133" s="234"/>
      <c r="I133" s="234"/>
      <c r="J133" s="234"/>
      <c r="K133" s="234"/>
      <c r="L133" s="234"/>
    </row>
    <row r="134" spans="1:12">
      <c r="A134" s="234"/>
      <c r="B134" s="234"/>
      <c r="C134" s="234"/>
      <c r="D134" s="234"/>
      <c r="E134" s="234"/>
      <c r="F134" s="234"/>
      <c r="G134" s="234"/>
      <c r="H134" s="234"/>
      <c r="I134" s="234"/>
      <c r="J134" s="234"/>
      <c r="K134" s="234"/>
      <c r="L134" s="234"/>
    </row>
    <row r="135" spans="1:12">
      <c r="A135" s="234"/>
      <c r="B135" s="234"/>
      <c r="C135" s="234"/>
      <c r="D135" s="234"/>
      <c r="E135" s="234"/>
      <c r="F135" s="234"/>
      <c r="G135" s="234"/>
      <c r="H135" s="234"/>
      <c r="I135" s="234"/>
      <c r="J135" s="234"/>
      <c r="K135" s="234"/>
      <c r="L135" s="234"/>
    </row>
    <row r="136" spans="1:12">
      <c r="A136" s="234"/>
      <c r="B136" s="234"/>
      <c r="C136" s="234"/>
      <c r="D136" s="234"/>
      <c r="E136" s="234"/>
      <c r="F136" s="234"/>
      <c r="G136" s="234"/>
      <c r="H136" s="234"/>
      <c r="I136" s="234"/>
      <c r="J136" s="234"/>
      <c r="K136" s="234"/>
      <c r="L136" s="234"/>
    </row>
    <row r="137" spans="1:12">
      <c r="A137" s="234"/>
      <c r="B137" s="234"/>
      <c r="C137" s="234"/>
      <c r="D137" s="234"/>
      <c r="E137" s="234"/>
      <c r="F137" s="234"/>
      <c r="G137" s="234"/>
      <c r="H137" s="234"/>
      <c r="I137" s="234"/>
      <c r="J137" s="234"/>
      <c r="K137" s="234"/>
      <c r="L137" s="234"/>
    </row>
    <row r="138" spans="1:12">
      <c r="A138" s="234"/>
      <c r="B138" s="234"/>
      <c r="C138" s="234"/>
      <c r="D138" s="234"/>
      <c r="E138" s="234"/>
      <c r="F138" s="234"/>
      <c r="G138" s="234"/>
      <c r="H138" s="234"/>
      <c r="I138" s="234"/>
      <c r="J138" s="234"/>
      <c r="K138" s="234"/>
      <c r="L138" s="234"/>
    </row>
    <row r="139" spans="1:12">
      <c r="A139" s="234"/>
      <c r="B139" s="234"/>
      <c r="C139" s="234"/>
      <c r="D139" s="234"/>
      <c r="E139" s="234"/>
      <c r="F139" s="234"/>
      <c r="G139" s="234"/>
      <c r="H139" s="234"/>
      <c r="I139" s="234"/>
      <c r="J139" s="234"/>
      <c r="K139" s="234"/>
      <c r="L139" s="234"/>
    </row>
    <row r="140" spans="1:12">
      <c r="A140" s="234"/>
      <c r="B140" s="234"/>
      <c r="C140" s="234"/>
      <c r="D140" s="234"/>
      <c r="E140" s="234"/>
      <c r="F140" s="234"/>
      <c r="G140" s="234"/>
      <c r="H140" s="234"/>
      <c r="I140" s="234"/>
      <c r="J140" s="234"/>
      <c r="K140" s="234"/>
      <c r="L140" s="234"/>
    </row>
    <row r="141" spans="1:12">
      <c r="A141" s="234"/>
      <c r="B141" s="234"/>
      <c r="C141" s="234"/>
      <c r="D141" s="234"/>
      <c r="E141" s="234"/>
      <c r="F141" s="234"/>
      <c r="G141" s="234"/>
      <c r="H141" s="234"/>
      <c r="I141" s="234"/>
      <c r="J141" s="234"/>
      <c r="K141" s="234"/>
      <c r="L141" s="234"/>
    </row>
    <row r="142" spans="1:12">
      <c r="A142" s="234"/>
      <c r="B142" s="234"/>
      <c r="C142" s="234"/>
      <c r="D142" s="234"/>
      <c r="E142" s="234"/>
      <c r="F142" s="234"/>
      <c r="G142" s="234"/>
      <c r="H142" s="234"/>
      <c r="I142" s="234"/>
      <c r="J142" s="234"/>
      <c r="K142" s="234"/>
      <c r="L142" s="234"/>
    </row>
    <row r="143" spans="1:12">
      <c r="A143" s="234"/>
      <c r="B143" s="234"/>
      <c r="C143" s="234"/>
      <c r="D143" s="234"/>
      <c r="E143" s="234"/>
      <c r="F143" s="234"/>
      <c r="G143" s="234"/>
      <c r="H143" s="234"/>
      <c r="I143" s="234"/>
      <c r="J143" s="234"/>
      <c r="K143" s="234"/>
      <c r="L143" s="234"/>
    </row>
    <row r="144" spans="1:12">
      <c r="A144" s="234"/>
      <c r="B144" s="234"/>
      <c r="C144" s="234"/>
      <c r="D144" s="234"/>
      <c r="E144" s="234"/>
      <c r="F144" s="234"/>
      <c r="G144" s="234"/>
      <c r="H144" s="234"/>
      <c r="I144" s="234"/>
      <c r="J144" s="234"/>
      <c r="K144" s="234"/>
      <c r="L144" s="234"/>
    </row>
    <row r="145" spans="1:12">
      <c r="A145" s="234"/>
      <c r="B145" s="234"/>
      <c r="C145" s="234"/>
      <c r="D145" s="234"/>
      <c r="E145" s="234"/>
      <c r="F145" s="234"/>
      <c r="G145" s="234"/>
      <c r="H145" s="234"/>
      <c r="I145" s="234"/>
      <c r="J145" s="234"/>
      <c r="K145" s="234"/>
      <c r="L145" s="234"/>
    </row>
    <row r="146" spans="1:12">
      <c r="A146" s="234"/>
      <c r="B146" s="234"/>
      <c r="C146" s="234"/>
      <c r="D146" s="234"/>
      <c r="E146" s="234"/>
      <c r="F146" s="234"/>
      <c r="G146" s="234"/>
      <c r="H146" s="234"/>
      <c r="I146" s="234"/>
      <c r="J146" s="234"/>
      <c r="K146" s="234"/>
      <c r="L146" s="234"/>
    </row>
    <row r="147" spans="1:12">
      <c r="A147" s="234"/>
      <c r="B147" s="234"/>
      <c r="C147" s="234"/>
      <c r="D147" s="234"/>
      <c r="E147" s="234"/>
      <c r="F147" s="234"/>
      <c r="G147" s="234"/>
      <c r="H147" s="234"/>
      <c r="I147" s="234"/>
      <c r="J147" s="234"/>
      <c r="K147" s="234"/>
      <c r="L147" s="234"/>
    </row>
    <row r="148" spans="1:12">
      <c r="A148" s="234"/>
      <c r="B148" s="234"/>
      <c r="C148" s="234"/>
      <c r="D148" s="234"/>
      <c r="E148" s="234"/>
      <c r="F148" s="234"/>
      <c r="G148" s="234"/>
      <c r="H148" s="234"/>
      <c r="I148" s="234"/>
      <c r="J148" s="234"/>
      <c r="K148" s="234"/>
      <c r="L148" s="234"/>
    </row>
    <row r="149" spans="1:12">
      <c r="A149" s="234"/>
      <c r="B149" s="234"/>
      <c r="C149" s="234"/>
      <c r="D149" s="234"/>
      <c r="E149" s="234"/>
      <c r="F149" s="234"/>
      <c r="G149" s="234"/>
      <c r="H149" s="234"/>
      <c r="I149" s="234"/>
      <c r="J149" s="234"/>
      <c r="K149" s="234"/>
      <c r="L149" s="234"/>
    </row>
    <row r="150" spans="1:12">
      <c r="A150" s="234"/>
      <c r="B150" s="234"/>
      <c r="C150" s="234"/>
      <c r="D150" s="234"/>
      <c r="E150" s="234"/>
      <c r="F150" s="234"/>
      <c r="G150" s="234"/>
      <c r="H150" s="234"/>
      <c r="I150" s="234"/>
      <c r="J150" s="234"/>
      <c r="K150" s="234"/>
      <c r="L150" s="234"/>
    </row>
    <row r="151" spans="1:12">
      <c r="A151" s="234"/>
      <c r="B151" s="234"/>
      <c r="C151" s="234"/>
      <c r="D151" s="234"/>
      <c r="E151" s="234"/>
      <c r="F151" s="234"/>
      <c r="G151" s="234"/>
      <c r="H151" s="234"/>
      <c r="I151" s="234"/>
      <c r="J151" s="234"/>
      <c r="K151" s="234"/>
      <c r="L151" s="234"/>
    </row>
    <row r="152" spans="1:12">
      <c r="A152" s="234"/>
      <c r="B152" s="234"/>
      <c r="C152" s="234"/>
      <c r="D152" s="234"/>
      <c r="E152" s="234"/>
      <c r="F152" s="234"/>
      <c r="G152" s="234"/>
      <c r="H152" s="234"/>
      <c r="I152" s="234"/>
      <c r="J152" s="234"/>
      <c r="K152" s="234"/>
      <c r="L152" s="234"/>
    </row>
    <row r="153" spans="1:12">
      <c r="A153" s="234"/>
      <c r="B153" s="234"/>
      <c r="C153" s="234"/>
      <c r="D153" s="234"/>
      <c r="E153" s="234"/>
      <c r="F153" s="234"/>
      <c r="G153" s="234"/>
      <c r="H153" s="234"/>
      <c r="I153" s="234"/>
      <c r="J153" s="234"/>
      <c r="K153" s="234"/>
      <c r="L153" s="234"/>
    </row>
  </sheetData>
  <pageMargins left="0.7" right="0.7" top="0.75" bottom="0.75" header="0.3" footer="0.3"/>
  <pageSetup scale="80" orientation="portrait" cellComments="asDisplayed" r:id="rId1"/>
  <headerFooter>
    <oddHeader>&amp;CSchedule 25
Wholesale Differences to Base TRR
&amp;RExhibit SCE-4
TO2018 Formula Rate Spreadsheet</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2443</v>
      </c>
    </row>
    <row r="3" spans="1:5">
      <c r="B3" s="1" t="s">
        <v>36</v>
      </c>
      <c r="E3" s="97" t="s">
        <v>17</v>
      </c>
    </row>
    <row r="4" spans="1:5">
      <c r="D4" s="2" t="s">
        <v>37</v>
      </c>
    </row>
    <row r="5" spans="1:5">
      <c r="C5" s="2" t="s">
        <v>407</v>
      </c>
      <c r="D5" s="2" t="s">
        <v>408</v>
      </c>
    </row>
    <row r="6" spans="1:5">
      <c r="A6" s="3" t="s">
        <v>332</v>
      </c>
      <c r="C6" s="3" t="s">
        <v>193</v>
      </c>
      <c r="D6" s="3" t="s">
        <v>410</v>
      </c>
      <c r="E6" s="3" t="s">
        <v>179</v>
      </c>
    </row>
    <row r="7" spans="1:5">
      <c r="A7" s="2">
        <v>1</v>
      </c>
      <c r="C7" s="568">
        <v>2016</v>
      </c>
      <c r="D7" s="1232">
        <v>0.35</v>
      </c>
      <c r="E7" s="992" t="s">
        <v>364</v>
      </c>
    </row>
    <row r="8" spans="1:5">
      <c r="A8" s="2">
        <f>A7+1</f>
        <v>2</v>
      </c>
      <c r="E8" s="502"/>
    </row>
    <row r="9" spans="1:5">
      <c r="A9" s="2">
        <f t="shared" ref="A9:A23" si="0">A8+1</f>
        <v>3</v>
      </c>
      <c r="B9" s="1" t="s">
        <v>38</v>
      </c>
      <c r="E9" s="1112"/>
    </row>
    <row r="10" spans="1:5">
      <c r="A10" s="2">
        <f t="shared" si="0"/>
        <v>4</v>
      </c>
      <c r="B10" s="1"/>
      <c r="D10" s="2"/>
      <c r="E10" s="1112"/>
    </row>
    <row r="11" spans="1:5">
      <c r="A11" s="2">
        <f t="shared" si="0"/>
        <v>5</v>
      </c>
      <c r="D11" s="2" t="s">
        <v>283</v>
      </c>
      <c r="E11" s="1112"/>
    </row>
    <row r="12" spans="1:5">
      <c r="A12" s="2">
        <f t="shared" si="0"/>
        <v>6</v>
      </c>
      <c r="C12" s="2" t="s">
        <v>407</v>
      </c>
      <c r="D12" s="2" t="s">
        <v>408</v>
      </c>
      <c r="E12" s="1112"/>
    </row>
    <row r="13" spans="1:5">
      <c r="A13" s="2">
        <f t="shared" si="0"/>
        <v>7</v>
      </c>
      <c r="C13" s="3" t="s">
        <v>193</v>
      </c>
      <c r="D13" s="3" t="s">
        <v>409</v>
      </c>
      <c r="E13" s="3" t="s">
        <v>179</v>
      </c>
    </row>
    <row r="14" spans="1:5">
      <c r="A14" s="2">
        <f t="shared" si="0"/>
        <v>8</v>
      </c>
      <c r="C14" s="568">
        <v>2016</v>
      </c>
      <c r="D14" s="1233">
        <v>8.8400000000000006E-2</v>
      </c>
      <c r="E14" s="992" t="s">
        <v>365</v>
      </c>
    </row>
    <row r="15" spans="1:5">
      <c r="A15" s="2">
        <f t="shared" si="0"/>
        <v>9</v>
      </c>
      <c r="C15" s="54"/>
      <c r="D15" s="14"/>
      <c r="E15" s="13"/>
    </row>
    <row r="16" spans="1:5">
      <c r="A16" s="2">
        <f t="shared" si="0"/>
        <v>10</v>
      </c>
      <c r="C16" s="54"/>
      <c r="D16" s="14"/>
      <c r="E16" s="16"/>
    </row>
    <row r="17" spans="1:9">
      <c r="A17" s="2">
        <f t="shared" si="0"/>
        <v>11</v>
      </c>
      <c r="C17" s="61"/>
      <c r="E17" s="16"/>
    </row>
    <row r="18" spans="1:9" ht="12.75" customHeight="1">
      <c r="A18" s="600">
        <f t="shared" si="0"/>
        <v>12</v>
      </c>
      <c r="B18" s="1" t="s">
        <v>1661</v>
      </c>
      <c r="E18" s="16"/>
    </row>
    <row r="19" spans="1:9" ht="12.75" customHeight="1">
      <c r="A19" s="600">
        <f t="shared" si="0"/>
        <v>13</v>
      </c>
      <c r="E19" s="115"/>
      <c r="F19" s="3" t="s">
        <v>175</v>
      </c>
    </row>
    <row r="20" spans="1:9" ht="12.75" customHeight="1">
      <c r="A20" s="600">
        <f t="shared" si="0"/>
        <v>14</v>
      </c>
      <c r="B20" s="14"/>
      <c r="C20" s="14" t="str">
        <f>"Total Electric Payroll Tax Expense (From 1-BaseTRR, Line "&amp;'1-BaseTRR'!A52&amp;")"</f>
        <v>Total Electric Payroll Tax Expense (From 1-BaseTRR, Line 31)</v>
      </c>
      <c r="D20" s="14"/>
      <c r="E20" s="14"/>
      <c r="F20" s="7">
        <f>'1-BaseTRR'!K52</f>
        <v>116164312</v>
      </c>
      <c r="G20" s="12"/>
    </row>
    <row r="21" spans="1:9" ht="12.75" customHeight="1">
      <c r="A21" s="600">
        <f t="shared" si="0"/>
        <v>15</v>
      </c>
      <c r="B21" s="14"/>
      <c r="C21" s="505" t="s">
        <v>2439</v>
      </c>
      <c r="D21" s="14"/>
      <c r="E21" s="14"/>
      <c r="F21" s="622">
        <v>0.39800000000000002</v>
      </c>
      <c r="G21" s="12"/>
    </row>
    <row r="22" spans="1:9" ht="12.75" customHeight="1">
      <c r="A22" s="600">
        <f t="shared" si="0"/>
        <v>16</v>
      </c>
      <c r="B22" s="14"/>
      <c r="C22" s="505" t="str">
        <f>"Capitalized Overhead portion of Electric Payroll Tax Expense (Line "&amp;A20&amp;" * Line "&amp;A21&amp;")"</f>
        <v>Capitalized Overhead portion of Electric Payroll Tax Expense (Line 14 * Line 15)</v>
      </c>
      <c r="D22" s="14"/>
      <c r="E22" s="14"/>
      <c r="F22" s="483">
        <f>F20*F21</f>
        <v>46233396.175999999</v>
      </c>
      <c r="G22" s="505"/>
      <c r="H22" s="14"/>
      <c r="I22" s="505"/>
    </row>
    <row r="23" spans="1:9">
      <c r="A23" s="600">
        <f t="shared" si="0"/>
        <v>17</v>
      </c>
      <c r="B23" s="14"/>
      <c r="C23" s="505" t="str">
        <f>"Non-Capitalized Overhead portion of Electric Payroll Tax Expense (Line "&amp;A20&amp;" - Line "&amp;A22&amp;")"</f>
        <v>Non-Capitalized Overhead portion of Electric Payroll Tax Expense (Line 14 - Line 16)</v>
      </c>
      <c r="D23" s="14"/>
      <c r="E23" s="14"/>
      <c r="F23" s="7">
        <f>F20-F22</f>
        <v>69930915.824000001</v>
      </c>
      <c r="G23" s="12"/>
      <c r="H23" s="14"/>
    </row>
    <row r="25" spans="1:9">
      <c r="B25" s="51" t="s">
        <v>232</v>
      </c>
    </row>
    <row r="26" spans="1:9">
      <c r="B26" s="1047" t="s">
        <v>2440</v>
      </c>
      <c r="C26" s="14"/>
      <c r="D26" s="97" t="s">
        <v>2583</v>
      </c>
      <c r="E26" s="97"/>
      <c r="F26" s="97"/>
    </row>
    <row r="27" spans="1:9">
      <c r="B27" s="1047" t="s">
        <v>2442</v>
      </c>
      <c r="C27" s="14"/>
      <c r="D27" s="14"/>
      <c r="E27" s="14"/>
      <c r="F27" s="14"/>
    </row>
    <row r="28" spans="1:9">
      <c r="B28" s="714"/>
      <c r="C28" s="14"/>
      <c r="D28" s="97" t="s">
        <v>2584</v>
      </c>
      <c r="E28" s="97"/>
      <c r="F28" s="97"/>
    </row>
    <row r="29" spans="1:9">
      <c r="B29" s="505" t="s">
        <v>2441</v>
      </c>
      <c r="C29" s="14"/>
      <c r="D29" s="14"/>
      <c r="E29" s="1118" t="s">
        <v>2582</v>
      </c>
    </row>
    <row r="30" spans="1:9">
      <c r="B30" s="502" t="s">
        <v>1829</v>
      </c>
      <c r="C30" s="14"/>
      <c r="D30" s="14"/>
      <c r="E30" s="1079" t="s">
        <v>2585</v>
      </c>
    </row>
  </sheetData>
  <phoneticPr fontId="23" type="noConversion"/>
  <pageMargins left="0.75" right="0.75" top="1" bottom="1" header="0.5" footer="0.5"/>
  <pageSetup scale="75" orientation="portrait" cellComments="asDisplayed" r:id="rId1"/>
  <headerFooter alignWithMargins="0">
    <oddHeader>&amp;CSchedule 26
Tax Rates
&amp;RExhibit SCE-4
TO2018 Formula Rate Spreadsheet</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202</v>
      </c>
      <c r="B1" s="1"/>
    </row>
    <row r="2" spans="1:9">
      <c r="A2" s="1"/>
      <c r="B2" s="1"/>
      <c r="E2" s="97" t="s">
        <v>17</v>
      </c>
    </row>
    <row r="3" spans="1:9">
      <c r="A3" s="2"/>
      <c r="B3" s="1" t="s">
        <v>1137</v>
      </c>
      <c r="G3" s="99"/>
    </row>
    <row r="4" spans="1:9">
      <c r="A4" s="2"/>
      <c r="C4" s="1"/>
      <c r="D4" s="2"/>
      <c r="E4" s="2" t="s">
        <v>169</v>
      </c>
      <c r="G4" s="4" t="s">
        <v>63</v>
      </c>
    </row>
    <row r="5" spans="1:9">
      <c r="A5" s="51" t="s">
        <v>332</v>
      </c>
      <c r="C5" s="1"/>
      <c r="D5" s="3" t="s">
        <v>168</v>
      </c>
      <c r="E5" s="3" t="s">
        <v>170</v>
      </c>
      <c r="G5" s="3" t="s">
        <v>171</v>
      </c>
    </row>
    <row r="6" spans="1:9">
      <c r="A6" s="2">
        <v>1</v>
      </c>
      <c r="C6" s="66" t="s">
        <v>335</v>
      </c>
      <c r="D6" s="14"/>
      <c r="E6" s="15" t="str">
        <f>"19-OandM Line "&amp;'19-OandM'!A124&amp;", Col. 7"</f>
        <v>19-OandM Line 91, Col. 7</v>
      </c>
      <c r="G6" s="7">
        <f>'19-OandM'!H124</f>
        <v>35781164.156515896</v>
      </c>
      <c r="I6" s="12"/>
    </row>
    <row r="7" spans="1:9">
      <c r="A7" s="2">
        <f>A6+1</f>
        <v>2</v>
      </c>
      <c r="C7" s="66" t="s">
        <v>239</v>
      </c>
      <c r="D7" s="14"/>
      <c r="E7" s="15" t="s">
        <v>286</v>
      </c>
      <c r="G7" s="6">
        <v>737797550</v>
      </c>
    </row>
    <row r="8" spans="1:9">
      <c r="A8" s="2">
        <f t="shared" ref="A8:A43" si="0">A7+1</f>
        <v>3</v>
      </c>
      <c r="C8" s="5" t="s">
        <v>240</v>
      </c>
      <c r="D8" s="14"/>
      <c r="E8" s="15" t="s">
        <v>287</v>
      </c>
      <c r="G8" s="6">
        <v>205867991</v>
      </c>
    </row>
    <row r="9" spans="1:9">
      <c r="A9" s="2">
        <f t="shared" si="0"/>
        <v>4</v>
      </c>
      <c r="C9" s="66" t="s">
        <v>1143</v>
      </c>
      <c r="D9" s="14"/>
      <c r="E9" s="15" t="str">
        <f>"Line "&amp;A7&amp;" - Line "&amp;A8&amp;""</f>
        <v>Line 2 - Line 3</v>
      </c>
      <c r="G9" s="7">
        <f>G7-G8</f>
        <v>531929559</v>
      </c>
    </row>
    <row r="10" spans="1:9">
      <c r="A10" s="2">
        <f t="shared" si="0"/>
        <v>5</v>
      </c>
      <c r="C10" s="1048" t="s">
        <v>2051</v>
      </c>
      <c r="D10" s="14"/>
      <c r="E10" s="15" t="str">
        <f>"20-AandG, Note 2"</f>
        <v>20-AandG, Note 2</v>
      </c>
      <c r="G10" s="63">
        <f>'20-AandG'!E63</f>
        <v>71991890</v>
      </c>
      <c r="I10" s="12"/>
    </row>
    <row r="11" spans="1:9">
      <c r="A11" s="2">
        <f t="shared" si="0"/>
        <v>6</v>
      </c>
      <c r="C11" s="995" t="s">
        <v>2047</v>
      </c>
      <c r="D11" s="14"/>
      <c r="E11" s="15" t="str">
        <f>"20-AandG, Note 2"</f>
        <v>20-AandG, Note 2</v>
      </c>
      <c r="G11" s="101">
        <f>'20-AandG'!E60</f>
        <v>23529615.574556775</v>
      </c>
    </row>
    <row r="12" spans="1:9">
      <c r="A12" s="2">
        <f t="shared" si="0"/>
        <v>7</v>
      </c>
      <c r="C12" s="1048" t="s">
        <v>2048</v>
      </c>
      <c r="D12" s="14"/>
      <c r="E12" s="15" t="str">
        <f>"Line "&amp;A10&amp;" - Line "&amp;A11&amp;""</f>
        <v>Line 5 - Line 6</v>
      </c>
      <c r="G12" s="7">
        <f>G10-G11</f>
        <v>48462274.425443225</v>
      </c>
    </row>
    <row r="13" spans="1:9">
      <c r="A13" s="2">
        <f t="shared" si="0"/>
        <v>8</v>
      </c>
      <c r="C13" s="1048" t="s">
        <v>2049</v>
      </c>
      <c r="D13" s="14"/>
      <c r="E13" s="15" t="str">
        <f>"Line "&amp;A9&amp;" + Line "&amp;A12&amp;""</f>
        <v>Line 4 + Line 7</v>
      </c>
      <c r="G13" s="7">
        <f>G9+G12</f>
        <v>580391833.42544317</v>
      </c>
    </row>
    <row r="14" spans="1:9">
      <c r="A14" s="2">
        <f t="shared" si="0"/>
        <v>9</v>
      </c>
      <c r="C14" s="14" t="s">
        <v>200</v>
      </c>
      <c r="D14" s="14"/>
      <c r="E14" s="15" t="str">
        <f>"Line "&amp;A6&amp;" / Line "&amp;A13&amp;""</f>
        <v>Line 1 / Line 8</v>
      </c>
      <c r="G14" s="8">
        <f>G6/G13</f>
        <v>6.1650013139118928E-2</v>
      </c>
    </row>
    <row r="15" spans="1:9">
      <c r="A15" s="2">
        <f t="shared" si="0"/>
        <v>10</v>
      </c>
      <c r="C15" s="14"/>
      <c r="D15" s="14"/>
      <c r="E15" s="14"/>
    </row>
    <row r="16" spans="1:9">
      <c r="A16" s="2">
        <f t="shared" si="0"/>
        <v>11</v>
      </c>
      <c r="B16" s="1" t="s">
        <v>1138</v>
      </c>
      <c r="C16" s="14"/>
      <c r="D16" s="14"/>
      <c r="E16" s="14"/>
      <c r="G16" s="99"/>
    </row>
    <row r="17" spans="1:11">
      <c r="A17" s="2">
        <f t="shared" si="0"/>
        <v>12</v>
      </c>
      <c r="C17" s="14"/>
      <c r="D17" s="111"/>
      <c r="E17" s="111" t="s">
        <v>169</v>
      </c>
      <c r="G17" s="4" t="s">
        <v>63</v>
      </c>
    </row>
    <row r="18" spans="1:11">
      <c r="A18" s="2">
        <f t="shared" si="0"/>
        <v>13</v>
      </c>
      <c r="C18" s="14"/>
      <c r="D18" s="125" t="s">
        <v>168</v>
      </c>
      <c r="E18" s="125" t="s">
        <v>170</v>
      </c>
      <c r="G18" s="3" t="s">
        <v>171</v>
      </c>
    </row>
    <row r="19" spans="1:11">
      <c r="A19" s="2">
        <f t="shared" si="0"/>
        <v>14</v>
      </c>
      <c r="C19" s="14" t="s">
        <v>336</v>
      </c>
      <c r="D19" s="14"/>
      <c r="E19" s="15" t="str">
        <f>"7-PlantStudy, Line "&amp;'7-PlantStudy'!A28&amp;""</f>
        <v>7-PlantStudy, Line 21</v>
      </c>
      <c r="G19" s="63">
        <f>'7-PlantStudy'!E28</f>
        <v>8276570295.1064177</v>
      </c>
    </row>
    <row r="20" spans="1:11">
      <c r="A20" s="2">
        <f t="shared" si="0"/>
        <v>15</v>
      </c>
      <c r="C20" s="14" t="s">
        <v>337</v>
      </c>
      <c r="D20" s="14"/>
      <c r="E20" s="15" t="str">
        <f>"7-PlantStudy, Line "&amp;'7-PlantStudy'!A42&amp;""</f>
        <v>7-PlantStudy, Line 30</v>
      </c>
      <c r="G20" s="63">
        <f>'7-PlantStudy'!E42</f>
        <v>0</v>
      </c>
    </row>
    <row r="21" spans="1:11">
      <c r="A21" s="2">
        <f t="shared" si="0"/>
        <v>16</v>
      </c>
      <c r="C21" s="14" t="s">
        <v>59</v>
      </c>
      <c r="D21" s="14"/>
      <c r="E21" s="15" t="str">
        <f>"6-PlantInService, Line "&amp;'6-PlantInService'!A53&amp;", C2"</f>
        <v>6-PlantInService, Line 21, C2</v>
      </c>
      <c r="G21" s="63">
        <f>'6-PlantInService'!G53</f>
        <v>1588136353</v>
      </c>
      <c r="H21" s="99"/>
    </row>
    <row r="22" spans="1:11">
      <c r="A22" s="2">
        <f t="shared" si="0"/>
        <v>17</v>
      </c>
      <c r="C22" s="14" t="s">
        <v>2562</v>
      </c>
      <c r="D22" s="14"/>
      <c r="E22" s="14" t="str">
        <f>"Line "&amp;A21&amp;" * Line "&amp;A14&amp;""</f>
        <v>Line 16 * Line 9</v>
      </c>
      <c r="G22" s="63">
        <f>G21*G14</f>
        <v>97908627.029162422</v>
      </c>
    </row>
    <row r="23" spans="1:11">
      <c r="A23" s="2">
        <f t="shared" si="0"/>
        <v>18</v>
      </c>
      <c r="C23" s="14" t="s">
        <v>58</v>
      </c>
      <c r="D23" s="14"/>
      <c r="E23" s="15" t="str">
        <f>"6-PlantInService, Line "&amp;'6-PlantInService'!A53&amp;", C1"</f>
        <v>6-PlantInService, Line 21, C1</v>
      </c>
      <c r="G23" s="63">
        <f>'6-PlantInService'!F53</f>
        <v>2941903413</v>
      </c>
    </row>
    <row r="24" spans="1:11">
      <c r="A24" s="2">
        <f t="shared" si="0"/>
        <v>19</v>
      </c>
      <c r="C24" s="14" t="s">
        <v>2563</v>
      </c>
      <c r="D24" s="14"/>
      <c r="E24" s="14" t="str">
        <f>"Line "&amp;A23&amp;" * Line "&amp;A14&amp;""</f>
        <v>Line 18 * Line 9</v>
      </c>
      <c r="G24" s="63">
        <f>G23*G14</f>
        <v>181368384.06546882</v>
      </c>
    </row>
    <row r="25" spans="1:11">
      <c r="A25" s="2">
        <f t="shared" si="0"/>
        <v>20</v>
      </c>
      <c r="C25" s="15" t="s">
        <v>1141</v>
      </c>
      <c r="D25" s="14"/>
      <c r="E25" s="14" t="s">
        <v>34</v>
      </c>
      <c r="G25" s="6">
        <v>44298088225</v>
      </c>
    </row>
    <row r="26" spans="1:11">
      <c r="A26" s="2">
        <f t="shared" si="0"/>
        <v>21</v>
      </c>
      <c r="C26" s="14"/>
      <c r="D26" s="14"/>
      <c r="E26" s="14"/>
      <c r="G26" s="99"/>
    </row>
    <row r="27" spans="1:11">
      <c r="A27" s="2">
        <f t="shared" si="0"/>
        <v>22</v>
      </c>
      <c r="C27" s="14" t="s">
        <v>57</v>
      </c>
      <c r="D27" s="14"/>
      <c r="E27" s="15" t="str">
        <f>"(L"&amp;A19&amp;" + L"&amp;A20&amp;" + L"&amp;A22&amp;" + L"&amp;A24&amp;") / L"&amp;A25&amp;""</f>
        <v>(L14 + L15 + L17 + L19) / L20</v>
      </c>
      <c r="G27" s="8">
        <f>(G19+G20+G22+G24)/G25</f>
        <v>0.1931425858096622</v>
      </c>
    </row>
    <row r="28" spans="1:11">
      <c r="A28" s="600">
        <f t="shared" si="0"/>
        <v>23</v>
      </c>
      <c r="C28" s="14"/>
      <c r="D28" s="14"/>
      <c r="E28" s="15"/>
      <c r="G28" s="8"/>
    </row>
    <row r="29" spans="1:11">
      <c r="A29" s="111">
        <f t="shared" si="0"/>
        <v>24</v>
      </c>
      <c r="B29" s="44" t="s">
        <v>1871</v>
      </c>
      <c r="C29" s="14"/>
      <c r="D29" s="14"/>
      <c r="E29" s="14"/>
      <c r="F29" s="14"/>
      <c r="G29" s="14"/>
      <c r="H29" s="14"/>
      <c r="I29" s="14"/>
      <c r="J29" s="14"/>
      <c r="K29" s="14"/>
    </row>
    <row r="30" spans="1:11">
      <c r="A30" s="111">
        <f t="shared" si="0"/>
        <v>25</v>
      </c>
      <c r="B30" s="505"/>
      <c r="C30" s="14"/>
      <c r="D30" s="14"/>
      <c r="E30" s="14"/>
      <c r="F30" s="14"/>
      <c r="G30" s="14"/>
      <c r="H30" s="14"/>
      <c r="I30" s="14"/>
      <c r="J30" s="14"/>
      <c r="K30" s="14"/>
    </row>
    <row r="31" spans="1:11">
      <c r="A31" s="111">
        <f t="shared" si="0"/>
        <v>26</v>
      </c>
      <c r="B31" s="505" t="s">
        <v>2589</v>
      </c>
      <c r="C31" s="14"/>
      <c r="D31" s="125" t="s">
        <v>1813</v>
      </c>
      <c r="E31" s="125" t="s">
        <v>168</v>
      </c>
      <c r="F31" s="14"/>
      <c r="G31" s="586" t="s">
        <v>1814</v>
      </c>
      <c r="H31" s="14"/>
      <c r="I31" s="14"/>
      <c r="J31" s="14"/>
      <c r="K31" s="14"/>
    </row>
    <row r="32" spans="1:11">
      <c r="A32" s="111">
        <f t="shared" si="0"/>
        <v>27</v>
      </c>
      <c r="B32" s="14"/>
      <c r="C32" s="505" t="s">
        <v>1815</v>
      </c>
      <c r="D32" s="1104">
        <v>5659.9870401053513</v>
      </c>
      <c r="E32" s="125"/>
      <c r="F32" s="14"/>
      <c r="G32" s="621" t="s">
        <v>2402</v>
      </c>
      <c r="H32" s="14"/>
      <c r="I32" s="14"/>
      <c r="J32" s="14"/>
      <c r="K32" s="14"/>
    </row>
    <row r="33" spans="1:11">
      <c r="A33" s="111">
        <f t="shared" si="0"/>
        <v>28</v>
      </c>
      <c r="B33" s="14"/>
      <c r="C33" s="505" t="s">
        <v>1816</v>
      </c>
      <c r="D33" s="1104">
        <v>6453.1879780764684</v>
      </c>
      <c r="E33" s="125"/>
      <c r="F33" s="14"/>
      <c r="G33" s="621" t="s">
        <v>2403</v>
      </c>
      <c r="H33" s="14"/>
      <c r="I33" s="14"/>
      <c r="J33" s="14"/>
      <c r="K33" s="14"/>
    </row>
    <row r="34" spans="1:11">
      <c r="A34" s="111">
        <f t="shared" si="0"/>
        <v>29</v>
      </c>
      <c r="B34" s="14"/>
      <c r="C34" s="505" t="s">
        <v>1817</v>
      </c>
      <c r="D34" s="113">
        <f>SUM(D32:D33)</f>
        <v>12113.175018181821</v>
      </c>
      <c r="E34" s="15" t="str">
        <f>" = L"&amp;A32&amp;" + L"&amp;A33&amp;""</f>
        <v xml:space="preserve"> = L27 + L28</v>
      </c>
      <c r="F34" s="14"/>
      <c r="G34" s="621" t="s">
        <v>2404</v>
      </c>
      <c r="H34" s="14"/>
      <c r="I34" s="14"/>
      <c r="J34" s="14"/>
      <c r="K34" s="14"/>
    </row>
    <row r="35" spans="1:11">
      <c r="A35" s="111">
        <f t="shared" si="0"/>
        <v>30</v>
      </c>
      <c r="B35" s="14"/>
      <c r="C35" s="505" t="s">
        <v>2447</v>
      </c>
      <c r="D35" s="1049">
        <f>D32/D34</f>
        <v>0.46725875186396104</v>
      </c>
      <c r="E35" s="15" t="str">
        <f>" = L"&amp;A32&amp;" / L"&amp;A34&amp;""</f>
        <v xml:space="preserve"> = L27 / L29</v>
      </c>
      <c r="F35" s="14"/>
      <c r="G35" s="999"/>
      <c r="H35" s="14"/>
      <c r="I35" s="14"/>
      <c r="J35" s="14"/>
      <c r="K35" s="14"/>
    </row>
    <row r="36" spans="1:11">
      <c r="A36" s="111">
        <f t="shared" si="0"/>
        <v>31</v>
      </c>
      <c r="B36" s="125"/>
      <c r="C36" s="125"/>
      <c r="D36" s="14"/>
      <c r="E36" s="125"/>
      <c r="F36" s="14"/>
      <c r="G36" s="125"/>
      <c r="H36" s="14"/>
      <c r="I36" s="14"/>
      <c r="J36" s="14"/>
      <c r="K36" s="14"/>
    </row>
    <row r="37" spans="1:11">
      <c r="A37" s="111">
        <f t="shared" si="0"/>
        <v>32</v>
      </c>
      <c r="B37" s="505" t="s">
        <v>2590</v>
      </c>
      <c r="C37" s="14"/>
      <c r="D37" s="125" t="s">
        <v>1813</v>
      </c>
      <c r="E37" s="125" t="s">
        <v>168</v>
      </c>
      <c r="F37" s="14"/>
      <c r="G37" s="586" t="s">
        <v>1814</v>
      </c>
      <c r="H37" s="14"/>
      <c r="I37" s="14"/>
      <c r="J37" s="14"/>
      <c r="K37" s="14"/>
    </row>
    <row r="38" spans="1:11">
      <c r="A38" s="111">
        <f t="shared" si="0"/>
        <v>33</v>
      </c>
      <c r="B38" s="965"/>
      <c r="C38" s="505" t="s">
        <v>1818</v>
      </c>
      <c r="D38" s="1104">
        <v>5.0368651515151521</v>
      </c>
      <c r="E38" s="125"/>
      <c r="F38" s="14"/>
      <c r="G38" s="999" t="s">
        <v>1296</v>
      </c>
      <c r="H38" s="14"/>
      <c r="I38" s="14"/>
      <c r="J38" s="14"/>
      <c r="K38" s="14"/>
    </row>
    <row r="39" spans="1:11">
      <c r="A39" s="111">
        <f t="shared" si="0"/>
        <v>34</v>
      </c>
      <c r="B39" s="965"/>
      <c r="C39" s="505" t="s">
        <v>1819</v>
      </c>
      <c r="D39" s="1104">
        <v>353.27363484848473</v>
      </c>
      <c r="E39" s="125"/>
      <c r="F39" s="14"/>
      <c r="G39" s="999" t="s">
        <v>1307</v>
      </c>
      <c r="H39" s="14"/>
      <c r="I39" s="14"/>
      <c r="J39" s="14"/>
      <c r="K39" s="14"/>
    </row>
    <row r="40" spans="1:11">
      <c r="A40" s="111">
        <f t="shared" si="0"/>
        <v>35</v>
      </c>
      <c r="B40" s="965"/>
      <c r="C40" s="505" t="s">
        <v>1820</v>
      </c>
      <c r="D40" s="113">
        <f>SUM(D38:D39)</f>
        <v>358.31049999999988</v>
      </c>
      <c r="E40" s="15" t="str">
        <f>" = L"&amp;A38&amp;" + L"&amp;A39&amp;""</f>
        <v xml:space="preserve"> = L33 + L34</v>
      </c>
      <c r="F40" s="14"/>
      <c r="G40" s="14"/>
      <c r="H40" s="14"/>
      <c r="I40" s="14"/>
      <c r="J40" s="14"/>
      <c r="K40" s="14"/>
    </row>
    <row r="41" spans="1:11">
      <c r="A41" s="111">
        <f t="shared" si="0"/>
        <v>36</v>
      </c>
      <c r="B41" s="965"/>
      <c r="C41" s="505" t="s">
        <v>2448</v>
      </c>
      <c r="D41" s="1049">
        <f>D38/D40</f>
        <v>1.4057263606606991E-2</v>
      </c>
      <c r="E41" s="15" t="str">
        <f>" = L"&amp;A38&amp;" / L"&amp;A40&amp;""</f>
        <v xml:space="preserve"> = L33 / L35</v>
      </c>
      <c r="F41" s="14"/>
      <c r="G41" s="14"/>
      <c r="H41" s="14"/>
      <c r="I41" s="14"/>
      <c r="J41" s="14"/>
      <c r="K41" s="14"/>
    </row>
    <row r="42" spans="1:11">
      <c r="A42" s="111">
        <f t="shared" si="0"/>
        <v>37</v>
      </c>
      <c r="B42" s="965"/>
      <c r="C42" s="114"/>
      <c r="D42" s="14"/>
      <c r="E42" s="125"/>
      <c r="F42" s="14"/>
      <c r="G42" s="63"/>
      <c r="H42" s="14"/>
      <c r="I42" s="14"/>
      <c r="J42" s="14"/>
      <c r="K42" s="14"/>
    </row>
    <row r="43" spans="1:11">
      <c r="A43" s="111">
        <f t="shared" si="0"/>
        <v>38</v>
      </c>
      <c r="B43" s="505" t="s">
        <v>2591</v>
      </c>
      <c r="C43" s="14"/>
      <c r="D43" s="125" t="s">
        <v>1813</v>
      </c>
      <c r="E43" s="125" t="s">
        <v>168</v>
      </c>
      <c r="F43" s="14"/>
      <c r="G43" s="586" t="s">
        <v>1814</v>
      </c>
      <c r="H43" s="14"/>
      <c r="I43" s="14"/>
      <c r="J43" s="14"/>
      <c r="K43" s="14"/>
    </row>
    <row r="44" spans="1:11">
      <c r="A44" s="111">
        <f t="shared" ref="A44:A53" si="1">A43+1</f>
        <v>39</v>
      </c>
      <c r="B44" s="965"/>
      <c r="C44" s="505" t="s">
        <v>1821</v>
      </c>
      <c r="D44" s="1104">
        <v>1184</v>
      </c>
      <c r="E44" s="125"/>
      <c r="F44" s="14"/>
      <c r="G44" s="999" t="s">
        <v>2405</v>
      </c>
      <c r="H44" s="14"/>
      <c r="I44" s="14"/>
      <c r="J44" s="14"/>
      <c r="K44" s="14"/>
    </row>
    <row r="45" spans="1:11">
      <c r="A45" s="111">
        <f t="shared" si="1"/>
        <v>40</v>
      </c>
      <c r="B45" s="965"/>
      <c r="C45" s="505" t="s">
        <v>1822</v>
      </c>
      <c r="D45" s="1104">
        <v>2078</v>
      </c>
      <c r="E45" s="125"/>
      <c r="F45" s="14"/>
      <c r="G45" s="999"/>
      <c r="H45" s="14"/>
      <c r="I45" s="14"/>
      <c r="J45" s="14"/>
      <c r="K45" s="14"/>
    </row>
    <row r="46" spans="1:11">
      <c r="A46" s="111">
        <f t="shared" si="1"/>
        <v>41</v>
      </c>
      <c r="B46" s="965"/>
      <c r="C46" s="505" t="s">
        <v>1823</v>
      </c>
      <c r="D46" s="113">
        <f>SUM(D44:D45)</f>
        <v>3262</v>
      </c>
      <c r="E46" s="15" t="str">
        <f>" = L"&amp;A44&amp;" + L"&amp;A45&amp;""</f>
        <v xml:space="preserve"> = L39 + L40</v>
      </c>
      <c r="F46" s="14"/>
      <c r="G46" s="14"/>
      <c r="H46" s="14"/>
      <c r="I46" s="14"/>
      <c r="J46" s="14"/>
      <c r="K46" s="14"/>
    </row>
    <row r="47" spans="1:11">
      <c r="A47" s="111">
        <f t="shared" si="1"/>
        <v>42</v>
      </c>
      <c r="B47" s="965"/>
      <c r="C47" s="505" t="s">
        <v>1824</v>
      </c>
      <c r="D47" s="1049">
        <f>D44/D46</f>
        <v>0.36296750459840588</v>
      </c>
      <c r="E47" s="15" t="str">
        <f>" = L"&amp;A44&amp;" / L"&amp;A46&amp;""</f>
        <v xml:space="preserve"> = L39 / L41</v>
      </c>
      <c r="F47" s="14"/>
      <c r="G47" s="14"/>
      <c r="H47" s="14"/>
      <c r="I47" s="14"/>
      <c r="J47" s="14"/>
      <c r="K47" s="14"/>
    </row>
    <row r="48" spans="1:11">
      <c r="A48" s="111">
        <f t="shared" si="1"/>
        <v>43</v>
      </c>
      <c r="B48" s="14"/>
      <c r="C48" s="79"/>
      <c r="D48" s="14"/>
      <c r="E48" s="14"/>
      <c r="F48" s="14"/>
      <c r="G48" s="14"/>
      <c r="H48" s="14"/>
      <c r="I48" s="14"/>
      <c r="J48" s="14"/>
      <c r="K48" s="14"/>
    </row>
    <row r="49" spans="1:11">
      <c r="A49" s="111">
        <f t="shared" si="1"/>
        <v>44</v>
      </c>
      <c r="B49" s="505" t="s">
        <v>2592</v>
      </c>
      <c r="C49" s="14"/>
      <c r="D49" s="125" t="s">
        <v>1813</v>
      </c>
      <c r="E49" s="125" t="s">
        <v>168</v>
      </c>
      <c r="F49" s="14"/>
      <c r="G49" s="586" t="s">
        <v>1814</v>
      </c>
      <c r="H49" s="14"/>
      <c r="I49" s="14"/>
      <c r="J49" s="14"/>
      <c r="K49" s="14"/>
    </row>
    <row r="50" spans="1:11">
      <c r="A50" s="111">
        <f t="shared" si="1"/>
        <v>45</v>
      </c>
      <c r="B50" s="965"/>
      <c r="C50" s="505" t="s">
        <v>1827</v>
      </c>
      <c r="D50" s="1104">
        <v>0</v>
      </c>
      <c r="E50" s="125"/>
      <c r="F50" s="14"/>
      <c r="G50" s="621" t="s">
        <v>2406</v>
      </c>
      <c r="H50" s="14"/>
      <c r="I50" s="14"/>
      <c r="J50" s="14"/>
      <c r="K50" s="14"/>
    </row>
    <row r="51" spans="1:11">
      <c r="A51" s="111">
        <f t="shared" si="1"/>
        <v>46</v>
      </c>
      <c r="B51" s="965"/>
      <c r="C51" s="505" t="s">
        <v>1825</v>
      </c>
      <c r="D51" s="1104">
        <v>8875</v>
      </c>
      <c r="E51" s="125"/>
      <c r="F51" s="14"/>
      <c r="G51" s="621" t="s">
        <v>1311</v>
      </c>
      <c r="H51" s="14"/>
      <c r="I51" s="14"/>
      <c r="J51" s="14"/>
      <c r="K51" s="14"/>
    </row>
    <row r="52" spans="1:11">
      <c r="A52" s="111">
        <f t="shared" si="1"/>
        <v>47</v>
      </c>
      <c r="B52" s="965"/>
      <c r="C52" s="505" t="s">
        <v>1826</v>
      </c>
      <c r="D52" s="113">
        <f>SUM(D50:D51)</f>
        <v>8875</v>
      </c>
      <c r="E52" s="15" t="str">
        <f>" = L"&amp;A50&amp;" + L"&amp;A51&amp;""</f>
        <v xml:space="preserve"> = L45 + L46</v>
      </c>
      <c r="F52" s="14"/>
      <c r="G52" s="621" t="s">
        <v>1312</v>
      </c>
      <c r="H52" s="14"/>
      <c r="I52" s="14"/>
      <c r="J52" s="14"/>
      <c r="K52" s="14"/>
    </row>
    <row r="53" spans="1:11">
      <c r="A53" s="111">
        <f t="shared" si="1"/>
        <v>48</v>
      </c>
      <c r="B53" s="965"/>
      <c r="C53" s="505" t="s">
        <v>1828</v>
      </c>
      <c r="D53" s="1049">
        <f>D50/D52</f>
        <v>0</v>
      </c>
      <c r="E53" s="15" t="str">
        <f>" = L"&amp;A50&amp;" / L"&amp;A52&amp;""</f>
        <v xml:space="preserve"> = L45 / L47</v>
      </c>
      <c r="F53" s="14"/>
      <c r="G53" s="621" t="s">
        <v>2407</v>
      </c>
      <c r="H53" s="14"/>
      <c r="I53" s="14"/>
      <c r="J53" s="14"/>
      <c r="K53" s="14"/>
    </row>
    <row r="54" spans="1:11">
      <c r="A54" s="600"/>
      <c r="E54" s="14"/>
      <c r="F54" s="14"/>
      <c r="G54" s="14"/>
      <c r="H54" s="14"/>
      <c r="I54" s="14"/>
      <c r="J54" s="14"/>
      <c r="K54" s="14"/>
    </row>
    <row r="55" spans="1:11">
      <c r="A55" s="600"/>
      <c r="E55" s="14"/>
      <c r="F55" s="14"/>
      <c r="G55" s="14"/>
      <c r="H55" s="14"/>
      <c r="I55" s="14"/>
      <c r="J55" s="14"/>
      <c r="K55" s="14"/>
    </row>
    <row r="56" spans="1:11">
      <c r="A56" s="600"/>
      <c r="E56" s="14"/>
      <c r="F56" s="14"/>
      <c r="G56" s="14"/>
      <c r="H56" s="14"/>
      <c r="I56" s="14"/>
      <c r="J56" s="14"/>
      <c r="K56" s="14"/>
    </row>
    <row r="57" spans="1:11">
      <c r="A57" s="600"/>
    </row>
    <row r="58" spans="1:11">
      <c r="A58" s="600"/>
    </row>
    <row r="59" spans="1:11">
      <c r="A59" s="600"/>
    </row>
    <row r="60" spans="1:11">
      <c r="A60" s="600"/>
    </row>
    <row r="61" spans="1:11">
      <c r="A61" s="600"/>
    </row>
    <row r="62" spans="1:11">
      <c r="A62" s="600"/>
    </row>
    <row r="63" spans="1:11">
      <c r="A63" s="600"/>
    </row>
    <row r="64" spans="1:11">
      <c r="A64" s="600"/>
    </row>
    <row r="65" spans="1:1">
      <c r="A65" s="600"/>
    </row>
  </sheetData>
  <phoneticPr fontId="23" type="noConversion"/>
  <pageMargins left="0.75" right="0.75" top="1" bottom="1" header="0.5" footer="0.5"/>
  <pageSetup scale="70" orientation="landscape" cellComments="asDisplayed" r:id="rId1"/>
  <headerFooter alignWithMargins="0">
    <oddHeader>&amp;CSchedule 27
Allocation Factors
&amp;RExhibit SCE-4
TO2018 Formula Rate Spreadsheet</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1663</v>
      </c>
    </row>
    <row r="3" spans="1:9">
      <c r="B3" s="1" t="s">
        <v>506</v>
      </c>
      <c r="I3" s="97" t="s">
        <v>17</v>
      </c>
    </row>
    <row r="4" spans="1:9">
      <c r="B4" s="1"/>
      <c r="I4" s="14"/>
    </row>
    <row r="5" spans="1:9">
      <c r="E5" s="111" t="s">
        <v>1888</v>
      </c>
    </row>
    <row r="6" spans="1:9">
      <c r="A6" s="51" t="s">
        <v>332</v>
      </c>
      <c r="C6" s="3" t="s">
        <v>234</v>
      </c>
      <c r="D6" s="3" t="s">
        <v>235</v>
      </c>
      <c r="E6" s="1050" t="s">
        <v>63</v>
      </c>
      <c r="G6" s="3" t="s">
        <v>236</v>
      </c>
      <c r="I6" s="51" t="s">
        <v>205</v>
      </c>
    </row>
    <row r="7" spans="1:9">
      <c r="A7" s="2">
        <v>1</v>
      </c>
      <c r="C7" s="150">
        <v>2016</v>
      </c>
      <c r="D7" s="1118" t="s">
        <v>2586</v>
      </c>
      <c r="E7" s="97">
        <v>366</v>
      </c>
      <c r="F7" s="1112"/>
      <c r="G7" s="1130">
        <v>9.2057000000000007E-3</v>
      </c>
      <c r="H7" s="1112"/>
      <c r="I7" s="782" t="s">
        <v>2587</v>
      </c>
    </row>
    <row r="8" spans="1:9">
      <c r="A8" s="2">
        <v>2</v>
      </c>
      <c r="C8" s="97"/>
      <c r="D8" s="97"/>
      <c r="E8" s="97"/>
      <c r="G8" s="97"/>
      <c r="I8" s="116"/>
    </row>
    <row r="10" spans="1:9">
      <c r="B10" s="1" t="s">
        <v>1664</v>
      </c>
    </row>
    <row r="11" spans="1:9">
      <c r="B11" s="1"/>
    </row>
    <row r="12" spans="1:9">
      <c r="E12" s="111" t="s">
        <v>1888</v>
      </c>
    </row>
    <row r="13" spans="1:9">
      <c r="C13" s="3" t="s">
        <v>234</v>
      </c>
      <c r="D13" s="3" t="s">
        <v>235</v>
      </c>
      <c r="E13" s="1050" t="s">
        <v>63</v>
      </c>
      <c r="G13" s="3" t="s">
        <v>237</v>
      </c>
      <c r="I13" s="51" t="s">
        <v>205</v>
      </c>
    </row>
    <row r="14" spans="1:9">
      <c r="A14" s="2">
        <v>3</v>
      </c>
      <c r="C14" s="150">
        <v>2016</v>
      </c>
      <c r="D14" s="97" t="s">
        <v>2586</v>
      </c>
      <c r="E14" s="97">
        <v>366</v>
      </c>
      <c r="F14" s="1112"/>
      <c r="G14" s="88">
        <v>2.4076000000000002E-3</v>
      </c>
      <c r="H14" s="1112"/>
      <c r="I14" s="1118" t="s">
        <v>2588</v>
      </c>
    </row>
    <row r="15" spans="1:9">
      <c r="A15" s="2">
        <v>4</v>
      </c>
      <c r="C15" s="150"/>
      <c r="D15" s="97"/>
      <c r="E15" s="97"/>
      <c r="G15" s="88"/>
      <c r="I15" s="116"/>
    </row>
    <row r="18" spans="1:9">
      <c r="B18" s="1" t="s">
        <v>505</v>
      </c>
    </row>
    <row r="19" spans="1:9">
      <c r="B19" s="1"/>
    </row>
    <row r="20" spans="1:9">
      <c r="C20" s="2" t="s">
        <v>407</v>
      </c>
      <c r="D20" s="2"/>
      <c r="E20" s="2"/>
    </row>
    <row r="21" spans="1:9">
      <c r="C21" s="3" t="s">
        <v>193</v>
      </c>
      <c r="D21" s="3" t="s">
        <v>236</v>
      </c>
      <c r="E21" s="3" t="s">
        <v>237</v>
      </c>
      <c r="I21" s="51" t="s">
        <v>168</v>
      </c>
    </row>
    <row r="22" spans="1:9">
      <c r="A22" s="2">
        <v>5</v>
      </c>
      <c r="C22" s="151">
        <v>2016</v>
      </c>
      <c r="D22" s="1051">
        <f>E41</f>
        <v>9.2057000000000007E-3</v>
      </c>
      <c r="E22" s="1051">
        <f>E42</f>
        <v>2.4076000000000002E-3</v>
      </c>
      <c r="F22" s="14"/>
      <c r="G22" s="14"/>
      <c r="H22" s="14"/>
      <c r="I22" s="505" t="s">
        <v>1759</v>
      </c>
    </row>
    <row r="24" spans="1:9">
      <c r="B24" s="1" t="s">
        <v>232</v>
      </c>
    </row>
    <row r="25" spans="1:9">
      <c r="B25" s="12" t="s">
        <v>556</v>
      </c>
    </row>
    <row r="26" spans="1:9">
      <c r="B26" s="12" t="s">
        <v>555</v>
      </c>
    </row>
    <row r="28" spans="1:9">
      <c r="B28" s="1" t="s">
        <v>382</v>
      </c>
    </row>
    <row r="29" spans="1:9">
      <c r="B29" s="505" t="s">
        <v>1761</v>
      </c>
      <c r="C29" s="14"/>
      <c r="D29" s="14"/>
      <c r="E29" s="14"/>
      <c r="F29" s="14"/>
      <c r="G29" s="14"/>
      <c r="H29" s="14"/>
      <c r="I29" s="14"/>
    </row>
    <row r="30" spans="1:9">
      <c r="B30" s="505" t="s">
        <v>1771</v>
      </c>
      <c r="C30" s="14"/>
      <c r="D30" s="14"/>
      <c r="E30" s="14"/>
      <c r="F30" s="14"/>
      <c r="G30" s="14"/>
      <c r="H30" s="14"/>
      <c r="I30" s="14"/>
    </row>
    <row r="31" spans="1:9">
      <c r="B31" s="505" t="s">
        <v>1893</v>
      </c>
      <c r="C31" s="14"/>
      <c r="D31" s="14"/>
      <c r="E31" s="14"/>
      <c r="F31" s="14"/>
      <c r="G31" s="14"/>
      <c r="H31" s="14"/>
      <c r="I31" s="14"/>
    </row>
    <row r="32" spans="1:9">
      <c r="B32" s="505" t="s">
        <v>1892</v>
      </c>
      <c r="C32" s="14"/>
      <c r="D32" s="14"/>
      <c r="E32" s="14"/>
      <c r="F32" s="14"/>
      <c r="G32" s="14"/>
      <c r="H32" s="14"/>
      <c r="I32" s="14"/>
    </row>
    <row r="33" spans="2:9">
      <c r="B33" s="505" t="s">
        <v>1756</v>
      </c>
      <c r="C33" s="14"/>
      <c r="D33" s="14"/>
      <c r="E33" s="14"/>
      <c r="F33" s="14"/>
      <c r="G33" s="14"/>
      <c r="H33" s="14"/>
      <c r="I33" s="14"/>
    </row>
    <row r="34" spans="2:9">
      <c r="B34" s="505" t="s">
        <v>1757</v>
      </c>
      <c r="C34" s="14"/>
      <c r="D34" s="14"/>
      <c r="E34" s="14"/>
      <c r="F34" s="14"/>
      <c r="G34" s="14"/>
      <c r="H34" s="14"/>
      <c r="I34" s="14"/>
    </row>
    <row r="35" spans="2:9">
      <c r="B35" s="505" t="s">
        <v>2052</v>
      </c>
      <c r="C35" s="14"/>
      <c r="D35" s="14"/>
      <c r="E35" s="14"/>
      <c r="F35" s="14"/>
      <c r="G35" s="14"/>
      <c r="H35" s="14"/>
      <c r="I35" s="14"/>
    </row>
    <row r="36" spans="2:9">
      <c r="B36" s="505" t="s">
        <v>1760</v>
      </c>
      <c r="C36" s="14"/>
      <c r="D36" s="14"/>
      <c r="E36" s="14"/>
      <c r="F36" s="14"/>
      <c r="G36" s="14"/>
      <c r="H36" s="14"/>
      <c r="I36" s="14"/>
    </row>
    <row r="37" spans="2:9">
      <c r="B37" s="505" t="s">
        <v>1758</v>
      </c>
      <c r="C37" s="14"/>
      <c r="D37" s="14"/>
      <c r="E37" s="14"/>
      <c r="F37" s="14"/>
      <c r="G37" s="14"/>
      <c r="H37" s="14"/>
      <c r="I37" s="14"/>
    </row>
    <row r="38" spans="2:9">
      <c r="B38" s="505" t="s">
        <v>1891</v>
      </c>
      <c r="C38" s="14"/>
      <c r="D38" s="14"/>
      <c r="E38" s="14"/>
      <c r="F38" s="14"/>
      <c r="G38" s="14"/>
      <c r="H38" s="14"/>
      <c r="I38" s="14"/>
    </row>
    <row r="39" spans="2:9">
      <c r="B39" s="14"/>
      <c r="C39" s="14"/>
      <c r="D39" s="14"/>
      <c r="E39" s="14"/>
      <c r="F39" s="14"/>
      <c r="G39" s="14"/>
      <c r="H39" s="14"/>
      <c r="I39" s="14"/>
    </row>
    <row r="40" spans="2:9">
      <c r="B40" s="14"/>
      <c r="C40" s="14"/>
      <c r="D40" s="14"/>
      <c r="E40" s="125" t="s">
        <v>1451</v>
      </c>
      <c r="F40" s="14"/>
      <c r="G40" s="960" t="s">
        <v>154</v>
      </c>
      <c r="H40" s="14"/>
      <c r="I40" s="14"/>
    </row>
    <row r="41" spans="2:9">
      <c r="B41" s="14"/>
      <c r="C41" s="14"/>
      <c r="D41" s="969" t="s">
        <v>1889</v>
      </c>
      <c r="E41" s="1051">
        <f>((G7*E7) + (G8*E8))/(E7+E8)</f>
        <v>9.2057000000000007E-3</v>
      </c>
      <c r="F41" s="14"/>
      <c r="G41" s="621" t="s">
        <v>2449</v>
      </c>
      <c r="H41" s="14"/>
      <c r="I41" s="14"/>
    </row>
    <row r="42" spans="2:9">
      <c r="B42" s="14"/>
      <c r="C42" s="14"/>
      <c r="D42" s="969" t="s">
        <v>1890</v>
      </c>
      <c r="E42" s="1051">
        <f>((G14*E14) + (G15*E15))/(E14+E15)</f>
        <v>2.4076000000000002E-3</v>
      </c>
      <c r="F42" s="14"/>
      <c r="G42" s="621" t="s">
        <v>2450</v>
      </c>
      <c r="H42" s="14"/>
      <c r="I42" s="14"/>
    </row>
  </sheetData>
  <phoneticPr fontId="23" type="noConversion"/>
  <pageMargins left="0.75" right="0.75" top="1" bottom="1" header="0.5" footer="0.5"/>
  <pageSetup scale="82" orientation="portrait" cellComments="asDisplayed" r:id="rId1"/>
  <headerFooter alignWithMargins="0">
    <oddHeader>&amp;CSchedule 28
FF and U
&amp;RExhibit SCE-4
TO2018 Formula Rate Spreadsheet</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1399</v>
      </c>
    </row>
    <row r="2" spans="1:10">
      <c r="G2" s="43" t="s">
        <v>17</v>
      </c>
      <c r="H2" s="43"/>
      <c r="I2" s="97"/>
    </row>
    <row r="3" spans="1:10">
      <c r="A3" s="3" t="s">
        <v>332</v>
      </c>
      <c r="B3" s="3" t="s">
        <v>83</v>
      </c>
      <c r="F3" s="51" t="s">
        <v>168</v>
      </c>
      <c r="G3" s="51" t="s">
        <v>179</v>
      </c>
      <c r="J3" s="51"/>
    </row>
    <row r="4" spans="1:10">
      <c r="A4" s="2">
        <v>1</v>
      </c>
      <c r="B4" s="47">
        <f>'1-BaseTRR'!K156</f>
        <v>1162911173.2259419</v>
      </c>
      <c r="C4" s="52" t="s">
        <v>133</v>
      </c>
      <c r="G4" s="15" t="str">
        <f>"1-BaseTRR, Line "&amp;'1-BaseTRR'!A156&amp;""</f>
        <v>1-BaseTRR, Line 89</v>
      </c>
      <c r="H4" s="14"/>
    </row>
    <row r="5" spans="1:10">
      <c r="A5" s="2">
        <f t="shared" ref="A5:A10" si="0">A4+1</f>
        <v>2</v>
      </c>
      <c r="B5" s="1160">
        <v>-121378713</v>
      </c>
      <c r="C5" s="52" t="s">
        <v>134</v>
      </c>
      <c r="F5" s="12" t="s">
        <v>364</v>
      </c>
      <c r="G5" s="1148" t="s">
        <v>2866</v>
      </c>
      <c r="H5" s="1150"/>
      <c r="I5" s="1148" t="s">
        <v>2870</v>
      </c>
    </row>
    <row r="6" spans="1:10">
      <c r="A6" s="2">
        <f t="shared" si="0"/>
        <v>3</v>
      </c>
      <c r="B6" s="1160">
        <v>-120967080</v>
      </c>
      <c r="C6" s="52" t="s">
        <v>135</v>
      </c>
      <c r="G6" s="1148" t="s">
        <v>2866</v>
      </c>
      <c r="H6" s="1150"/>
      <c r="I6" s="1148" t="s">
        <v>2870</v>
      </c>
    </row>
    <row r="7" spans="1:10">
      <c r="A7" s="2">
        <f t="shared" si="0"/>
        <v>4</v>
      </c>
      <c r="B7" s="1160">
        <v>-411633</v>
      </c>
      <c r="C7" s="52" t="s">
        <v>136</v>
      </c>
      <c r="G7" s="1148" t="s">
        <v>2866</v>
      </c>
      <c r="H7" s="1150"/>
      <c r="I7" s="1148" t="s">
        <v>2870</v>
      </c>
    </row>
    <row r="8" spans="1:10">
      <c r="A8" s="2">
        <f t="shared" si="0"/>
        <v>5</v>
      </c>
      <c r="B8" s="47">
        <f>-'33-RetailRates'!E61</f>
        <v>-8215990.6522047929</v>
      </c>
      <c r="C8" s="52" t="s">
        <v>137</v>
      </c>
      <c r="F8" t="s">
        <v>365</v>
      </c>
      <c r="G8" t="s">
        <v>82</v>
      </c>
    </row>
    <row r="9" spans="1:10">
      <c r="A9" s="2">
        <f t="shared" si="0"/>
        <v>6</v>
      </c>
      <c r="B9" s="8">
        <f>'31-HVLV'!C45</f>
        <v>0.97595689235920724</v>
      </c>
      <c r="C9" s="52" t="s">
        <v>81</v>
      </c>
      <c r="G9" s="15" t="str">
        <f>"31-HVLV, Line "&amp;'31-HVLV'!A45&amp;""</f>
        <v>31-HVLV, Line 37</v>
      </c>
      <c r="H9" s="14"/>
    </row>
    <row r="10" spans="1:10">
      <c r="A10" s="2">
        <f t="shared" si="0"/>
        <v>7</v>
      </c>
      <c r="B10" s="8">
        <f>'31-HVLV'!D45</f>
        <v>2.4043107640792701E-2</v>
      </c>
      <c r="C10" s="52" t="s">
        <v>80</v>
      </c>
      <c r="G10" s="15" t="str">
        <f>"31-HVLV, Line "&amp;'31-HVLV'!A45&amp;""</f>
        <v>31-HVLV, Line 37</v>
      </c>
      <c r="H10" s="14"/>
    </row>
    <row r="11" spans="1:10">
      <c r="C11" s="37"/>
      <c r="D11" s="89"/>
      <c r="E11" s="89"/>
      <c r="F11" s="89"/>
      <c r="G11" s="89"/>
      <c r="H11" s="89"/>
      <c r="J11" s="89"/>
    </row>
    <row r="12" spans="1:10">
      <c r="B12" s="1" t="s">
        <v>1524</v>
      </c>
      <c r="C12" s="37"/>
      <c r="D12" s="89"/>
      <c r="E12" s="89"/>
      <c r="F12" s="89"/>
      <c r="G12" s="89"/>
      <c r="H12" s="89"/>
    </row>
    <row r="13" spans="1:10">
      <c r="B13" s="1"/>
      <c r="C13" s="37"/>
      <c r="D13" s="89"/>
      <c r="E13" s="89"/>
      <c r="F13" s="89"/>
      <c r="G13" s="89"/>
      <c r="H13" s="89"/>
    </row>
    <row r="14" spans="1:10">
      <c r="B14" s="1"/>
      <c r="C14" s="37"/>
      <c r="D14" s="84" t="s">
        <v>363</v>
      </c>
      <c r="E14" s="84" t="s">
        <v>347</v>
      </c>
      <c r="F14" s="84" t="s">
        <v>348</v>
      </c>
      <c r="G14" s="89"/>
      <c r="H14" s="89"/>
    </row>
    <row r="15" spans="1:10">
      <c r="B15" s="1"/>
      <c r="C15" s="37"/>
      <c r="F15" s="89"/>
      <c r="G15" s="89"/>
      <c r="H15" s="89"/>
    </row>
    <row r="16" spans="1:10">
      <c r="E16" s="2" t="s">
        <v>474</v>
      </c>
      <c r="F16" s="2" t="s">
        <v>475</v>
      </c>
    </row>
    <row r="17" spans="1:8">
      <c r="C17" s="37"/>
      <c r="D17" s="3" t="s">
        <v>138</v>
      </c>
      <c r="E17" s="3" t="s">
        <v>473</v>
      </c>
      <c r="F17" s="3" t="s">
        <v>473</v>
      </c>
      <c r="G17" s="3"/>
      <c r="H17" s="3" t="s">
        <v>179</v>
      </c>
    </row>
    <row r="18" spans="1:8">
      <c r="A18" s="2">
        <f>A10+1</f>
        <v>8</v>
      </c>
      <c r="B18" s="90"/>
      <c r="C18" s="68" t="s">
        <v>149</v>
      </c>
      <c r="D18" s="7">
        <f>B4</f>
        <v>1162911173.2259419</v>
      </c>
      <c r="E18" s="7">
        <f>D18*B9</f>
        <v>1134951174.71139</v>
      </c>
      <c r="F18" s="7">
        <f>D18*B10</f>
        <v>27959998.514551848</v>
      </c>
      <c r="G18" s="7"/>
      <c r="H18" s="503" t="s">
        <v>284</v>
      </c>
    </row>
    <row r="19" spans="1:8">
      <c r="A19" s="527">
        <f>A18+1</f>
        <v>9</v>
      </c>
      <c r="B19" s="90"/>
      <c r="C19" s="68" t="s">
        <v>1522</v>
      </c>
      <c r="D19" s="7">
        <f>'24-CWIPTRR'!E145</f>
        <v>28424757.959372923</v>
      </c>
      <c r="E19" s="7">
        <f>'24-CWIPTRR'!E145</f>
        <v>28424757.959372923</v>
      </c>
      <c r="F19" s="7">
        <v>0</v>
      </c>
      <c r="G19" s="7"/>
      <c r="H19" s="503" t="s">
        <v>963</v>
      </c>
    </row>
    <row r="20" spans="1:8">
      <c r="A20" s="527">
        <f>A19+1</f>
        <v>10</v>
      </c>
      <c r="B20" s="90"/>
      <c r="C20" s="68" t="s">
        <v>1523</v>
      </c>
      <c r="D20" s="7">
        <f>D18-D19</f>
        <v>1134486415.2665689</v>
      </c>
      <c r="E20" s="7">
        <f t="shared" ref="E20:F20" si="1">E18-E19</f>
        <v>1106526416.752017</v>
      </c>
      <c r="F20" s="7">
        <f t="shared" si="1"/>
        <v>27959998.514551848</v>
      </c>
      <c r="G20" s="7"/>
      <c r="H20" s="503" t="s">
        <v>964</v>
      </c>
    </row>
    <row r="21" spans="1:8">
      <c r="B21" s="90"/>
      <c r="C21" s="90"/>
      <c r="D21" s="7"/>
      <c r="E21" s="7"/>
      <c r="F21" s="7"/>
      <c r="G21" s="7"/>
    </row>
    <row r="22" spans="1:8">
      <c r="A22" s="2">
        <f>A20+1</f>
        <v>11</v>
      </c>
      <c r="B22" s="1"/>
      <c r="C22" s="68" t="s">
        <v>139</v>
      </c>
      <c r="D22" s="7">
        <f>B5</f>
        <v>-121378713</v>
      </c>
      <c r="E22" s="7">
        <f>B6</f>
        <v>-120967080</v>
      </c>
      <c r="F22" s="7">
        <f>B7</f>
        <v>-411633</v>
      </c>
      <c r="G22" s="7"/>
      <c r="H22" t="str">
        <f>"Lines "&amp;A5&amp;" to "&amp;A7&amp;""</f>
        <v>Lines 2 to 4</v>
      </c>
    </row>
    <row r="23" spans="1:8">
      <c r="B23" s="1"/>
      <c r="C23" s="68"/>
      <c r="D23" s="7"/>
      <c r="E23" s="7"/>
      <c r="F23" s="7"/>
      <c r="G23" s="7"/>
    </row>
    <row r="24" spans="1:8">
      <c r="A24" s="2">
        <f>A22+1</f>
        <v>12</v>
      </c>
      <c r="B24" s="1"/>
      <c r="C24" s="68" t="s">
        <v>1653</v>
      </c>
      <c r="D24" s="91">
        <f>$B$8</f>
        <v>-8215990.6522047929</v>
      </c>
      <c r="E24" s="91">
        <f>$B$8*$B$9</f>
        <v>-8018452.7045780858</v>
      </c>
      <c r="F24" s="91">
        <f>$B$8*$B$10</f>
        <v>-197537.94762670647</v>
      </c>
      <c r="G24" s="91"/>
      <c r="H24" s="503" t="s">
        <v>531</v>
      </c>
    </row>
    <row r="25" spans="1:8">
      <c r="A25" s="583"/>
      <c r="B25" s="1"/>
      <c r="C25" s="68"/>
      <c r="D25" s="91"/>
      <c r="E25" s="91"/>
      <c r="F25" s="91"/>
      <c r="G25" s="91"/>
      <c r="H25" s="503"/>
    </row>
    <row r="26" spans="1:8">
      <c r="B26" s="1"/>
      <c r="C26" s="68" t="s">
        <v>1654</v>
      </c>
      <c r="D26" s="91"/>
      <c r="E26" s="91"/>
      <c r="F26" s="91"/>
      <c r="G26" s="91"/>
    </row>
    <row r="27" spans="1:8">
      <c r="A27" s="2">
        <f>A24+1</f>
        <v>13</v>
      </c>
      <c r="B27" s="1"/>
      <c r="C27" s="68" t="s">
        <v>1655</v>
      </c>
      <c r="D27" s="7">
        <f>D18+D22+D24</f>
        <v>1033316469.5737371</v>
      </c>
      <c r="E27" s="7">
        <f>E18+E22+E24</f>
        <v>1005965642.006812</v>
      </c>
      <c r="F27" s="7">
        <f>F18+F22+F24</f>
        <v>27350827.566925142</v>
      </c>
      <c r="G27" s="7"/>
      <c r="H27" s="101" t="str">
        <f>"Sum of Lines "&amp;A18&amp;", "&amp;A22&amp;", and "&amp;A24&amp;""</f>
        <v>Sum of Lines 8, 11, and 12</v>
      </c>
    </row>
    <row r="28" spans="1:8">
      <c r="E28" s="7"/>
    </row>
    <row r="29" spans="1:8">
      <c r="B29" s="51" t="s">
        <v>232</v>
      </c>
    </row>
    <row r="30" spans="1:8">
      <c r="B30" s="12" t="s">
        <v>1427</v>
      </c>
    </row>
    <row r="31" spans="1:8">
      <c r="B31" s="503" t="s">
        <v>1665</v>
      </c>
    </row>
    <row r="32" spans="1:8">
      <c r="B32" s="12" t="s">
        <v>1428</v>
      </c>
    </row>
    <row r="33" spans="2:6">
      <c r="B33" s="505" t="s">
        <v>1806</v>
      </c>
      <c r="C33" s="14"/>
      <c r="D33" s="97" t="s">
        <v>2593</v>
      </c>
      <c r="E33" s="97"/>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&amp;RExhibit SCE-4
TO2018 Formula Rate Spreadsheet</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1425</v>
      </c>
    </row>
    <row r="2" spans="1:9">
      <c r="B2" s="1"/>
    </row>
    <row r="3" spans="1:9">
      <c r="B3" s="12" t="s">
        <v>140</v>
      </c>
      <c r="E3" s="14"/>
      <c r="F3" s="114"/>
    </row>
    <row r="4" spans="1:9">
      <c r="B4" s="12"/>
    </row>
    <row r="5" spans="1:9">
      <c r="B5" s="13" t="s">
        <v>141</v>
      </c>
    </row>
    <row r="6" spans="1:9">
      <c r="B6" s="507" t="s">
        <v>2369</v>
      </c>
    </row>
    <row r="7" spans="1:9">
      <c r="B7" s="507" t="s">
        <v>2370</v>
      </c>
    </row>
    <row r="8" spans="1:9">
      <c r="B8" s="12"/>
    </row>
    <row r="9" spans="1:9">
      <c r="B9" s="12"/>
    </row>
    <row r="10" spans="1:9">
      <c r="B10" s="1" t="s">
        <v>142</v>
      </c>
    </row>
    <row r="11" spans="1:9">
      <c r="A11" s="3" t="s">
        <v>332</v>
      </c>
      <c r="G11" s="3" t="s">
        <v>179</v>
      </c>
    </row>
    <row r="12" spans="1:9">
      <c r="A12" s="2">
        <v>1</v>
      </c>
      <c r="D12" s="94" t="s">
        <v>1401</v>
      </c>
      <c r="E12" s="7">
        <f>'29-WholesaleTRRs'!F27</f>
        <v>27350827.566925142</v>
      </c>
      <c r="G12" s="46" t="str">
        <f>"29-WholesaleTRRs, Line "&amp;'29-WholesaleTRRs'!A27&amp;", C3"</f>
        <v>29-WholesaleTRRs, Line 13, C3</v>
      </c>
      <c r="H12" s="14"/>
      <c r="I12" s="14"/>
    </row>
    <row r="13" spans="1:9">
      <c r="A13" s="2">
        <f>A12+1</f>
        <v>2</v>
      </c>
      <c r="D13" s="94" t="s">
        <v>1400</v>
      </c>
      <c r="E13" s="113">
        <f>'32-GrossLoad'!F7</f>
        <v>88026785</v>
      </c>
      <c r="F13" s="13" t="s">
        <v>285</v>
      </c>
      <c r="G13" s="46" t="str">
        <f>"32-Gross Load, Line "&amp;'32-GrossLoad'!A7&amp;""</f>
        <v>32-Gross Load, Line 3</v>
      </c>
      <c r="H13" s="14"/>
      <c r="I13" s="14"/>
    </row>
    <row r="14" spans="1:9">
      <c r="A14" s="2">
        <f>A13+1</f>
        <v>3</v>
      </c>
      <c r="D14" s="94" t="s">
        <v>1402</v>
      </c>
      <c r="E14" s="92">
        <f>E12/(E13*1000)</f>
        <v>3.1071028627167451E-4</v>
      </c>
      <c r="F14" s="16" t="s">
        <v>143</v>
      </c>
      <c r="G14" s="114" t="str">
        <f>"Line "&amp;A12&amp;" / (Line "&amp;A13&amp;" * 1000)"</f>
        <v>Line 1 / (Line 2 * 1000)</v>
      </c>
      <c r="H14" s="14"/>
      <c r="I14" s="14"/>
    </row>
    <row r="15" spans="1:9">
      <c r="D15" s="37"/>
      <c r="E15" s="71"/>
      <c r="G15" s="14"/>
      <c r="H15" s="14"/>
      <c r="I15" s="14"/>
    </row>
    <row r="16" spans="1:9">
      <c r="G16" s="14"/>
      <c r="H16" s="14"/>
      <c r="I16" s="14"/>
    </row>
    <row r="17" spans="1:9">
      <c r="B17" s="1" t="s">
        <v>144</v>
      </c>
      <c r="G17" s="14"/>
      <c r="H17" s="14"/>
      <c r="I17" s="14"/>
    </row>
    <row r="18" spans="1:9">
      <c r="C18" s="52" t="s">
        <v>145</v>
      </c>
      <c r="G18" s="14"/>
      <c r="H18" s="14"/>
      <c r="I18" s="14"/>
    </row>
    <row r="19" spans="1:9">
      <c r="G19" s="125" t="s">
        <v>179</v>
      </c>
      <c r="H19" s="14"/>
      <c r="I19" s="14"/>
    </row>
    <row r="20" spans="1:9">
      <c r="A20" s="600">
        <f>A14+1</f>
        <v>4</v>
      </c>
      <c r="D20" s="37" t="s">
        <v>146</v>
      </c>
      <c r="E20" s="7">
        <f>'29-WholesaleTRRs'!E27</f>
        <v>1005965642.006812</v>
      </c>
      <c r="G20" s="46" t="str">
        <f>"29-WholesaleTRRs, Line "&amp;'29-WholesaleTRRs'!A27&amp;", C2"</f>
        <v>29-WholesaleTRRs, Line 13, C2</v>
      </c>
      <c r="H20" s="14"/>
      <c r="I20" s="14"/>
    </row>
    <row r="21" spans="1:9">
      <c r="A21" s="2">
        <f>A20+1</f>
        <v>5</v>
      </c>
      <c r="D21" s="94" t="s">
        <v>1400</v>
      </c>
      <c r="E21" s="113">
        <f>'32-GrossLoad'!F7</f>
        <v>88026785</v>
      </c>
      <c r="F21" s="13" t="s">
        <v>285</v>
      </c>
      <c r="G21" s="46" t="str">
        <f>"32-Gross Load, Line "&amp;'32-GrossLoad'!A7&amp;""</f>
        <v>32-Gross Load, Line 3</v>
      </c>
      <c r="H21" s="14"/>
      <c r="I21" s="14"/>
    </row>
    <row r="22" spans="1:9">
      <c r="A22" s="2">
        <f>A21+1</f>
        <v>6</v>
      </c>
      <c r="D22" s="94" t="s">
        <v>1403</v>
      </c>
      <c r="E22" s="93">
        <f>E20/(E21*1000)</f>
        <v>1.1427949367988527E-2</v>
      </c>
      <c r="F22" s="16" t="s">
        <v>143</v>
      </c>
      <c r="G22" s="114" t="str">
        <f>"Line "&amp;A20&amp;" / (Line "&amp;A21&amp;" * 1000)"</f>
        <v>Line 4 / (Line 5 * 1000)</v>
      </c>
      <c r="H22" s="14"/>
      <c r="I22" s="14"/>
    </row>
    <row r="23" spans="1:9">
      <c r="G23" s="14"/>
      <c r="H23" s="14"/>
      <c r="I23" s="14"/>
    </row>
    <row r="24" spans="1:9">
      <c r="B24" s="1" t="s">
        <v>147</v>
      </c>
      <c r="G24" s="14"/>
      <c r="H24" s="14"/>
      <c r="I24" s="14"/>
    </row>
    <row r="25" spans="1:9">
      <c r="G25" s="125" t="s">
        <v>179</v>
      </c>
      <c r="H25" s="14"/>
      <c r="I25" s="14"/>
    </row>
    <row r="26" spans="1:9">
      <c r="A26" s="2">
        <f>A22+1</f>
        <v>7</v>
      </c>
      <c r="D26" s="94" t="s">
        <v>1404</v>
      </c>
      <c r="E26" s="7">
        <f>'29-WholesaleTRRs'!E27</f>
        <v>1005965642.006812</v>
      </c>
      <c r="G26" s="46" t="str">
        <f>"29-WholesaleTRRs, Line "&amp;'29-WholesaleTRRs'!A27&amp;", C2"</f>
        <v>29-WholesaleTRRs, Line 13, C2</v>
      </c>
      <c r="H26" s="14"/>
      <c r="I26" s="14"/>
    </row>
    <row r="27" spans="1:9">
      <c r="A27" s="2">
        <f>A26+1</f>
        <v>8</v>
      </c>
      <c r="D27" s="94" t="s">
        <v>1405</v>
      </c>
      <c r="E27" s="113">
        <f>'32-GrossLoad'!F10</f>
        <v>163348</v>
      </c>
      <c r="F27" s="16" t="s">
        <v>148</v>
      </c>
      <c r="G27" s="46" t="str">
        <f>"32-Gross Load, Line "&amp;'32-GrossLoad'!A10&amp;""</f>
        <v>32-Gross Load, Line 4</v>
      </c>
      <c r="H27" s="14"/>
      <c r="I27" s="14"/>
    </row>
    <row r="28" spans="1:9">
      <c r="A28" s="2">
        <f>A27+1</f>
        <v>9</v>
      </c>
      <c r="D28" s="94" t="s">
        <v>1406</v>
      </c>
      <c r="E28" s="71">
        <f>ROUND((E26/(E27*1000)),2)</f>
        <v>6.16</v>
      </c>
      <c r="F28" s="13" t="s">
        <v>329</v>
      </c>
      <c r="G28" s="114" t="str">
        <f>"Line "&amp;A26&amp;" / (Line "&amp;A27&amp;" * 1000)"</f>
        <v>Line 7 / (Line 8 * 1000)</v>
      </c>
      <c r="H28" s="14"/>
      <c r="I28" s="14"/>
    </row>
    <row r="29" spans="1:9">
      <c r="G29" s="14"/>
      <c r="H29" s="14"/>
      <c r="I29" s="14"/>
    </row>
    <row r="31" spans="1:9">
      <c r="B31" s="51" t="s">
        <v>232</v>
      </c>
    </row>
    <row r="32" spans="1:9">
      <c r="B32" s="12" t="s">
        <v>1426</v>
      </c>
    </row>
    <row r="33" spans="2:4">
      <c r="B33" s="503" t="s">
        <v>1807</v>
      </c>
      <c r="D33" s="14"/>
    </row>
  </sheetData>
  <phoneticPr fontId="23" type="noConversion"/>
  <pageMargins left="0.75" right="0.75" top="1" bottom="1" header="0.5" footer="0.5"/>
  <pageSetup scale="84" orientation="portrait" cellComments="asDisplayed" r:id="rId1"/>
  <headerFooter alignWithMargins="0">
    <oddHeader>&amp;CSchedule 30
Wholesale Rates
&amp;RExhibit SCE-4
TO2018 Formula Rate Spreadsheet</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41" customWidth="1"/>
    <col min="3" max="3" width="16.28515625" style="141" customWidth="1"/>
    <col min="4" max="4" width="14.7109375" style="141" customWidth="1"/>
    <col min="5" max="5" width="16" style="141" customWidth="1"/>
    <col min="6" max="6" width="3.42578125" style="141" bestFit="1" customWidth="1"/>
    <col min="7" max="8" width="14.7109375" style="141" customWidth="1"/>
    <col min="9" max="9" width="17.28515625" style="141" customWidth="1"/>
    <col min="10" max="11" width="14.7109375" style="141" customWidth="1"/>
  </cols>
  <sheetData>
    <row r="1" spans="1:11">
      <c r="A1" s="253" t="s">
        <v>462</v>
      </c>
      <c r="B1" s="17"/>
      <c r="C1" s="17"/>
      <c r="D1" s="17"/>
      <c r="E1" s="17"/>
      <c r="F1" s="17"/>
      <c r="G1" s="17"/>
      <c r="H1" s="17"/>
      <c r="I1" s="17"/>
      <c r="J1" s="17"/>
      <c r="K1" s="17"/>
    </row>
    <row r="2" spans="1:11">
      <c r="A2" s="17" t="s">
        <v>472</v>
      </c>
      <c r="B2" s="17"/>
      <c r="C2" s="17"/>
      <c r="D2" s="17"/>
      <c r="E2" s="17"/>
      <c r="F2" s="17"/>
      <c r="G2" s="17"/>
      <c r="H2" s="17"/>
      <c r="I2" s="254" t="s">
        <v>454</v>
      </c>
      <c r="J2" s="254"/>
      <c r="K2" s="17"/>
    </row>
    <row r="3" spans="1:11">
      <c r="A3" s="12"/>
      <c r="B3" s="17"/>
      <c r="C3" s="17"/>
      <c r="D3" s="17"/>
      <c r="E3" s="17"/>
      <c r="F3" s="17"/>
      <c r="G3" s="17"/>
      <c r="H3" s="17"/>
      <c r="I3" s="17"/>
      <c r="J3" s="17"/>
      <c r="K3" s="17"/>
    </row>
    <row r="4" spans="1:11">
      <c r="A4" s="12"/>
      <c r="B4" s="17"/>
      <c r="C4" s="17"/>
      <c r="D4" s="17"/>
      <c r="E4" s="17"/>
      <c r="F4" s="17"/>
      <c r="G4" s="514" t="s">
        <v>1763</v>
      </c>
      <c r="H4" s="514"/>
      <c r="I4" s="514"/>
      <c r="J4" s="514"/>
      <c r="K4" s="17"/>
    </row>
    <row r="5" spans="1:11">
      <c r="A5" s="12"/>
      <c r="B5" s="253" t="s">
        <v>483</v>
      </c>
      <c r="C5" s="17"/>
      <c r="D5" s="17"/>
      <c r="E5" s="17"/>
      <c r="F5" s="17"/>
      <c r="G5" s="514" t="s">
        <v>1764</v>
      </c>
      <c r="H5" s="514"/>
      <c r="I5" s="514"/>
      <c r="J5" s="514"/>
      <c r="K5" s="17"/>
    </row>
    <row r="6" spans="1:11">
      <c r="A6" s="12"/>
      <c r="B6" s="17"/>
      <c r="C6" s="26" t="s">
        <v>464</v>
      </c>
      <c r="D6" s="26"/>
      <c r="E6" s="26"/>
      <c r="F6" s="26"/>
      <c r="G6" s="26"/>
      <c r="H6" s="26"/>
      <c r="I6" s="26" t="s">
        <v>14</v>
      </c>
      <c r="J6" s="26" t="s">
        <v>15</v>
      </c>
      <c r="K6" s="26" t="s">
        <v>75</v>
      </c>
    </row>
    <row r="7" spans="1:11">
      <c r="A7" s="12"/>
      <c r="B7" s="253" t="s">
        <v>469</v>
      </c>
      <c r="C7" s="31" t="s">
        <v>465</v>
      </c>
      <c r="D7" s="31" t="s">
        <v>426</v>
      </c>
      <c r="E7" s="31" t="s">
        <v>459</v>
      </c>
      <c r="F7" s="31"/>
      <c r="G7" s="31" t="s">
        <v>466</v>
      </c>
      <c r="H7" s="31" t="s">
        <v>467</v>
      </c>
      <c r="I7" s="31" t="s">
        <v>459</v>
      </c>
      <c r="J7" s="31" t="s">
        <v>459</v>
      </c>
      <c r="K7" s="31" t="s">
        <v>468</v>
      </c>
    </row>
    <row r="8" spans="1:11">
      <c r="A8" s="3" t="s">
        <v>332</v>
      </c>
      <c r="B8" s="253"/>
      <c r="C8" s="31"/>
      <c r="D8" s="31"/>
      <c r="E8" s="31"/>
      <c r="F8" s="31"/>
      <c r="G8" s="31"/>
      <c r="H8" s="31"/>
      <c r="I8" s="31"/>
      <c r="J8" s="31"/>
      <c r="K8" s="31"/>
    </row>
    <row r="9" spans="1:11">
      <c r="A9" s="2">
        <v>1</v>
      </c>
      <c r="B9" s="255" t="s">
        <v>471</v>
      </c>
      <c r="C9" s="256"/>
      <c r="D9" s="257"/>
      <c r="E9" s="257"/>
      <c r="F9" s="258"/>
      <c r="G9" s="256"/>
      <c r="H9" s="259"/>
      <c r="I9" s="259"/>
      <c r="J9" s="259"/>
      <c r="K9" s="259"/>
    </row>
    <row r="10" spans="1:11">
      <c r="A10" s="2">
        <f>A9+1</f>
        <v>2</v>
      </c>
      <c r="B10" s="260" t="s">
        <v>1214</v>
      </c>
      <c r="C10" s="261">
        <f>SUM(D10:E10)</f>
        <v>4365608274.7446156</v>
      </c>
      <c r="D10" s="262">
        <f>G10+H10</f>
        <v>207236614.08553284</v>
      </c>
      <c r="E10" s="262">
        <f>I10+J10</f>
        <v>4158371660.6590829</v>
      </c>
      <c r="F10" s="263"/>
      <c r="G10" s="1280">
        <v>207236614.08553284</v>
      </c>
      <c r="H10" s="1280">
        <v>0</v>
      </c>
      <c r="I10" s="1280">
        <v>4158371660.6590829</v>
      </c>
      <c r="J10" s="1280">
        <v>0</v>
      </c>
      <c r="K10" s="1280">
        <v>0</v>
      </c>
    </row>
    <row r="11" spans="1:11">
      <c r="A11" s="2">
        <f t="shared" ref="A11:A47" si="0">A10+1</f>
        <v>3</v>
      </c>
      <c r="B11" s="260" t="s">
        <v>463</v>
      </c>
      <c r="C11" s="264">
        <f>SUM(D11:E11)</f>
        <v>90835004.101283938</v>
      </c>
      <c r="D11" s="265">
        <f>G11+H11</f>
        <v>5567059.7868548939</v>
      </c>
      <c r="E11" s="265">
        <f>I11+J11</f>
        <v>85267944.314429045</v>
      </c>
      <c r="F11" s="266"/>
      <c r="G11" s="1281">
        <v>0</v>
      </c>
      <c r="H11" s="1281">
        <v>5567059.7868548939</v>
      </c>
      <c r="I11" s="1281">
        <v>0</v>
      </c>
      <c r="J11" s="1281">
        <v>85267944.314429045</v>
      </c>
      <c r="K11" s="1281">
        <v>0</v>
      </c>
    </row>
    <row r="12" spans="1:11">
      <c r="A12" s="2">
        <f t="shared" si="0"/>
        <v>4</v>
      </c>
      <c r="B12" s="1052" t="s">
        <v>1762</v>
      </c>
      <c r="C12" s="267">
        <f>SUM(C10:C11)</f>
        <v>4456443278.8458996</v>
      </c>
      <c r="D12" s="267">
        <f t="shared" ref="D12:K12" si="1">SUM(D10:D11)</f>
        <v>212803673.87238774</v>
      </c>
      <c r="E12" s="267">
        <f t="shared" si="1"/>
        <v>4243639604.9735117</v>
      </c>
      <c r="F12" s="267"/>
      <c r="G12" s="267">
        <f t="shared" si="1"/>
        <v>207236614.08553284</v>
      </c>
      <c r="H12" s="267">
        <f t="shared" si="1"/>
        <v>5567059.7868548939</v>
      </c>
      <c r="I12" s="267">
        <f t="shared" si="1"/>
        <v>4158371660.6590829</v>
      </c>
      <c r="J12" s="267">
        <f t="shared" si="1"/>
        <v>85267944.314429045</v>
      </c>
      <c r="K12" s="267">
        <f t="shared" si="1"/>
        <v>0</v>
      </c>
    </row>
    <row r="13" spans="1:11">
      <c r="A13" s="2">
        <f t="shared" si="0"/>
        <v>5</v>
      </c>
      <c r="B13" s="268"/>
      <c r="C13" s="269"/>
      <c r="D13" s="269"/>
      <c r="E13" s="269"/>
      <c r="F13" s="270"/>
      <c r="G13" s="269"/>
      <c r="H13" s="271"/>
      <c r="I13" s="272"/>
      <c r="J13" s="271"/>
      <c r="K13" s="271"/>
    </row>
    <row r="14" spans="1:11">
      <c r="A14" s="2">
        <f t="shared" si="0"/>
        <v>6</v>
      </c>
      <c r="B14" s="273" t="s">
        <v>460</v>
      </c>
      <c r="C14" s="269"/>
      <c r="D14" s="269"/>
      <c r="E14" s="269"/>
      <c r="F14" s="270"/>
      <c r="G14" s="269"/>
      <c r="H14" s="271"/>
      <c r="I14" s="272"/>
      <c r="J14" s="271"/>
      <c r="K14" s="271"/>
    </row>
    <row r="15" spans="1:11">
      <c r="A15" s="2">
        <f t="shared" si="0"/>
        <v>7</v>
      </c>
      <c r="B15" s="274" t="s">
        <v>470</v>
      </c>
      <c r="C15" s="262">
        <f>SUM(D15:E15)</f>
        <v>3366536505.291708</v>
      </c>
      <c r="D15" s="262">
        <f>G15+H15</f>
        <v>39025670.505908668</v>
      </c>
      <c r="E15" s="262">
        <f>I15+J15</f>
        <v>3327510834.7857995</v>
      </c>
      <c r="F15" s="275"/>
      <c r="G15" s="1111">
        <v>39025670.505908668</v>
      </c>
      <c r="H15" s="1282">
        <v>0</v>
      </c>
      <c r="I15" s="1111">
        <v>3327510834.7857995</v>
      </c>
      <c r="J15" s="1282">
        <v>0</v>
      </c>
      <c r="K15" s="1282">
        <v>0</v>
      </c>
    </row>
    <row r="16" spans="1:11">
      <c r="A16" s="2">
        <f t="shared" si="0"/>
        <v>8</v>
      </c>
      <c r="B16" s="958" t="s">
        <v>2217</v>
      </c>
      <c r="C16" s="269">
        <f>SUM(D16:E16)</f>
        <v>412135343.32979482</v>
      </c>
      <c r="D16" s="262">
        <f>G16+H16</f>
        <v>189495.25508244749</v>
      </c>
      <c r="E16" s="262">
        <f>I16+J16+K16</f>
        <v>411945848.0747124</v>
      </c>
      <c r="F16" s="270"/>
      <c r="G16" s="1282">
        <v>122641.70193089198</v>
      </c>
      <c r="H16" s="1282">
        <v>66853.553151555505</v>
      </c>
      <c r="I16" s="1282">
        <v>221615455.19871452</v>
      </c>
      <c r="J16" s="1282">
        <v>119031510.18186453</v>
      </c>
      <c r="K16" s="1282">
        <v>71298882.694133312</v>
      </c>
    </row>
    <row r="17" spans="1:11" ht="15">
      <c r="A17" s="2">
        <f t="shared" si="0"/>
        <v>9</v>
      </c>
      <c r="B17" s="958" t="s">
        <v>2258</v>
      </c>
      <c r="C17" s="276">
        <f>SUM(D17:E17)</f>
        <v>41455167.619014516</v>
      </c>
      <c r="D17" s="265">
        <f>G17+H17</f>
        <v>153790.74791361592</v>
      </c>
      <c r="E17" s="277">
        <f>I17+J17</f>
        <v>41301376.871100903</v>
      </c>
      <c r="F17" s="278"/>
      <c r="G17" s="1283">
        <v>0</v>
      </c>
      <c r="H17" s="1284">
        <v>153790.74791361592</v>
      </c>
      <c r="I17" s="1283">
        <v>0</v>
      </c>
      <c r="J17" s="1284">
        <v>41301376.871100903</v>
      </c>
      <c r="K17" s="1283">
        <v>0</v>
      </c>
    </row>
    <row r="18" spans="1:11">
      <c r="A18" s="2">
        <f t="shared" si="0"/>
        <v>10</v>
      </c>
      <c r="B18" s="1053" t="s">
        <v>1853</v>
      </c>
      <c r="C18" s="262">
        <f>SUM(C15:C17)</f>
        <v>3820127016.2405176</v>
      </c>
      <c r="D18" s="262">
        <f>SUM(D15:D17)</f>
        <v>39368956.508904733</v>
      </c>
      <c r="E18" s="262">
        <f>SUM(E15:E17)</f>
        <v>3780758059.7316127</v>
      </c>
      <c r="F18" s="279"/>
      <c r="G18" s="262">
        <f>SUM(G15:G17)</f>
        <v>39148312.207839563</v>
      </c>
      <c r="H18" s="262">
        <f>SUM(H15:H17)</f>
        <v>220644.30106517143</v>
      </c>
      <c r="I18" s="262">
        <f>SUM(I15:I17)</f>
        <v>3549126289.9845142</v>
      </c>
      <c r="J18" s="262">
        <f>SUM(J15:J17)</f>
        <v>160332887.05296543</v>
      </c>
      <c r="K18" s="262">
        <f>SUM(K15:K17)</f>
        <v>71298882.694133312</v>
      </c>
    </row>
    <row r="19" spans="1:11">
      <c r="A19" s="2">
        <f t="shared" si="0"/>
        <v>11</v>
      </c>
      <c r="B19" s="268"/>
      <c r="C19" s="1054"/>
      <c r="D19" s="1054"/>
      <c r="E19" s="1054"/>
      <c r="F19" s="281"/>
      <c r="G19" s="280"/>
      <c r="H19" s="280"/>
      <c r="I19" s="280"/>
      <c r="J19" s="280"/>
      <c r="K19" s="280"/>
    </row>
    <row r="20" spans="1:11">
      <c r="A20" s="2">
        <f t="shared" si="0"/>
        <v>12</v>
      </c>
      <c r="B20" s="1053" t="s">
        <v>461</v>
      </c>
      <c r="C20" s="1055">
        <f>C12+C18</f>
        <v>8276570295.0864172</v>
      </c>
      <c r="D20" s="1055">
        <f t="shared" ref="D20:K20" si="2">D12+D18</f>
        <v>252172630.38129246</v>
      </c>
      <c r="E20" s="1055">
        <f>E12+E18</f>
        <v>8024397664.7051239</v>
      </c>
      <c r="F20" s="282"/>
      <c r="G20" s="282">
        <f t="shared" si="2"/>
        <v>246384926.29337239</v>
      </c>
      <c r="H20" s="282">
        <f t="shared" si="2"/>
        <v>5787704.087920065</v>
      </c>
      <c r="I20" s="282">
        <f t="shared" si="2"/>
        <v>7707497950.6435966</v>
      </c>
      <c r="J20" s="282">
        <f t="shared" si="2"/>
        <v>245600831.36739448</v>
      </c>
      <c r="K20" s="282">
        <f t="shared" si="2"/>
        <v>71298882.694133312</v>
      </c>
    </row>
    <row r="21" spans="1:11">
      <c r="A21" s="2">
        <f t="shared" si="0"/>
        <v>13</v>
      </c>
      <c r="B21" s="17"/>
      <c r="C21" s="283"/>
      <c r="D21" s="284"/>
      <c r="E21" s="283"/>
      <c r="F21" s="17"/>
      <c r="G21" s="283"/>
      <c r="H21" s="283"/>
      <c r="I21" s="283"/>
      <c r="J21" s="283"/>
      <c r="K21" s="283"/>
    </row>
    <row r="22" spans="1:11">
      <c r="A22" s="2">
        <f t="shared" si="0"/>
        <v>14</v>
      </c>
      <c r="B22" s="17"/>
      <c r="C22" s="283"/>
      <c r="D22" s="284"/>
      <c r="E22" s="283"/>
      <c r="F22" s="17"/>
      <c r="G22" s="283"/>
      <c r="H22" s="283"/>
      <c r="I22" s="283"/>
      <c r="J22" s="283"/>
      <c r="K22" s="283"/>
    </row>
    <row r="23" spans="1:11">
      <c r="A23" s="2">
        <f t="shared" si="0"/>
        <v>15</v>
      </c>
      <c r="B23" s="516" t="s">
        <v>2218</v>
      </c>
      <c r="C23" s="283"/>
      <c r="D23" s="284"/>
      <c r="E23" s="283"/>
      <c r="F23" s="17"/>
      <c r="G23" s="283"/>
      <c r="H23" s="283"/>
      <c r="I23" s="283"/>
      <c r="J23" s="283"/>
      <c r="K23" s="283"/>
    </row>
    <row r="24" spans="1:11">
      <c r="A24" s="2">
        <f t="shared" si="0"/>
        <v>16</v>
      </c>
      <c r="B24" s="17"/>
      <c r="C24" s="285" t="s">
        <v>474</v>
      </c>
      <c r="D24" s="26" t="s">
        <v>475</v>
      </c>
      <c r="E24" s="26"/>
      <c r="F24" s="17"/>
      <c r="G24" s="17"/>
      <c r="H24" s="17"/>
      <c r="I24" s="17"/>
      <c r="J24" s="17"/>
      <c r="K24" s="17"/>
    </row>
    <row r="25" spans="1:11">
      <c r="A25" s="2">
        <f t="shared" si="0"/>
        <v>17</v>
      </c>
      <c r="B25" s="17" t="s">
        <v>331</v>
      </c>
      <c r="C25" s="31" t="s">
        <v>473</v>
      </c>
      <c r="D25" s="31" t="s">
        <v>473</v>
      </c>
      <c r="E25" s="31" t="s">
        <v>196</v>
      </c>
      <c r="F25" s="17"/>
      <c r="G25" s="286" t="s">
        <v>232</v>
      </c>
      <c r="H25" s="17"/>
      <c r="I25" s="17"/>
      <c r="J25" s="17"/>
      <c r="K25" s="17"/>
    </row>
    <row r="26" spans="1:11">
      <c r="A26" s="2">
        <f t="shared" si="0"/>
        <v>18</v>
      </c>
      <c r="B26" s="77" t="s">
        <v>426</v>
      </c>
      <c r="C26" s="282">
        <f>G20</f>
        <v>246384926.29337239</v>
      </c>
      <c r="D26" s="282">
        <f>H20</f>
        <v>5787704.087920065</v>
      </c>
      <c r="E26" s="287">
        <f>SUM(C26:D26)</f>
        <v>252172630.38129246</v>
      </c>
      <c r="F26" s="17"/>
      <c r="G26" s="17" t="s">
        <v>479</v>
      </c>
      <c r="H26" s="17"/>
      <c r="I26" s="17"/>
      <c r="J26" s="17"/>
      <c r="K26" s="17"/>
    </row>
    <row r="27" spans="1:11">
      <c r="A27" s="2">
        <f t="shared" si="0"/>
        <v>19</v>
      </c>
      <c r="B27" s="77" t="s">
        <v>459</v>
      </c>
      <c r="C27" s="282">
        <f>I20</f>
        <v>7707497950.6435966</v>
      </c>
      <c r="D27" s="282">
        <f>J20</f>
        <v>245600831.36739448</v>
      </c>
      <c r="E27" s="287">
        <f>SUM(C27:D27)</f>
        <v>7953098782.0109911</v>
      </c>
      <c r="F27" s="17"/>
      <c r="G27" s="17" t="s">
        <v>479</v>
      </c>
      <c r="H27" s="17"/>
      <c r="I27" s="17"/>
      <c r="J27" s="17"/>
      <c r="K27" s="17"/>
    </row>
    <row r="28" spans="1:11">
      <c r="A28" s="2">
        <f t="shared" si="0"/>
        <v>20</v>
      </c>
      <c r="B28" s="32" t="s">
        <v>477</v>
      </c>
      <c r="C28" s="282">
        <f>SUM(C26:C27)</f>
        <v>7953882876.9369688</v>
      </c>
      <c r="D28" s="282">
        <f>SUM(D26:D27)</f>
        <v>251388535.45531455</v>
      </c>
      <c r="E28" s="282">
        <f>SUM(C28:D28)</f>
        <v>8205271412.3922834</v>
      </c>
      <c r="F28" s="17"/>
      <c r="G28" s="17" t="s">
        <v>480</v>
      </c>
      <c r="H28" s="17"/>
      <c r="I28" s="17"/>
      <c r="J28" s="17"/>
      <c r="K28" s="17"/>
    </row>
    <row r="29" spans="1:11">
      <c r="A29" s="111">
        <f t="shared" si="0"/>
        <v>21</v>
      </c>
      <c r="B29" s="288" t="s">
        <v>476</v>
      </c>
      <c r="C29" s="289">
        <f>C28/E28</f>
        <v>0.96936255696848161</v>
      </c>
      <c r="D29" s="289">
        <f>D28/E28</f>
        <v>3.0637443031518333E-2</v>
      </c>
      <c r="E29" s="290"/>
      <c r="F29" s="1056"/>
      <c r="G29" s="1057" t="s">
        <v>481</v>
      </c>
      <c r="H29" s="268"/>
      <c r="I29" s="268"/>
      <c r="J29" s="268"/>
      <c r="K29" s="1056"/>
    </row>
    <row r="30" spans="1:11">
      <c r="A30" s="111">
        <f t="shared" si="0"/>
        <v>22</v>
      </c>
      <c r="B30" s="291"/>
      <c r="C30" s="292"/>
      <c r="D30" s="292"/>
      <c r="E30" s="292"/>
      <c r="F30" s="291"/>
      <c r="G30" s="291"/>
      <c r="H30" s="291"/>
      <c r="I30" s="291"/>
      <c r="J30" s="291"/>
      <c r="K30" s="291"/>
    </row>
    <row r="31" spans="1:11">
      <c r="A31" s="111">
        <f t="shared" si="0"/>
        <v>23</v>
      </c>
      <c r="B31" s="268" t="s">
        <v>478</v>
      </c>
      <c r="C31" s="1058">
        <f>K20*C29</f>
        <v>69114467.237380892</v>
      </c>
      <c r="D31" s="1058">
        <f>K20*D29</f>
        <v>2184415.4567524176</v>
      </c>
      <c r="E31" s="1058">
        <f>K20</f>
        <v>71298882.694133312</v>
      </c>
      <c r="F31" s="268"/>
      <c r="G31" s="514" t="str">
        <f>"Straddling Transformers split by Gross Plant Percentages on Line "&amp;A29&amp;""</f>
        <v>Straddling Transformers split by Gross Plant Percentages on Line 21</v>
      </c>
      <c r="H31" s="268"/>
      <c r="I31" s="268"/>
      <c r="J31" s="268"/>
      <c r="K31" s="268"/>
    </row>
    <row r="32" spans="1:11">
      <c r="A32" s="111">
        <f t="shared" si="0"/>
        <v>24</v>
      </c>
      <c r="B32" s="643" t="s">
        <v>2385</v>
      </c>
      <c r="C32" s="1059">
        <f>'12-AbandonedPlant'!G22</f>
        <v>37069049</v>
      </c>
      <c r="D32" s="1059">
        <f>E32-C32</f>
        <v>-37069049</v>
      </c>
      <c r="E32" s="1059">
        <f>'12-AbandonedPlant'!G20</f>
        <v>0</v>
      </c>
      <c r="F32" s="643"/>
      <c r="G32" s="643" t="s">
        <v>2386</v>
      </c>
      <c r="H32" s="1060"/>
      <c r="I32" s="268"/>
      <c r="J32" s="268"/>
      <c r="K32" s="268"/>
    </row>
    <row r="33" spans="1:11">
      <c r="A33" s="111">
        <f t="shared" si="0"/>
        <v>25</v>
      </c>
      <c r="B33" s="268" t="s">
        <v>482</v>
      </c>
      <c r="C33" s="262">
        <f>C28+C31+C32</f>
        <v>8060066393.1743498</v>
      </c>
      <c r="D33" s="262">
        <f>D28+D31+D32</f>
        <v>216503901.91206697</v>
      </c>
      <c r="E33" s="262">
        <f>E28+E31+E32</f>
        <v>8276570295.0864172</v>
      </c>
      <c r="F33" s="268"/>
      <c r="G33" s="643" t="str">
        <f>"Line "&amp;A28&amp;" + Line "&amp;A31&amp;" + Line "&amp;A32&amp;""</f>
        <v>Line 20 + Line 23 + Line 24</v>
      </c>
      <c r="H33" s="643"/>
      <c r="I33" s="268"/>
      <c r="J33" s="268"/>
      <c r="K33" s="268"/>
    </row>
    <row r="34" spans="1:11">
      <c r="A34" s="111">
        <f t="shared" si="0"/>
        <v>26</v>
      </c>
      <c r="B34" s="268"/>
      <c r="C34" s="293"/>
      <c r="D34" s="293"/>
      <c r="E34" s="1061"/>
      <c r="F34" s="268"/>
      <c r="G34" s="268"/>
      <c r="H34" s="268"/>
      <c r="I34" s="268"/>
      <c r="J34" s="268"/>
      <c r="K34" s="268"/>
    </row>
    <row r="35" spans="1:11">
      <c r="A35" s="111">
        <f t="shared" si="0"/>
        <v>27</v>
      </c>
      <c r="B35" s="268"/>
      <c r="C35" s="1062"/>
      <c r="D35" s="1062"/>
      <c r="E35" s="268"/>
      <c r="F35" s="268"/>
      <c r="G35" s="1062"/>
      <c r="H35" s="1062"/>
      <c r="I35" s="1062"/>
      <c r="J35" s="268"/>
      <c r="K35" s="268"/>
    </row>
    <row r="36" spans="1:11">
      <c r="A36" s="111">
        <f t="shared" si="0"/>
        <v>28</v>
      </c>
      <c r="B36" s="273" t="s">
        <v>2387</v>
      </c>
      <c r="C36" s="268"/>
      <c r="D36" s="268"/>
      <c r="E36" s="268"/>
      <c r="F36" s="268"/>
      <c r="G36" s="268"/>
      <c r="H36" s="268"/>
      <c r="I36" s="268"/>
      <c r="J36" s="268"/>
      <c r="K36" s="268"/>
    </row>
    <row r="37" spans="1:11">
      <c r="A37" s="111">
        <f t="shared" si="0"/>
        <v>29</v>
      </c>
      <c r="B37" s="273"/>
      <c r="C37" s="268"/>
      <c r="D37" s="268"/>
      <c r="E37" s="268"/>
      <c r="F37" s="268"/>
      <c r="G37" s="268"/>
      <c r="H37" s="268"/>
      <c r="I37" s="268"/>
      <c r="J37" s="268"/>
      <c r="K37" s="268"/>
    </row>
    <row r="38" spans="1:11">
      <c r="A38" s="111">
        <f t="shared" si="0"/>
        <v>30</v>
      </c>
      <c r="B38" s="273"/>
      <c r="C38" s="1063" t="s">
        <v>474</v>
      </c>
      <c r="D38" s="447" t="s">
        <v>475</v>
      </c>
      <c r="E38" s="447"/>
      <c r="F38" s="268"/>
      <c r="G38" s="268"/>
      <c r="H38" s="268"/>
      <c r="I38" s="268"/>
      <c r="J38" s="268"/>
      <c r="K38" s="268"/>
    </row>
    <row r="39" spans="1:11">
      <c r="A39" s="111">
        <f t="shared" si="0"/>
        <v>31</v>
      </c>
      <c r="B39" s="273"/>
      <c r="C39" s="495" t="s">
        <v>473</v>
      </c>
      <c r="D39" s="495" t="s">
        <v>473</v>
      </c>
      <c r="E39" s="495" t="s">
        <v>196</v>
      </c>
      <c r="F39" s="268"/>
      <c r="G39" s="1064" t="s">
        <v>232</v>
      </c>
      <c r="H39" s="268"/>
      <c r="I39" s="268"/>
      <c r="J39" s="268"/>
      <c r="K39" s="268"/>
    </row>
    <row r="40" spans="1:11">
      <c r="A40" s="111">
        <f t="shared" si="0"/>
        <v>32</v>
      </c>
      <c r="B40" s="268" t="s">
        <v>482</v>
      </c>
      <c r="C40" s="275">
        <f>C33</f>
        <v>8060066393.1743498</v>
      </c>
      <c r="D40" s="275">
        <f>D33</f>
        <v>216503901.91206697</v>
      </c>
      <c r="E40" s="275">
        <f>E33</f>
        <v>8276570295.0864172</v>
      </c>
      <c r="F40" s="268"/>
      <c r="G40" s="268" t="str">
        <f>"Line "&amp;A33&amp;""</f>
        <v>Line 25</v>
      </c>
      <c r="H40" s="268"/>
      <c r="I40" s="268"/>
      <c r="J40" s="268"/>
      <c r="K40" s="268"/>
    </row>
    <row r="41" spans="1:11">
      <c r="A41" s="111">
        <f t="shared" si="0"/>
        <v>33</v>
      </c>
      <c r="B41" s="514" t="s">
        <v>2388</v>
      </c>
      <c r="C41" s="275">
        <f>'16-PlantAdditions'!K37-'16-PlantAdditions'!P37</f>
        <v>633745812.7531985</v>
      </c>
      <c r="D41" s="275">
        <f>'16-PlantAdditions'!P37</f>
        <v>516244.72900000022</v>
      </c>
      <c r="E41" s="1065">
        <f>SUM(C41:D41)</f>
        <v>634262057.48219848</v>
      </c>
      <c r="F41" s="268"/>
      <c r="G41" s="268" t="str">
        <f>"13-Month Average: 16-PlantAdditions, Line "&amp;'16-PlantAdditions'!A37&amp;", Cols 7  (for Total) and 12 (for LV).  HV = C7 - C12."</f>
        <v>13-Month Average: 16-PlantAdditions, Line 25, Cols 7  (for Total) and 12 (for LV).  HV = C7 - C12.</v>
      </c>
      <c r="H41" s="268"/>
      <c r="I41" s="268"/>
      <c r="J41" s="268"/>
      <c r="K41" s="268"/>
    </row>
    <row r="42" spans="1:11">
      <c r="A42" s="111">
        <f t="shared" si="0"/>
        <v>34</v>
      </c>
      <c r="B42" s="514" t="s">
        <v>2389</v>
      </c>
      <c r="C42" s="578">
        <f>'10-CWIP'!K79</f>
        <v>115461165.03224996</v>
      </c>
      <c r="D42" s="578">
        <v>0</v>
      </c>
      <c r="E42" s="578">
        <f>SUM(C42:D42)</f>
        <v>115461165.03224996</v>
      </c>
      <c r="F42" s="268"/>
      <c r="G42" s="268" t="str">
        <f>"13 Month Average: 10-CWIP, Line "&amp;'10-CWIP'!A79&amp;", Col. 8"</f>
        <v>13 Month Average: 10-CWIP, Line 54, Col. 8</v>
      </c>
      <c r="H42" s="268"/>
      <c r="I42" s="268"/>
      <c r="J42" s="268"/>
      <c r="K42" s="268"/>
    </row>
    <row r="43" spans="1:11">
      <c r="A43" s="111">
        <f t="shared" si="0"/>
        <v>35</v>
      </c>
      <c r="B43" s="514" t="s">
        <v>2390</v>
      </c>
      <c r="C43" s="275">
        <f>SUM(C40:C42)</f>
        <v>8809273370.9597969</v>
      </c>
      <c r="D43" s="275">
        <f t="shared" ref="D43:E43" si="3">SUM(D40:D42)</f>
        <v>217020146.64106697</v>
      </c>
      <c r="E43" s="275">
        <f t="shared" si="3"/>
        <v>9026293517.6008644</v>
      </c>
      <c r="F43" s="268"/>
      <c r="G43" s="268" t="str">
        <f>"Line "&amp;A40&amp;" + Line "&amp;A41&amp;" + Line "&amp;A42&amp;""</f>
        <v>Line 32 + Line 33 + Line 34</v>
      </c>
      <c r="H43" s="268"/>
      <c r="I43" s="268"/>
      <c r="J43" s="268"/>
      <c r="K43" s="268"/>
    </row>
    <row r="44" spans="1:11">
      <c r="A44" s="111">
        <f t="shared" si="0"/>
        <v>36</v>
      </c>
      <c r="B44" s="268"/>
      <c r="C44" s="268"/>
      <c r="D44" s="268"/>
      <c r="E44" s="268"/>
      <c r="F44" s="268"/>
      <c r="G44" s="268"/>
      <c r="H44" s="268"/>
      <c r="I44" s="268"/>
      <c r="J44" s="268"/>
      <c r="K44" s="268"/>
    </row>
    <row r="45" spans="1:11">
      <c r="A45" s="111">
        <f t="shared" si="0"/>
        <v>37</v>
      </c>
      <c r="B45" s="268" t="s">
        <v>1142</v>
      </c>
      <c r="C45" s="1066">
        <f>C43/E43</f>
        <v>0.97595689235920724</v>
      </c>
      <c r="D45" s="1066">
        <f>D43/E43</f>
        <v>2.4043107640792701E-2</v>
      </c>
      <c r="E45" s="268"/>
      <c r="F45" s="268"/>
      <c r="G45" s="1067" t="str">
        <f>"Percent of Total on Line "&amp;A43&amp;""</f>
        <v>Percent of Total on Line 35</v>
      </c>
      <c r="H45" s="268"/>
      <c r="I45" s="268"/>
      <c r="J45" s="268"/>
      <c r="K45" s="268"/>
    </row>
    <row r="46" spans="1:11">
      <c r="A46" s="111">
        <f t="shared" si="0"/>
        <v>38</v>
      </c>
      <c r="B46" s="1014" t="s">
        <v>1477</v>
      </c>
      <c r="C46" s="268"/>
      <c r="D46" s="268"/>
      <c r="E46" s="268"/>
      <c r="F46" s="268"/>
      <c r="G46" s="268"/>
      <c r="H46" s="268"/>
      <c r="I46" s="268"/>
      <c r="J46" s="268"/>
      <c r="K46" s="268"/>
    </row>
    <row r="47" spans="1:11">
      <c r="A47" s="111">
        <f t="shared" si="0"/>
        <v>39</v>
      </c>
      <c r="B47" s="514" t="s">
        <v>1636</v>
      </c>
      <c r="C47" s="268"/>
      <c r="D47" s="268"/>
      <c r="E47" s="268"/>
      <c r="F47" s="268"/>
      <c r="G47" s="268"/>
      <c r="H47" s="268"/>
      <c r="I47" s="268"/>
      <c r="J47" s="268"/>
      <c r="K47" s="268"/>
    </row>
    <row r="48" spans="1:11">
      <c r="A48" s="15"/>
      <c r="B48" s="44"/>
      <c r="C48" s="268"/>
      <c r="D48" s="268"/>
      <c r="E48" s="268"/>
      <c r="F48" s="268"/>
      <c r="G48" s="268"/>
      <c r="H48" s="268"/>
      <c r="I48" s="268"/>
      <c r="J48" s="268"/>
      <c r="K48" s="268"/>
    </row>
    <row r="49" spans="1:11">
      <c r="A49" s="15"/>
      <c r="B49" s="44"/>
      <c r="C49" s="643"/>
      <c r="D49" s="643"/>
      <c r="E49" s="643"/>
      <c r="F49" s="643"/>
      <c r="G49" s="643"/>
      <c r="H49" s="643"/>
      <c r="I49" s="268"/>
      <c r="J49" s="268"/>
      <c r="K49" s="268"/>
    </row>
    <row r="50" spans="1:11">
      <c r="A50" s="15"/>
      <c r="B50" s="643"/>
      <c r="C50" s="643"/>
      <c r="D50" s="643"/>
      <c r="E50" s="643"/>
      <c r="F50" s="643"/>
      <c r="G50" s="643"/>
      <c r="H50" s="643"/>
      <c r="I50" s="268"/>
      <c r="J50" s="268"/>
      <c r="K50" s="268"/>
    </row>
    <row r="51" spans="1:11">
      <c r="A51" s="14"/>
      <c r="B51" s="643"/>
      <c r="C51" s="1060"/>
      <c r="D51" s="1060"/>
      <c r="E51" s="1060"/>
      <c r="F51" s="1060"/>
      <c r="G51" s="1060"/>
      <c r="H51" s="1060"/>
      <c r="I51" s="1068"/>
      <c r="J51" s="1068"/>
      <c r="K51" s="1068"/>
    </row>
  </sheetData>
  <pageMargins left="0.7" right="0.7" top="0.75" bottom="0.75" header="0.3" footer="0.3"/>
  <pageSetup scale="70" orientation="landscape" cellComments="asDisplayed" r:id="rId1"/>
  <headerFooter>
    <oddHeader>&amp;CSchedule 31
High and Low Voltage Gross Plant
&amp;RExhibit SCE-4
TO2018 Formula Rate Spreadsheet</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1647</v>
      </c>
    </row>
    <row r="3" spans="1:8">
      <c r="G3" s="2"/>
    </row>
    <row r="4" spans="1:8">
      <c r="A4" s="3" t="s">
        <v>332</v>
      </c>
      <c r="F4" s="3" t="s">
        <v>285</v>
      </c>
      <c r="G4" s="3" t="s">
        <v>154</v>
      </c>
      <c r="H4" s="51" t="s">
        <v>179</v>
      </c>
    </row>
    <row r="5" spans="1:8">
      <c r="A5" s="2">
        <v>1</v>
      </c>
      <c r="B5" s="503" t="s">
        <v>338</v>
      </c>
      <c r="F5" s="1104">
        <v>88010855</v>
      </c>
      <c r="G5" s="16"/>
      <c r="H5" t="s">
        <v>364</v>
      </c>
    </row>
    <row r="6" spans="1:8">
      <c r="A6" s="2">
        <v>2</v>
      </c>
      <c r="B6" s="12" t="s">
        <v>339</v>
      </c>
      <c r="F6" s="100">
        <v>15930</v>
      </c>
      <c r="G6" s="16"/>
      <c r="H6" t="s">
        <v>365</v>
      </c>
    </row>
    <row r="7" spans="1:8">
      <c r="A7" s="2">
        <v>3</v>
      </c>
      <c r="B7" s="50" t="s">
        <v>327</v>
      </c>
      <c r="F7" s="99">
        <f>SUM(F5:F6)</f>
        <v>88026785</v>
      </c>
      <c r="G7" s="13" t="s">
        <v>340</v>
      </c>
      <c r="H7" s="12" t="s">
        <v>328</v>
      </c>
    </row>
    <row r="8" spans="1:8">
      <c r="A8" s="2"/>
      <c r="G8" s="16"/>
    </row>
    <row r="9" spans="1:8">
      <c r="A9" s="2"/>
      <c r="G9" s="16"/>
    </row>
    <row r="10" spans="1:8" ht="15">
      <c r="A10" s="2">
        <v>4</v>
      </c>
      <c r="B10" s="505" t="s">
        <v>2209</v>
      </c>
      <c r="C10" s="14"/>
      <c r="D10" s="14"/>
      <c r="E10" s="37"/>
      <c r="F10" s="1101">
        <v>163348</v>
      </c>
      <c r="G10" s="16"/>
      <c r="H10" s="12" t="s">
        <v>364</v>
      </c>
    </row>
    <row r="11" spans="1:8">
      <c r="B11" s="14"/>
      <c r="C11" s="14"/>
      <c r="D11" s="14"/>
    </row>
    <row r="12" spans="1:8">
      <c r="B12" s="14"/>
      <c r="C12" s="14"/>
      <c r="D12" s="14"/>
    </row>
    <row r="13" spans="1:8">
      <c r="B13" s="960" t="s">
        <v>232</v>
      </c>
      <c r="C13" s="14"/>
      <c r="D13" s="14"/>
    </row>
    <row r="14" spans="1:8">
      <c r="B14" s="15" t="s">
        <v>1241</v>
      </c>
      <c r="C14" s="14"/>
      <c r="D14" s="14"/>
    </row>
    <row r="15" spans="1:8">
      <c r="B15" s="15" t="s">
        <v>1242</v>
      </c>
      <c r="C15" s="14"/>
      <c r="D15" s="14"/>
    </row>
    <row r="16" spans="1:8">
      <c r="B16" s="505" t="s">
        <v>1873</v>
      </c>
      <c r="C16" s="14"/>
      <c r="D16" s="14"/>
      <c r="E16" s="14"/>
      <c r="F16" s="14"/>
      <c r="G16" s="14"/>
      <c r="H16" s="14"/>
    </row>
    <row r="18" spans="2:2" ht="15.75">
      <c r="B18" s="625"/>
    </row>
  </sheetData>
  <pageMargins left="0.7" right="0.7" top="0.75" bottom="0.75" header="0.3" footer="0.3"/>
  <pageSetup orientation="landscape" cellComments="asDisplayed" r:id="rId1"/>
  <headerFooter>
    <oddHeader>&amp;CSchedule 32 
Gross Load
&amp;RExhibit SCE-4
TO2018 Formula Rate Spreadsheet</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90" zoomScaleNormal="90" zoomScalePageLayoutView="75" workbookViewId="0"/>
  </sheetViews>
  <sheetFormatPr defaultColWidth="9.140625" defaultRowHeight="12.75"/>
  <cols>
    <col min="1" max="1" width="5.42578125" style="787" customWidth="1"/>
    <col min="2" max="2" width="18.5703125" style="787" customWidth="1"/>
    <col min="3" max="12" width="15.7109375" style="787" customWidth="1"/>
    <col min="13" max="13" width="15.7109375" style="786" customWidth="1"/>
    <col min="14" max="14" width="15.7109375" style="787" customWidth="1"/>
    <col min="15" max="16384" width="9.140625" style="787"/>
  </cols>
  <sheetData>
    <row r="1" spans="1:16" ht="15.75">
      <c r="A1" s="783" t="s">
        <v>374</v>
      </c>
      <c r="B1" s="784"/>
      <c r="C1" s="784"/>
      <c r="D1" s="784"/>
      <c r="E1" s="784"/>
      <c r="F1" s="784"/>
      <c r="G1" s="784"/>
      <c r="H1" s="784"/>
      <c r="I1" s="784"/>
      <c r="J1" s="784"/>
      <c r="K1" s="785"/>
      <c r="L1" s="785"/>
    </row>
    <row r="2" spans="1:16" ht="14.25" customHeight="1">
      <c r="A2" s="783"/>
      <c r="B2" s="784"/>
      <c r="C2" s="784"/>
      <c r="D2" s="784"/>
      <c r="E2" s="784"/>
      <c r="F2" s="784"/>
      <c r="G2" s="784"/>
      <c r="H2" s="784"/>
      <c r="I2" s="784"/>
      <c r="J2" s="784"/>
      <c r="K2" s="785"/>
      <c r="L2" s="785"/>
    </row>
    <row r="3" spans="1:16">
      <c r="E3" s="788" t="s">
        <v>179</v>
      </c>
      <c r="K3" s="789"/>
      <c r="L3" s="789"/>
    </row>
    <row r="4" spans="1:16">
      <c r="C4" s="790" t="s">
        <v>1172</v>
      </c>
      <c r="D4" s="791">
        <f>'1-BaseTRR'!K151</f>
        <v>1169306622.5507376</v>
      </c>
      <c r="E4" s="792" t="s">
        <v>2205</v>
      </c>
      <c r="G4" s="793" t="s">
        <v>454</v>
      </c>
      <c r="H4" s="794"/>
      <c r="J4" s="795"/>
      <c r="K4" s="789"/>
      <c r="L4" s="789"/>
    </row>
    <row r="5" spans="1:16">
      <c r="C5" s="790"/>
      <c r="D5" s="796"/>
      <c r="E5" s="792"/>
      <c r="K5" s="789"/>
      <c r="L5" s="789"/>
    </row>
    <row r="6" spans="1:16" ht="15.75">
      <c r="B6" s="783" t="s">
        <v>1173</v>
      </c>
      <c r="D6" s="790"/>
      <c r="E6" s="796"/>
      <c r="F6" s="792"/>
      <c r="K6" s="789"/>
      <c r="L6" s="789"/>
    </row>
    <row r="7" spans="1:16">
      <c r="C7" s="797" t="s">
        <v>363</v>
      </c>
      <c r="D7" s="797" t="s">
        <v>347</v>
      </c>
      <c r="E7" s="797" t="s">
        <v>348</v>
      </c>
      <c r="F7" s="879" t="s">
        <v>349</v>
      </c>
      <c r="G7" s="879" t="s">
        <v>350</v>
      </c>
      <c r="H7" s="879" t="s">
        <v>351</v>
      </c>
      <c r="I7" s="879" t="s">
        <v>352</v>
      </c>
      <c r="J7" s="879" t="s">
        <v>544</v>
      </c>
      <c r="K7" s="879" t="s">
        <v>961</v>
      </c>
      <c r="L7" s="879" t="s">
        <v>974</v>
      </c>
      <c r="M7" s="879" t="s">
        <v>977</v>
      </c>
      <c r="N7" s="788" t="s">
        <v>995</v>
      </c>
      <c r="O7" s="788" t="s">
        <v>1484</v>
      </c>
      <c r="P7" s="788" t="s">
        <v>1485</v>
      </c>
    </row>
    <row r="8" spans="1:16">
      <c r="C8" s="855" t="s">
        <v>364</v>
      </c>
      <c r="D8" s="795"/>
      <c r="E8" s="855" t="s">
        <v>365</v>
      </c>
      <c r="F8" s="855" t="s">
        <v>1174</v>
      </c>
      <c r="G8" s="855" t="s">
        <v>1189</v>
      </c>
      <c r="H8" s="855" t="s">
        <v>1191</v>
      </c>
      <c r="I8" s="855" t="s">
        <v>1192</v>
      </c>
      <c r="J8" s="855" t="s">
        <v>1193</v>
      </c>
      <c r="K8" s="795"/>
      <c r="L8" s="795"/>
    </row>
    <row r="9" spans="1:16" s="801" customFormat="1">
      <c r="A9" s="799"/>
      <c r="B9" s="799"/>
      <c r="C9" s="797"/>
      <c r="D9" s="800"/>
      <c r="E9" s="1419" t="s">
        <v>2131</v>
      </c>
      <c r="F9" s="1420"/>
      <c r="G9" s="1420"/>
      <c r="H9" s="1421"/>
      <c r="I9" s="1422"/>
      <c r="J9" s="1162"/>
      <c r="K9" s="1162"/>
      <c r="L9" s="855" t="s">
        <v>2279</v>
      </c>
      <c r="M9" s="855" t="s">
        <v>2279</v>
      </c>
      <c r="N9" s="855" t="s">
        <v>2279</v>
      </c>
    </row>
    <row r="10" spans="1:16" s="806" customFormat="1" ht="53.25" customHeight="1">
      <c r="A10" s="802"/>
      <c r="B10" s="802"/>
      <c r="C10" s="803"/>
      <c r="D10" s="1163" t="s">
        <v>2132</v>
      </c>
      <c r="E10" s="1164" t="s">
        <v>2280</v>
      </c>
      <c r="F10" s="1164" t="s">
        <v>2281</v>
      </c>
      <c r="G10" s="1165" t="s">
        <v>2268</v>
      </c>
      <c r="H10" s="1164" t="s">
        <v>2133</v>
      </c>
      <c r="I10" s="1164" t="s">
        <v>2134</v>
      </c>
      <c r="J10" s="1166" t="s">
        <v>2282</v>
      </c>
      <c r="K10" s="804" t="s">
        <v>2283</v>
      </c>
      <c r="L10" s="804" t="s">
        <v>2284</v>
      </c>
      <c r="M10" s="1178" t="s">
        <v>2135</v>
      </c>
      <c r="N10" s="1179"/>
      <c r="O10" s="1180"/>
      <c r="P10" s="805"/>
    </row>
    <row r="11" spans="1:16" s="801" customFormat="1" ht="55.15" customHeight="1">
      <c r="A11" s="788" t="s">
        <v>322</v>
      </c>
      <c r="B11" s="807" t="s">
        <v>1175</v>
      </c>
      <c r="C11" s="808" t="s">
        <v>1176</v>
      </c>
      <c r="D11" s="809" t="s">
        <v>1177</v>
      </c>
      <c r="E11" s="807" t="s">
        <v>2285</v>
      </c>
      <c r="F11" s="890" t="s">
        <v>2286</v>
      </c>
      <c r="G11" s="1183" t="s">
        <v>2269</v>
      </c>
      <c r="H11" s="807" t="s">
        <v>2137</v>
      </c>
      <c r="I11" s="807" t="s">
        <v>2138</v>
      </c>
      <c r="J11" s="807" t="s">
        <v>2270</v>
      </c>
      <c r="K11" s="811" t="s">
        <v>2139</v>
      </c>
      <c r="L11" s="812" t="s">
        <v>2140</v>
      </c>
      <c r="M11" s="810" t="s">
        <v>2136</v>
      </c>
      <c r="N11" s="807" t="s">
        <v>2137</v>
      </c>
      <c r="O11" s="807" t="s">
        <v>2138</v>
      </c>
      <c r="P11" s="807" t="s">
        <v>168</v>
      </c>
    </row>
    <row r="12" spans="1:16" s="795" customFormat="1">
      <c r="A12" s="813" t="s">
        <v>586</v>
      </c>
      <c r="B12" s="508" t="s">
        <v>2116</v>
      </c>
      <c r="C12" s="814">
        <f>M113</f>
        <v>0.40942792304489539</v>
      </c>
      <c r="D12" s="796">
        <f>$D$4*C12</f>
        <v>478746781.87358993</v>
      </c>
      <c r="E12" s="1090">
        <v>28328.904648478532</v>
      </c>
      <c r="F12" s="876"/>
      <c r="G12" s="1285">
        <v>892.31711600000006</v>
      </c>
      <c r="H12" s="1091">
        <v>0</v>
      </c>
      <c r="I12" s="1092">
        <v>1.2E-2</v>
      </c>
      <c r="J12" s="839">
        <f>(E12+F12)-G12</f>
        <v>27436.587532478534</v>
      </c>
      <c r="K12" s="815">
        <f>D12/(J12*10^6)</f>
        <v>1.7449210158036788E-2</v>
      </c>
      <c r="L12" s="816"/>
      <c r="N12" s="789"/>
      <c r="O12" s="787"/>
      <c r="P12" s="786"/>
    </row>
    <row r="13" spans="1:16" s="795" customFormat="1" ht="13.5" thickBot="1">
      <c r="A13" s="813" t="s">
        <v>588</v>
      </c>
      <c r="B13" s="508" t="s">
        <v>2117</v>
      </c>
      <c r="C13" s="814">
        <f>M114</f>
        <v>7.5409205214667083E-2</v>
      </c>
      <c r="D13" s="796">
        <f t="shared" ref="D13:D26" si="0">$D$4*C13</f>
        <v>88176483.058797836</v>
      </c>
      <c r="E13" s="1090">
        <v>5801.5583562176944</v>
      </c>
      <c r="F13" s="876"/>
      <c r="G13" s="1285">
        <v>9.0131650000000008</v>
      </c>
      <c r="H13" s="1091">
        <v>0</v>
      </c>
      <c r="I13" s="1092">
        <v>2.1480000000000001</v>
      </c>
      <c r="J13" s="839">
        <f t="shared" ref="J13:J27" si="1">(E13+F13)-G13</f>
        <v>5792.5451912176941</v>
      </c>
      <c r="K13" s="815">
        <f>D13/(J13*10^6)</f>
        <v>1.5222407447504367E-2</v>
      </c>
      <c r="L13" s="816"/>
      <c r="M13" s="1098">
        <v>5989.2929999999997</v>
      </c>
      <c r="N13" s="1099">
        <v>28839</v>
      </c>
      <c r="O13" s="1100">
        <v>2.1480000000000001</v>
      </c>
      <c r="P13" s="786"/>
    </row>
    <row r="14" spans="1:16" s="795" customFormat="1" ht="15" thickBot="1">
      <c r="A14" s="813" t="s">
        <v>2141</v>
      </c>
      <c r="B14" s="508" t="s">
        <v>2118</v>
      </c>
      <c r="C14" s="817"/>
      <c r="D14" s="817"/>
      <c r="E14" s="1093"/>
      <c r="F14" s="876"/>
      <c r="G14" s="877"/>
      <c r="H14" s="1094"/>
      <c r="I14" s="1094"/>
      <c r="J14" s="839">
        <f t="shared" si="1"/>
        <v>0</v>
      </c>
      <c r="K14" s="818"/>
      <c r="L14" s="819">
        <f>N14</f>
        <v>3.1611591316852499</v>
      </c>
      <c r="M14" s="820">
        <f>K13*M13*10^6</f>
        <v>91171458.368485779</v>
      </c>
      <c r="N14" s="1181">
        <f>M14/((N13+O13)*10^3)</f>
        <v>3.1611591316852499</v>
      </c>
      <c r="O14" s="1182"/>
      <c r="P14" s="1167" t="s">
        <v>2287</v>
      </c>
    </row>
    <row r="15" spans="1:16" s="795" customFormat="1">
      <c r="A15" s="813" t="s">
        <v>591</v>
      </c>
      <c r="B15" s="508" t="s">
        <v>2119</v>
      </c>
      <c r="C15" s="814">
        <f t="shared" ref="C15:C26" si="2">M115</f>
        <v>4.8831414712570517E-4</v>
      </c>
      <c r="D15" s="796">
        <f t="shared" si="0"/>
        <v>570988.96611930232</v>
      </c>
      <c r="E15" s="1090">
        <v>58.334794981208631</v>
      </c>
      <c r="F15" s="876"/>
      <c r="G15" s="877"/>
      <c r="H15" s="1091">
        <v>0</v>
      </c>
      <c r="I15" s="1092"/>
      <c r="J15" s="839">
        <f t="shared" si="1"/>
        <v>58.334794981208631</v>
      </c>
      <c r="K15" s="815">
        <f>D15/(J15*10^6)</f>
        <v>9.7881370167364912E-3</v>
      </c>
      <c r="L15" s="816"/>
      <c r="N15" s="789"/>
      <c r="O15" s="787"/>
      <c r="P15" s="786"/>
    </row>
    <row r="16" spans="1:16" s="795" customFormat="1">
      <c r="A16" s="813" t="s">
        <v>1178</v>
      </c>
      <c r="B16" s="508" t="s">
        <v>2120</v>
      </c>
      <c r="C16" s="814">
        <f t="shared" si="2"/>
        <v>0.17478558834160005</v>
      </c>
      <c r="D16" s="796">
        <f t="shared" si="0"/>
        <v>204377945.97425994</v>
      </c>
      <c r="E16" s="1090">
        <v>14128.499492229597</v>
      </c>
      <c r="F16" s="876"/>
      <c r="G16" s="877"/>
      <c r="H16" s="1091">
        <v>48591.566089842061</v>
      </c>
      <c r="I16" s="1092">
        <v>34.409999999999997</v>
      </c>
      <c r="J16" s="839">
        <f t="shared" si="1"/>
        <v>14128.499492229597</v>
      </c>
      <c r="K16" s="816"/>
      <c r="L16" s="821">
        <f t="shared" ref="L16:L25" si="3">D16/((I16+H16)*10^3)</f>
        <v>4.2030610469730885</v>
      </c>
      <c r="N16" s="789"/>
      <c r="O16" s="822"/>
      <c r="P16" s="786"/>
    </row>
    <row r="17" spans="1:16" s="795" customFormat="1">
      <c r="A17" s="813" t="s">
        <v>1179</v>
      </c>
      <c r="B17" s="508" t="s">
        <v>2121</v>
      </c>
      <c r="C17" s="814">
        <f t="shared" si="2"/>
        <v>9.2643866425185281E-2</v>
      </c>
      <c r="D17" s="796">
        <f t="shared" si="0"/>
        <v>108329086.54967508</v>
      </c>
      <c r="E17" s="1090">
        <v>8081.1519081914539</v>
      </c>
      <c r="F17" s="876"/>
      <c r="G17" s="877"/>
      <c r="H17" s="1091">
        <v>23360.950474793277</v>
      </c>
      <c r="I17" s="1092">
        <v>68.567999999999998</v>
      </c>
      <c r="J17" s="839">
        <f t="shared" si="1"/>
        <v>8081.1519081914539</v>
      </c>
      <c r="K17" s="816"/>
      <c r="L17" s="821">
        <f t="shared" si="3"/>
        <v>4.6236155756346964</v>
      </c>
      <c r="N17" s="789"/>
      <c r="O17" s="822"/>
      <c r="P17" s="786"/>
    </row>
    <row r="18" spans="1:16" s="795" customFormat="1">
      <c r="A18" s="813" t="s">
        <v>1180</v>
      </c>
      <c r="B18" s="508" t="s">
        <v>2122</v>
      </c>
      <c r="C18" s="814">
        <f t="shared" si="2"/>
        <v>8.8533417693822156E-2</v>
      </c>
      <c r="D18" s="796">
        <f t="shared" si="0"/>
        <v>103522711.6264369</v>
      </c>
      <c r="E18" s="1095">
        <v>8220.2748169972838</v>
      </c>
      <c r="F18" s="876"/>
      <c r="G18" s="877"/>
      <c r="H18" s="1096">
        <v>20972.602740766928</v>
      </c>
      <c r="I18" s="1097"/>
      <c r="J18" s="839">
        <f t="shared" si="1"/>
        <v>8220.2748169972838</v>
      </c>
      <c r="K18" s="816"/>
      <c r="L18" s="821">
        <f t="shared" si="3"/>
        <v>4.9360927161037367</v>
      </c>
      <c r="N18" s="789"/>
      <c r="O18" s="822"/>
      <c r="P18" s="786"/>
    </row>
    <row r="19" spans="1:16" s="795" customFormat="1">
      <c r="A19" s="813" t="s">
        <v>1181</v>
      </c>
      <c r="B19" s="508" t="s">
        <v>2123</v>
      </c>
      <c r="C19" s="814">
        <f t="shared" si="2"/>
        <v>5.7323864281983369E-2</v>
      </c>
      <c r="D19" s="796">
        <f t="shared" si="0"/>
        <v>67029174.135122836</v>
      </c>
      <c r="E19" s="1095">
        <v>5440.4172061349045</v>
      </c>
      <c r="F19" s="876"/>
      <c r="G19" s="877"/>
      <c r="H19" s="1096">
        <v>12707.320623275429</v>
      </c>
      <c r="I19" s="1097"/>
      <c r="J19" s="839">
        <f t="shared" si="1"/>
        <v>5440.4172061349045</v>
      </c>
      <c r="K19" s="816"/>
      <c r="L19" s="821">
        <f t="shared" si="3"/>
        <v>5.2748471626936446</v>
      </c>
      <c r="N19" s="789"/>
      <c r="O19" s="822"/>
      <c r="P19" s="786"/>
    </row>
    <row r="20" spans="1:16" s="795" customFormat="1">
      <c r="A20" s="813" t="s">
        <v>1182</v>
      </c>
      <c r="B20" s="508" t="s">
        <v>2124</v>
      </c>
      <c r="C20" s="814">
        <f t="shared" si="2"/>
        <v>6.3009688923817475E-2</v>
      </c>
      <c r="D20" s="796">
        <f t="shared" si="0"/>
        <v>73677646.543481633</v>
      </c>
      <c r="E20" s="1095">
        <v>5933.8996742774834</v>
      </c>
      <c r="F20" s="876"/>
      <c r="G20" s="877"/>
      <c r="H20" s="1096">
        <v>12224.658608040065</v>
      </c>
      <c r="I20" s="1097"/>
      <c r="J20" s="839">
        <f t="shared" si="1"/>
        <v>5933.8996742774834</v>
      </c>
      <c r="K20" s="816"/>
      <c r="L20" s="821">
        <f t="shared" si="3"/>
        <v>6.0269696607334629</v>
      </c>
      <c r="N20" s="823"/>
      <c r="O20" s="824"/>
      <c r="P20" s="786"/>
    </row>
    <row r="21" spans="1:16" s="795" customFormat="1">
      <c r="A21" s="813" t="s">
        <v>1183</v>
      </c>
      <c r="B21" s="508" t="s">
        <v>2125</v>
      </c>
      <c r="C21" s="814">
        <f t="shared" si="2"/>
        <v>9.2474175534698578E-4</v>
      </c>
      <c r="D21" s="796">
        <f t="shared" si="0"/>
        <v>1081306.6586764245</v>
      </c>
      <c r="E21" s="1096">
        <v>122.0287671605292</v>
      </c>
      <c r="F21" s="1096">
        <v>101.32487237725</v>
      </c>
      <c r="G21" s="877"/>
      <c r="H21" s="1096">
        <v>350.91022622553498</v>
      </c>
      <c r="I21" s="1097">
        <v>310.92266666666671</v>
      </c>
      <c r="J21" s="839">
        <f t="shared" si="1"/>
        <v>223.3536395377792</v>
      </c>
      <c r="K21" s="816"/>
      <c r="L21" s="821">
        <f t="shared" si="3"/>
        <v>1.6338061620828901</v>
      </c>
      <c r="N21" s="825"/>
      <c r="O21" s="826"/>
      <c r="P21" s="786"/>
    </row>
    <row r="22" spans="1:16" s="795" customFormat="1">
      <c r="A22" s="813" t="s">
        <v>1184</v>
      </c>
      <c r="B22" s="508" t="s">
        <v>2126</v>
      </c>
      <c r="C22" s="814">
        <f t="shared" si="2"/>
        <v>1.8924971996361936E-3</v>
      </c>
      <c r="D22" s="796">
        <f t="shared" si="0"/>
        <v>2212909.5086933267</v>
      </c>
      <c r="E22" s="1096">
        <v>559.76520453349838</v>
      </c>
      <c r="F22" s="1096">
        <v>230.73056660431223</v>
      </c>
      <c r="G22" s="877"/>
      <c r="H22" s="1096">
        <v>1360.5136820034531</v>
      </c>
      <c r="I22" s="1097">
        <v>1411.0920000000001</v>
      </c>
      <c r="J22" s="839">
        <f t="shared" si="1"/>
        <v>790.49577113781061</v>
      </c>
      <c r="K22" s="816"/>
      <c r="L22" s="821">
        <f t="shared" si="3"/>
        <v>0.79842147931148943</v>
      </c>
      <c r="N22" s="825"/>
      <c r="O22" s="826"/>
      <c r="P22" s="786"/>
    </row>
    <row r="23" spans="1:16" s="795" customFormat="1">
      <c r="A23" s="813" t="s">
        <v>1185</v>
      </c>
      <c r="B23" s="508" t="s">
        <v>2127</v>
      </c>
      <c r="C23" s="814">
        <f t="shared" si="2"/>
        <v>3.8767610475059625E-3</v>
      </c>
      <c r="D23" s="796">
        <f t="shared" si="0"/>
        <v>4533122.3668954568</v>
      </c>
      <c r="E23" s="1096">
        <v>1643.7952868249131</v>
      </c>
      <c r="F23" s="1096">
        <v>599.81840716868112</v>
      </c>
      <c r="G23" s="877"/>
      <c r="H23" s="1096">
        <v>3159.1775279540016</v>
      </c>
      <c r="I23" s="1097">
        <v>8421.7119999999995</v>
      </c>
      <c r="J23" s="839">
        <f t="shared" si="1"/>
        <v>2243.6136939935941</v>
      </c>
      <c r="K23" s="816"/>
      <c r="L23" s="821">
        <f t="shared" si="3"/>
        <v>0.39143127615140327</v>
      </c>
      <c r="N23" s="823"/>
      <c r="O23" s="824"/>
      <c r="P23" s="786"/>
    </row>
    <row r="24" spans="1:16" s="795" customFormat="1">
      <c r="A24" s="813" t="s">
        <v>1186</v>
      </c>
      <c r="B24" s="508" t="s">
        <v>2128</v>
      </c>
      <c r="C24" s="814">
        <f t="shared" si="2"/>
        <v>1.5337998952822538E-2</v>
      </c>
      <c r="D24" s="796">
        <f t="shared" si="0"/>
        <v>17934823.752211671</v>
      </c>
      <c r="E24" s="1090">
        <v>1794.8027933152732</v>
      </c>
      <c r="F24" s="877"/>
      <c r="G24" s="877"/>
      <c r="H24" s="1090">
        <v>7554.485946894165</v>
      </c>
      <c r="I24" s="1090">
        <v>1.3120000000000001</v>
      </c>
      <c r="J24" s="839">
        <f t="shared" si="1"/>
        <v>1794.8027933152732</v>
      </c>
      <c r="K24" s="816"/>
      <c r="L24" s="821">
        <f t="shared" si="3"/>
        <v>2.3736505235140437</v>
      </c>
      <c r="N24" s="827"/>
      <c r="O24" s="827"/>
      <c r="P24" s="828"/>
    </row>
    <row r="25" spans="1:16" s="795" customFormat="1">
      <c r="A25" s="813" t="s">
        <v>1187</v>
      </c>
      <c r="B25" s="508" t="s">
        <v>2129</v>
      </c>
      <c r="C25" s="814">
        <f t="shared" si="2"/>
        <v>1.1553064882638658E-2</v>
      </c>
      <c r="D25" s="796">
        <f t="shared" si="0"/>
        <v>13509075.278027743</v>
      </c>
      <c r="E25" s="1090">
        <v>1455.9334680513393</v>
      </c>
      <c r="F25" s="877"/>
      <c r="G25" s="877"/>
      <c r="H25" s="1090">
        <v>4828.1669907861833</v>
      </c>
      <c r="I25" s="1090">
        <v>7.38</v>
      </c>
      <c r="J25" s="839">
        <f t="shared" si="1"/>
        <v>1455.9334680513393</v>
      </c>
      <c r="K25" s="816"/>
      <c r="L25" s="821">
        <f t="shared" si="3"/>
        <v>2.7937015820068334</v>
      </c>
      <c r="M25" s="822"/>
      <c r="N25" s="787"/>
      <c r="O25" s="829"/>
      <c r="P25" s="786"/>
    </row>
    <row r="26" spans="1:16" s="795" customFormat="1">
      <c r="A26" s="813" t="s">
        <v>1188</v>
      </c>
      <c r="B26" s="508" t="s">
        <v>2130</v>
      </c>
      <c r="C26" s="814">
        <f t="shared" si="2"/>
        <v>4.7930680889531618E-3</v>
      </c>
      <c r="D26" s="830">
        <f t="shared" si="0"/>
        <v>5604566.25874954</v>
      </c>
      <c r="E26" s="1090">
        <v>726.17973645604332</v>
      </c>
      <c r="F26" s="877"/>
      <c r="G26" s="877"/>
      <c r="H26" s="1091">
        <v>0</v>
      </c>
      <c r="I26" s="1092"/>
      <c r="J26" s="839">
        <f t="shared" si="1"/>
        <v>726.17973645604332</v>
      </c>
      <c r="K26" s="815">
        <f>D26/(J26*10^6)</f>
        <v>7.7178775134946111E-3</v>
      </c>
      <c r="L26" s="816"/>
      <c r="M26" s="787"/>
      <c r="N26" s="787"/>
      <c r="O26" s="829"/>
      <c r="P26" s="786"/>
    </row>
    <row r="27" spans="1:16" s="795" customFormat="1">
      <c r="A27" s="813" t="s">
        <v>1190</v>
      </c>
      <c r="B27" s="831" t="s">
        <v>76</v>
      </c>
      <c r="C27" s="814"/>
      <c r="D27" s="830"/>
      <c r="E27" s="832"/>
      <c r="F27" s="877"/>
      <c r="G27" s="877"/>
      <c r="H27" s="833"/>
      <c r="I27" s="834"/>
      <c r="J27" s="839">
        <f t="shared" si="1"/>
        <v>0</v>
      </c>
      <c r="K27" s="815"/>
      <c r="L27" s="816"/>
      <c r="M27" s="787"/>
      <c r="N27" s="787"/>
      <c r="O27" s="829"/>
      <c r="P27" s="786"/>
    </row>
    <row r="28" spans="1:16" s="795" customFormat="1">
      <c r="A28" s="813">
        <v>2</v>
      </c>
      <c r="B28" s="511" t="s">
        <v>197</v>
      </c>
      <c r="C28" s="835">
        <f t="shared" ref="C28:E28" si="4">SUM(C12:C27)</f>
        <v>1</v>
      </c>
      <c r="D28" s="836">
        <f t="shared" si="4"/>
        <v>1169306622.5507374</v>
      </c>
      <c r="E28" s="837">
        <f t="shared" si="4"/>
        <v>82295.546153849762</v>
      </c>
      <c r="F28" s="1184">
        <f>SUM(F12:F27)</f>
        <v>931.87384615024337</v>
      </c>
      <c r="G28" s="1168">
        <f>SUM(G12:G27)</f>
        <v>901.33028100000001</v>
      </c>
      <c r="H28" s="837">
        <f>SUM(H12:H27)</f>
        <v>135110.3529105811</v>
      </c>
      <c r="I28" s="837">
        <f>SUM(I12:I27)</f>
        <v>10257.556666666665</v>
      </c>
      <c r="J28" s="1168">
        <f>SUM(J12:J27)</f>
        <v>82326.089718999996</v>
      </c>
      <c r="K28" s="838"/>
      <c r="L28" s="787"/>
      <c r="M28" s="787"/>
      <c r="N28" s="787"/>
      <c r="O28" s="787"/>
      <c r="P28" s="786"/>
    </row>
    <row r="29" spans="1:16" s="795" customFormat="1">
      <c r="A29" s="813">
        <f>A28+1</f>
        <v>3</v>
      </c>
      <c r="B29" s="787"/>
      <c r="C29" s="787"/>
      <c r="D29" s="787"/>
      <c r="E29" s="787"/>
      <c r="F29" s="787"/>
      <c r="G29" s="787"/>
      <c r="H29" s="787"/>
      <c r="I29" s="787"/>
      <c r="J29" s="839"/>
      <c r="K29" s="839"/>
      <c r="M29" s="786"/>
    </row>
    <row r="30" spans="1:16" s="795" customFormat="1">
      <c r="A30" s="813">
        <f t="shared" ref="A30:A34" si="5">A29+1</f>
        <v>4</v>
      </c>
      <c r="B30" s="787"/>
      <c r="C30" s="787"/>
      <c r="D30" s="787"/>
      <c r="E30" s="787"/>
      <c r="G30" s="1169"/>
      <c r="I30" s="879"/>
      <c r="J30" s="840"/>
      <c r="K30" s="840"/>
      <c r="L30" s="840"/>
      <c r="M30" s="786"/>
    </row>
    <row r="31" spans="1:16" s="795" customFormat="1" ht="15.75">
      <c r="A31" s="813">
        <f t="shared" si="5"/>
        <v>5</v>
      </c>
      <c r="B31" s="1185" t="s">
        <v>2288</v>
      </c>
      <c r="C31" s="787"/>
      <c r="D31" s="787"/>
      <c r="E31" s="787"/>
      <c r="F31" s="787"/>
      <c r="G31" s="787"/>
      <c r="H31" s="787"/>
      <c r="I31" s="787"/>
      <c r="J31" s="787"/>
      <c r="K31" s="787"/>
      <c r="L31" s="787"/>
      <c r="M31" s="786"/>
    </row>
    <row r="32" spans="1:16" s="795" customFormat="1">
      <c r="A32" s="813">
        <f t="shared" si="5"/>
        <v>6</v>
      </c>
      <c r="B32" s="787"/>
      <c r="C32" s="797" t="s">
        <v>363</v>
      </c>
      <c r="D32" s="797" t="s">
        <v>347</v>
      </c>
      <c r="E32" s="797" t="s">
        <v>348</v>
      </c>
      <c r="F32" s="797" t="s">
        <v>349</v>
      </c>
      <c r="G32" s="797" t="s">
        <v>350</v>
      </c>
      <c r="H32" s="797" t="s">
        <v>351</v>
      </c>
      <c r="I32" s="797" t="s">
        <v>352</v>
      </c>
      <c r="J32" s="797" t="s">
        <v>544</v>
      </c>
      <c r="K32" s="787"/>
      <c r="M32" s="786"/>
    </row>
    <row r="33" spans="1:13" s="806" customFormat="1" ht="25.5">
      <c r="A33" s="813">
        <f t="shared" si="5"/>
        <v>7</v>
      </c>
      <c r="B33" s="802"/>
      <c r="C33" s="841" t="s">
        <v>2142</v>
      </c>
      <c r="D33" s="842" t="s">
        <v>2289</v>
      </c>
      <c r="E33" s="842" t="s">
        <v>2290</v>
      </c>
      <c r="F33" s="1186"/>
      <c r="H33" s="1187" t="s">
        <v>2142</v>
      </c>
      <c r="I33" s="1165" t="s">
        <v>1194</v>
      </c>
      <c r="J33" s="1188" t="s">
        <v>2291</v>
      </c>
      <c r="K33" s="1189"/>
      <c r="L33" s="1189"/>
      <c r="M33" s="1189"/>
    </row>
    <row r="34" spans="1:13" s="795" customFormat="1">
      <c r="A34" s="813">
        <f t="shared" si="5"/>
        <v>8</v>
      </c>
      <c r="B34" s="787"/>
      <c r="C34" s="797"/>
      <c r="D34" s="797"/>
      <c r="E34" s="797"/>
      <c r="F34" s="1190"/>
      <c r="K34" s="1190"/>
      <c r="L34" s="1190"/>
      <c r="M34" s="1191"/>
    </row>
    <row r="35" spans="1:13" s="846" customFormat="1" ht="51">
      <c r="A35" s="813">
        <v>9</v>
      </c>
      <c r="B35" s="844" t="s">
        <v>1175</v>
      </c>
      <c r="C35" s="812" t="s">
        <v>2292</v>
      </c>
      <c r="D35" s="844" t="s">
        <v>2293</v>
      </c>
      <c r="E35" s="844" t="s">
        <v>2294</v>
      </c>
      <c r="F35" s="1192"/>
      <c r="G35" s="844" t="s">
        <v>1175</v>
      </c>
      <c r="H35" s="844" t="s">
        <v>2295</v>
      </c>
      <c r="I35" s="844" t="s">
        <v>2296</v>
      </c>
      <c r="J35" s="844" t="s">
        <v>2297</v>
      </c>
      <c r="K35" s="1192"/>
      <c r="L35" s="1193"/>
      <c r="M35" s="1193"/>
    </row>
    <row r="36" spans="1:13" s="850" customFormat="1" ht="15">
      <c r="A36" s="847" t="s">
        <v>2143</v>
      </c>
      <c r="B36" s="848" t="s">
        <v>2125</v>
      </c>
      <c r="C36" s="1194">
        <f>D21</f>
        <v>1081306.6586764245</v>
      </c>
      <c r="D36" s="1195">
        <f>I21</f>
        <v>310.92266666666671</v>
      </c>
      <c r="E36" s="1196">
        <f>C36/D36/10^3</f>
        <v>3.4777350595531509</v>
      </c>
      <c r="F36" s="1197"/>
      <c r="G36" s="848" t="s">
        <v>2122</v>
      </c>
      <c r="H36" s="830">
        <f>D18</f>
        <v>103522711.6264369</v>
      </c>
      <c r="I36" s="1177">
        <f>H18+H21</f>
        <v>21323.512966992464</v>
      </c>
      <c r="J36" s="850">
        <f>H36/(I36*10^3)</f>
        <v>4.8548619444968537</v>
      </c>
      <c r="K36" s="1198"/>
      <c r="L36" s="1199"/>
      <c r="M36" s="1197"/>
    </row>
    <row r="37" spans="1:13" s="850" customFormat="1" ht="15">
      <c r="A37" s="847" t="s">
        <v>2144</v>
      </c>
      <c r="B37" s="848" t="s">
        <v>2126</v>
      </c>
      <c r="C37" s="1194">
        <f>D22</f>
        <v>2212909.5086933267</v>
      </c>
      <c r="D37" s="1195">
        <f>I22</f>
        <v>1411.0920000000001</v>
      </c>
      <c r="E37" s="1196">
        <f t="shared" ref="E37:E38" si="6">C37/D37/10^3</f>
        <v>1.568224827788214</v>
      </c>
      <c r="F37" s="1197"/>
      <c r="G37" s="848" t="s">
        <v>2123</v>
      </c>
      <c r="H37" s="830">
        <f t="shared" ref="H37:H38" si="7">D19</f>
        <v>67029174.135122836</v>
      </c>
      <c r="I37" s="1177">
        <f t="shared" ref="I37:I38" si="8">H19+H22</f>
        <v>14067.834305278882</v>
      </c>
      <c r="J37" s="850">
        <f t="shared" ref="J37:J38" si="9">H37/(I37*10^3)</f>
        <v>4.7647116592758332</v>
      </c>
      <c r="K37" s="1198"/>
      <c r="L37" s="1199"/>
      <c r="M37" s="1197"/>
    </row>
    <row r="38" spans="1:13" s="850" customFormat="1" ht="15">
      <c r="A38" s="847" t="s">
        <v>2145</v>
      </c>
      <c r="B38" s="848" t="s">
        <v>2127</v>
      </c>
      <c r="C38" s="1194">
        <f>D23</f>
        <v>4533122.3668954568</v>
      </c>
      <c r="D38" s="1195">
        <f>I23</f>
        <v>8421.7119999999995</v>
      </c>
      <c r="E38" s="1196">
        <f t="shared" si="6"/>
        <v>0.53826613483047836</v>
      </c>
      <c r="F38" s="1197"/>
      <c r="G38" s="848" t="s">
        <v>2124</v>
      </c>
      <c r="H38" s="830">
        <f t="shared" si="7"/>
        <v>73677646.543481633</v>
      </c>
      <c r="I38" s="1177">
        <f t="shared" si="8"/>
        <v>15383.836135994066</v>
      </c>
      <c r="J38" s="850">
        <f t="shared" si="9"/>
        <v>4.7892896084023953</v>
      </c>
      <c r="K38" s="1198"/>
      <c r="L38" s="1199"/>
      <c r="M38" s="1197"/>
    </row>
    <row r="39" spans="1:13" s="795" customFormat="1">
      <c r="A39" s="847" t="s">
        <v>2146</v>
      </c>
      <c r="B39" s="831" t="s">
        <v>76</v>
      </c>
      <c r="C39" s="797"/>
      <c r="D39" s="797"/>
      <c r="E39" s="797"/>
      <c r="F39" s="797"/>
      <c r="G39" s="831" t="s">
        <v>76</v>
      </c>
      <c r="H39" s="797"/>
      <c r="I39" s="843"/>
      <c r="K39" s="787"/>
      <c r="M39" s="786"/>
    </row>
    <row r="40" spans="1:13" s="795" customFormat="1">
      <c r="A40" s="813">
        <v>10</v>
      </c>
      <c r="B40" s="787"/>
      <c r="C40" s="797"/>
      <c r="D40" s="797"/>
      <c r="E40" s="797"/>
      <c r="F40" s="797"/>
      <c r="G40" s="797"/>
      <c r="H40" s="797"/>
      <c r="I40" s="843"/>
      <c r="K40" s="787"/>
      <c r="M40" s="786"/>
    </row>
    <row r="41" spans="1:13" s="795" customFormat="1" ht="15.75">
      <c r="A41" s="813">
        <v>11</v>
      </c>
      <c r="B41" s="852" t="s">
        <v>1656</v>
      </c>
      <c r="C41" s="787"/>
      <c r="D41" s="787"/>
      <c r="E41" s="787"/>
      <c r="G41" s="787"/>
      <c r="H41" s="787"/>
      <c r="I41" s="787"/>
      <c r="J41" s="787"/>
      <c r="K41" s="787"/>
      <c r="L41" s="787"/>
      <c r="M41" s="786"/>
    </row>
    <row r="42" spans="1:13" s="795" customFormat="1">
      <c r="A42" s="813">
        <v>12</v>
      </c>
      <c r="B42" s="787"/>
      <c r="C42" s="797" t="s">
        <v>363</v>
      </c>
      <c r="D42" s="797" t="s">
        <v>347</v>
      </c>
      <c r="E42" s="797" t="s">
        <v>348</v>
      </c>
      <c r="F42" s="797" t="s">
        <v>349</v>
      </c>
      <c r="G42" s="797" t="s">
        <v>350</v>
      </c>
      <c r="H42" s="797" t="s">
        <v>351</v>
      </c>
      <c r="I42" s="797" t="s">
        <v>352</v>
      </c>
      <c r="J42" s="797" t="s">
        <v>544</v>
      </c>
      <c r="K42" s="797" t="s">
        <v>961</v>
      </c>
      <c r="L42" s="797" t="s">
        <v>974</v>
      </c>
      <c r="M42" s="786"/>
    </row>
    <row r="43" spans="1:13" s="806" customFormat="1" ht="38.25">
      <c r="A43" s="853">
        <v>13</v>
      </c>
      <c r="B43" s="802"/>
      <c r="C43" s="842" t="s">
        <v>2298</v>
      </c>
      <c r="D43" s="842" t="s">
        <v>2299</v>
      </c>
      <c r="E43" s="1170" t="s">
        <v>2300</v>
      </c>
      <c r="G43" s="1170" t="s">
        <v>2301</v>
      </c>
      <c r="H43" s="1170" t="s">
        <v>2302</v>
      </c>
      <c r="I43" s="1170" t="s">
        <v>2303</v>
      </c>
      <c r="J43" s="1170" t="s">
        <v>2147</v>
      </c>
      <c r="K43" s="1170" t="s">
        <v>2148</v>
      </c>
      <c r="L43" s="803"/>
      <c r="M43" s="803"/>
    </row>
    <row r="44" spans="1:13" s="795" customFormat="1">
      <c r="A44" s="813">
        <v>14</v>
      </c>
      <c r="B44" s="787"/>
      <c r="C44" s="798"/>
      <c r="D44" s="854" t="s">
        <v>2271</v>
      </c>
      <c r="E44" s="1171"/>
      <c r="G44" s="838"/>
      <c r="H44" s="855" t="s">
        <v>2272</v>
      </c>
      <c r="I44" s="855" t="s">
        <v>2304</v>
      </c>
      <c r="J44" s="855"/>
      <c r="K44" s="855"/>
      <c r="L44" s="798"/>
      <c r="M44" s="838"/>
    </row>
    <row r="45" spans="1:13" s="801" customFormat="1" ht="63.75">
      <c r="A45" s="813">
        <v>15</v>
      </c>
      <c r="B45" s="810" t="str">
        <f>B11</f>
        <v>CPUC Rate Group</v>
      </c>
      <c r="C45" s="812" t="s">
        <v>2305</v>
      </c>
      <c r="D45" s="812" t="s">
        <v>2149</v>
      </c>
      <c r="E45" s="812" t="s">
        <v>2150</v>
      </c>
      <c r="G45" s="812" t="s">
        <v>1195</v>
      </c>
      <c r="H45" s="812" t="s">
        <v>2151</v>
      </c>
      <c r="I45" s="845" t="s">
        <v>2152</v>
      </c>
      <c r="J45" s="812" t="s">
        <v>2153</v>
      </c>
      <c r="K45" s="845" t="s">
        <v>2154</v>
      </c>
      <c r="L45" s="856" t="s">
        <v>168</v>
      </c>
      <c r="M45" s="786"/>
    </row>
    <row r="46" spans="1:13" s="795" customFormat="1" ht="13.5" thickBot="1">
      <c r="A46" s="813" t="s">
        <v>2155</v>
      </c>
      <c r="B46" s="508" t="str">
        <f>B12</f>
        <v>Domestic</v>
      </c>
      <c r="C46" s="1194">
        <f>D46+E46</f>
        <v>478746781.87358993</v>
      </c>
      <c r="D46" s="1194">
        <f>D12-E46</f>
        <v>478746781.87358993</v>
      </c>
      <c r="E46" s="857"/>
      <c r="G46" s="857">
        <f>D46/(J12*10^6)</f>
        <v>1.7449210158036788E-2</v>
      </c>
      <c r="H46" s="857"/>
      <c r="I46" s="858"/>
      <c r="J46" s="859"/>
      <c r="K46" s="857"/>
      <c r="L46" s="857"/>
      <c r="M46" s="838"/>
    </row>
    <row r="47" spans="1:13" s="795" customFormat="1" ht="13.5" thickBot="1">
      <c r="A47" s="813" t="s">
        <v>2156</v>
      </c>
      <c r="B47" s="508" t="str">
        <f>B13</f>
        <v>GS-1</v>
      </c>
      <c r="C47" s="1194">
        <f t="shared" ref="C47:C59" si="10">D47+E47</f>
        <v>88176483.058797836</v>
      </c>
      <c r="D47" s="1194">
        <f t="shared" ref="D47" si="11">D13-E47</f>
        <v>88169692.888982981</v>
      </c>
      <c r="E47" s="849">
        <f>I47*I13*10^3</f>
        <v>6790.1698148599171</v>
      </c>
      <c r="G47" s="857">
        <f>D47/(J13*10^6)</f>
        <v>1.5221235221895295E-2</v>
      </c>
      <c r="H47" s="860">
        <f>(M14-E47)/N13/10^3</f>
        <v>3.1611591316852499</v>
      </c>
      <c r="I47" s="861">
        <f>MIN($I$54,L14)</f>
        <v>3.1611591316852499</v>
      </c>
      <c r="J47" s="861"/>
      <c r="K47" s="861"/>
      <c r="L47" s="1167" t="s">
        <v>2306</v>
      </c>
      <c r="M47" s="838"/>
    </row>
    <row r="48" spans="1:13" s="795" customFormat="1">
      <c r="A48" s="813" t="s">
        <v>2157</v>
      </c>
      <c r="B48" s="508" t="str">
        <f t="shared" ref="B48:B59" si="12">B15</f>
        <v>TC-1</v>
      </c>
      <c r="C48" s="1194">
        <f t="shared" si="10"/>
        <v>570988.96611930232</v>
      </c>
      <c r="D48" s="1194">
        <f>D15-E48</f>
        <v>570988.96611930232</v>
      </c>
      <c r="E48" s="857"/>
      <c r="G48" s="857">
        <f>D48/(J15*10^6)</f>
        <v>9.7881370167364912E-3</v>
      </c>
      <c r="H48" s="857"/>
      <c r="I48" s="858"/>
      <c r="J48" s="859"/>
      <c r="K48" s="857"/>
      <c r="L48" s="857"/>
      <c r="M48" s="838"/>
    </row>
    <row r="49" spans="1:13" s="795" customFormat="1">
      <c r="A49" s="813" t="s">
        <v>2158</v>
      </c>
      <c r="B49" s="508" t="str">
        <f t="shared" si="12"/>
        <v>GS-2</v>
      </c>
      <c r="C49" s="1194">
        <f t="shared" si="10"/>
        <v>204377945.97425994</v>
      </c>
      <c r="D49" s="1194">
        <f t="shared" ref="D49:D50" si="13">D16-E49</f>
        <v>204258277.11086071</v>
      </c>
      <c r="E49" s="849">
        <f>I49*I16*10^3</f>
        <v>119668.8633992239</v>
      </c>
      <c r="G49" s="849"/>
      <c r="H49" s="862">
        <f t="shared" ref="H49:H58" si="14">D49/H16/10^3</f>
        <v>4.2035746848167621</v>
      </c>
      <c r="I49" s="863">
        <f>MIN($I$54,L16)</f>
        <v>3.4777350595531509</v>
      </c>
      <c r="J49" s="859"/>
      <c r="K49" s="857"/>
      <c r="L49" s="857"/>
      <c r="M49" s="838"/>
    </row>
    <row r="50" spans="1:13" s="795" customFormat="1">
      <c r="A50" s="813" t="s">
        <v>2159</v>
      </c>
      <c r="B50" s="508" t="str">
        <f t="shared" si="12"/>
        <v>TOU-GS-3</v>
      </c>
      <c r="C50" s="1194">
        <f t="shared" si="10"/>
        <v>108329086.54967508</v>
      </c>
      <c r="D50" s="1194">
        <f t="shared" si="13"/>
        <v>108090625.21211164</v>
      </c>
      <c r="E50" s="849">
        <f>I50*I17*10^3</f>
        <v>238461.33756344047</v>
      </c>
      <c r="G50" s="849"/>
      <c r="H50" s="862">
        <f t="shared" si="14"/>
        <v>4.6269789120413831</v>
      </c>
      <c r="I50" s="863">
        <f>MIN($I$54,L17)</f>
        <v>3.4777350595531509</v>
      </c>
      <c r="J50" s="859"/>
      <c r="K50" s="857"/>
      <c r="L50" s="857"/>
      <c r="M50" s="838"/>
    </row>
    <row r="51" spans="1:13" s="795" customFormat="1">
      <c r="A51" s="813" t="s">
        <v>2160</v>
      </c>
      <c r="B51" s="508" t="str">
        <f t="shared" si="12"/>
        <v>TOU-8-SEC</v>
      </c>
      <c r="C51" s="1194">
        <f t="shared" si="10"/>
        <v>101819090.92319976</v>
      </c>
      <c r="D51" s="1194">
        <f>J36*H18*1000</f>
        <v>101819090.92319976</v>
      </c>
      <c r="E51" s="857"/>
      <c r="G51" s="849"/>
      <c r="H51" s="862">
        <f t="shared" si="14"/>
        <v>4.8548619444968528</v>
      </c>
      <c r="I51" s="858"/>
      <c r="J51" s="859"/>
      <c r="K51" s="857"/>
      <c r="L51" s="857"/>
      <c r="M51" s="838"/>
    </row>
    <row r="52" spans="1:13" s="795" customFormat="1">
      <c r="A52" s="813" t="s">
        <v>2161</v>
      </c>
      <c r="B52" s="508" t="str">
        <f t="shared" si="12"/>
        <v>TOU-8-PRI</v>
      </c>
      <c r="C52" s="1194">
        <f t="shared" si="10"/>
        <v>60546718.731876686</v>
      </c>
      <c r="D52" s="1194">
        <f t="shared" ref="D52:D53" si="15">J37*H19*1000</f>
        <v>60546718.731876686</v>
      </c>
      <c r="E52" s="857"/>
      <c r="G52" s="849"/>
      <c r="H52" s="862">
        <f t="shared" si="14"/>
        <v>4.7647116592758332</v>
      </c>
      <c r="I52" s="858"/>
      <c r="J52" s="859"/>
      <c r="K52" s="857"/>
      <c r="L52" s="857"/>
      <c r="M52" s="838"/>
    </row>
    <row r="53" spans="1:13" s="795" customFormat="1">
      <c r="A53" s="813" t="s">
        <v>2162</v>
      </c>
      <c r="B53" s="508" t="str">
        <f t="shared" si="12"/>
        <v>TOU-8-SUB</v>
      </c>
      <c r="C53" s="1194">
        <f t="shared" si="10"/>
        <v>58547430.437753171</v>
      </c>
      <c r="D53" s="1194">
        <f t="shared" si="15"/>
        <v>58547430.437753171</v>
      </c>
      <c r="E53" s="857"/>
      <c r="G53" s="849"/>
      <c r="H53" s="862">
        <f t="shared" si="14"/>
        <v>4.7892896084023953</v>
      </c>
      <c r="I53" s="858"/>
      <c r="J53" s="864"/>
      <c r="K53" s="865"/>
      <c r="L53" s="865"/>
      <c r="M53" s="838"/>
    </row>
    <row r="54" spans="1:13" s="795" customFormat="1">
      <c r="A54" s="813" t="s">
        <v>2163</v>
      </c>
      <c r="B54" s="508" t="str">
        <f t="shared" si="12"/>
        <v>TOU-8-Standby-SEC</v>
      </c>
      <c r="C54" s="1194">
        <f t="shared" si="10"/>
        <v>2784927.3619135562</v>
      </c>
      <c r="D54" s="1194">
        <f>J36*H21*1000</f>
        <v>1703620.7032371317</v>
      </c>
      <c r="E54" s="849">
        <f>I54*I21*10^3</f>
        <v>1081306.6586764245</v>
      </c>
      <c r="G54" s="849"/>
      <c r="H54" s="1200">
        <f>J36</f>
        <v>4.8548619444968537</v>
      </c>
      <c r="I54" s="1201">
        <f>E36</f>
        <v>3.4777350595531509</v>
      </c>
      <c r="J54" s="864"/>
      <c r="K54" s="865"/>
      <c r="L54" s="865"/>
      <c r="M54" s="838"/>
    </row>
    <row r="55" spans="1:13" s="795" customFormat="1">
      <c r="A55" s="813" t="s">
        <v>2164</v>
      </c>
      <c r="B55" s="508" t="str">
        <f t="shared" si="12"/>
        <v>TOU-8-Standby-PRI</v>
      </c>
      <c r="C55" s="1194">
        <f t="shared" si="10"/>
        <v>8695364.9119394738</v>
      </c>
      <c r="D55" s="1194">
        <f t="shared" ref="D55:D56" si="16">J37*H22*1000</f>
        <v>6482455.4032461466</v>
      </c>
      <c r="E55" s="849">
        <f>I55*I22*10^3</f>
        <v>2212909.5086933267</v>
      </c>
      <c r="G55" s="849"/>
      <c r="H55" s="1200">
        <f>J37</f>
        <v>4.7647116592758332</v>
      </c>
      <c r="I55" s="1201">
        <f>E37</f>
        <v>1.568224827788214</v>
      </c>
      <c r="J55" s="864"/>
      <c r="K55" s="865"/>
      <c r="L55" s="865"/>
      <c r="M55" s="838"/>
    </row>
    <row r="56" spans="1:13" s="795" customFormat="1" ht="13.5" thickBot="1">
      <c r="A56" s="813" t="s">
        <v>2165</v>
      </c>
      <c r="B56" s="508" t="str">
        <f t="shared" si="12"/>
        <v>TOU-8-Standby-SUB</v>
      </c>
      <c r="C56" s="1194">
        <f t="shared" si="10"/>
        <v>19663338.472623922</v>
      </c>
      <c r="D56" s="1194">
        <f t="shared" si="16"/>
        <v>15130216.105728466</v>
      </c>
      <c r="E56" s="849">
        <f>I56*I23*10^3</f>
        <v>4533122.3668954568</v>
      </c>
      <c r="G56" s="849"/>
      <c r="H56" s="1200">
        <f>J38</f>
        <v>4.7892896084023953</v>
      </c>
      <c r="I56" s="1201">
        <f>E38</f>
        <v>0.53826613483047836</v>
      </c>
      <c r="J56" s="864"/>
      <c r="K56" s="865"/>
      <c r="L56" s="865"/>
      <c r="M56" s="838"/>
    </row>
    <row r="57" spans="1:13" s="795" customFormat="1" ht="13.5" thickBot="1">
      <c r="A57" s="813" t="s">
        <v>2166</v>
      </c>
      <c r="B57" s="508" t="str">
        <f t="shared" si="12"/>
        <v>TOU-PA-2</v>
      </c>
      <c r="C57" s="1194">
        <f t="shared" si="10"/>
        <v>17934823.752211671</v>
      </c>
      <c r="D57" s="1194">
        <f t="shared" ref="D57:D59" si="17">D24-E57</f>
        <v>17931709.522724822</v>
      </c>
      <c r="E57" s="849">
        <f>I57*I24*10^3</f>
        <v>3114.2294868504255</v>
      </c>
      <c r="G57" s="849"/>
      <c r="H57" s="1200">
        <f t="shared" si="14"/>
        <v>2.3736505235140437</v>
      </c>
      <c r="I57" s="1201">
        <f>MIN($I$54,L24)</f>
        <v>2.3736505235140437</v>
      </c>
      <c r="J57" s="866">
        <f>H57*0.746</f>
        <v>1.7707432905414766</v>
      </c>
      <c r="K57" s="861">
        <f>I57*0.746</f>
        <v>1.7707432905414766</v>
      </c>
      <c r="L57" s="1167" t="s">
        <v>2307</v>
      </c>
      <c r="M57" s="798"/>
    </row>
    <row r="58" spans="1:13" s="795" customFormat="1">
      <c r="A58" s="813" t="s">
        <v>2167</v>
      </c>
      <c r="B58" s="508" t="str">
        <f t="shared" si="12"/>
        <v>TOU-PA-3</v>
      </c>
      <c r="C58" s="1194">
        <f t="shared" si="10"/>
        <v>13509075.278027743</v>
      </c>
      <c r="D58" s="1194">
        <f t="shared" si="17"/>
        <v>13488457.760352533</v>
      </c>
      <c r="E58" s="849">
        <f>I58*I25*10^3</f>
        <v>20617.517675210431</v>
      </c>
      <c r="G58" s="849"/>
      <c r="H58" s="862">
        <f t="shared" si="14"/>
        <v>2.7937015820068338</v>
      </c>
      <c r="I58" s="863">
        <f>MIN($I$54,L25)</f>
        <v>2.7937015820068334</v>
      </c>
      <c r="J58" s="859"/>
      <c r="K58" s="857"/>
      <c r="L58" s="857"/>
      <c r="M58" s="798"/>
    </row>
    <row r="59" spans="1:13" s="795" customFormat="1">
      <c r="A59" s="813" t="s">
        <v>2168</v>
      </c>
      <c r="B59" s="508" t="str">
        <f t="shared" si="12"/>
        <v>Street Lighting</v>
      </c>
      <c r="C59" s="1194">
        <f t="shared" si="10"/>
        <v>5604566.25874954</v>
      </c>
      <c r="D59" s="1194">
        <f t="shared" si="17"/>
        <v>5604566.25874954</v>
      </c>
      <c r="E59" s="857"/>
      <c r="G59" s="857">
        <f>D59/(J26*10^6)</f>
        <v>7.7178775134946111E-3</v>
      </c>
      <c r="H59" s="857"/>
      <c r="I59" s="858"/>
      <c r="J59" s="859"/>
      <c r="K59" s="857"/>
      <c r="L59" s="857"/>
      <c r="M59" s="798"/>
    </row>
    <row r="60" spans="1:13" s="795" customFormat="1">
      <c r="A60" s="813" t="s">
        <v>2169</v>
      </c>
      <c r="B60" s="831" t="s">
        <v>76</v>
      </c>
      <c r="C60" s="1194"/>
      <c r="D60" s="1194"/>
      <c r="E60" s="857"/>
      <c r="G60" s="857"/>
      <c r="H60" s="857"/>
      <c r="I60" s="858"/>
      <c r="J60" s="859"/>
      <c r="K60" s="857"/>
      <c r="L60" s="857"/>
      <c r="M60" s="798"/>
    </row>
    <row r="61" spans="1:13" s="795" customFormat="1">
      <c r="A61" s="813">
        <v>17</v>
      </c>
      <c r="B61" s="509" t="s">
        <v>197</v>
      </c>
      <c r="C61" s="1202">
        <f>SUM(C46:C60)</f>
        <v>1169306622.5507374</v>
      </c>
      <c r="D61" s="1202">
        <f>SUM(D46:D60)</f>
        <v>1161090631.8985326</v>
      </c>
      <c r="E61" s="836">
        <f>SUM(E46:E59)</f>
        <v>8215990.6522047929</v>
      </c>
      <c r="G61" s="867"/>
      <c r="H61" s="867"/>
      <c r="I61" s="867"/>
      <c r="J61" s="867"/>
      <c r="K61" s="784"/>
      <c r="L61" s="784"/>
      <c r="M61" s="798"/>
    </row>
    <row r="62" spans="1:13" s="795" customFormat="1">
      <c r="A62" s="813">
        <v>18</v>
      </c>
      <c r="B62" s="787"/>
      <c r="C62" s="787"/>
      <c r="D62" s="787"/>
      <c r="E62" s="787"/>
      <c r="F62" s="787"/>
      <c r="G62" s="787"/>
      <c r="H62" s="787"/>
      <c r="I62" s="784"/>
      <c r="J62" s="784"/>
      <c r="K62" s="784"/>
      <c r="L62" s="784"/>
      <c r="M62" s="786"/>
    </row>
    <row r="63" spans="1:13" s="795" customFormat="1">
      <c r="A63" s="813">
        <v>19</v>
      </c>
      <c r="B63" s="868" t="s">
        <v>232</v>
      </c>
      <c r="C63" s="787"/>
      <c r="D63" s="787"/>
      <c r="E63" s="787"/>
      <c r="F63" s="787"/>
      <c r="G63" s="787"/>
      <c r="H63" s="787"/>
      <c r="I63" s="784"/>
      <c r="J63" s="784"/>
      <c r="K63" s="784"/>
      <c r="L63" s="784"/>
      <c r="M63" s="786"/>
    </row>
    <row r="64" spans="1:13" s="795" customFormat="1">
      <c r="A64" s="787"/>
      <c r="B64" s="869" t="s">
        <v>2170</v>
      </c>
      <c r="I64" s="869"/>
      <c r="J64" s="869"/>
      <c r="K64" s="869"/>
      <c r="L64" s="869"/>
      <c r="M64" s="786"/>
    </row>
    <row r="65" spans="1:13" s="795" customFormat="1">
      <c r="A65" s="787"/>
      <c r="B65" s="869" t="s">
        <v>2273</v>
      </c>
      <c r="I65" s="869"/>
      <c r="J65" s="869"/>
      <c r="K65" s="869"/>
      <c r="L65" s="869"/>
      <c r="M65" s="786"/>
    </row>
    <row r="66" spans="1:13" s="795" customFormat="1">
      <c r="A66" s="787"/>
      <c r="B66" s="869" t="s">
        <v>2308</v>
      </c>
      <c r="I66" s="869"/>
      <c r="J66" s="869"/>
      <c r="K66" s="869"/>
      <c r="L66" s="869"/>
      <c r="M66" s="786"/>
    </row>
    <row r="67" spans="1:13" s="795" customFormat="1">
      <c r="A67" s="787"/>
      <c r="B67" s="1172" t="s">
        <v>2309</v>
      </c>
      <c r="C67" s="869"/>
      <c r="D67" s="869"/>
      <c r="E67" s="869"/>
      <c r="F67" s="869"/>
      <c r="G67" s="869"/>
      <c r="I67" s="869"/>
      <c r="J67" s="869"/>
      <c r="K67" s="869"/>
      <c r="L67" s="869"/>
      <c r="M67" s="786"/>
    </row>
    <row r="68" spans="1:13" s="795" customFormat="1">
      <c r="A68" s="787"/>
      <c r="B68" s="1172" t="s">
        <v>2310</v>
      </c>
      <c r="C68" s="869"/>
      <c r="D68" s="869"/>
      <c r="E68" s="869"/>
      <c r="F68" s="869"/>
      <c r="G68" s="869"/>
      <c r="I68" s="869"/>
      <c r="J68" s="869"/>
      <c r="K68" s="869"/>
      <c r="L68" s="869"/>
      <c r="M68" s="786"/>
    </row>
    <row r="69" spans="1:13" s="795" customFormat="1">
      <c r="A69" s="787"/>
      <c r="B69" s="1203" t="s">
        <v>2311</v>
      </c>
      <c r="I69" s="869"/>
      <c r="J69" s="869"/>
      <c r="K69" s="869"/>
      <c r="L69" s="869"/>
      <c r="M69" s="786"/>
    </row>
    <row r="70" spans="1:13" s="795" customFormat="1">
      <c r="A70" s="787"/>
      <c r="B70" s="869" t="s">
        <v>2312</v>
      </c>
      <c r="I70" s="869"/>
      <c r="J70" s="869"/>
      <c r="K70" s="869"/>
      <c r="L70" s="869"/>
      <c r="M70" s="786"/>
    </row>
    <row r="71" spans="1:13" s="795" customFormat="1">
      <c r="A71" s="787"/>
      <c r="B71" s="869" t="s">
        <v>2313</v>
      </c>
      <c r="I71" s="869"/>
      <c r="J71" s="869"/>
      <c r="K71" s="869"/>
      <c r="L71" s="869"/>
      <c r="M71" s="786"/>
    </row>
    <row r="72" spans="1:13" s="795" customFormat="1">
      <c r="A72" s="787"/>
      <c r="B72" s="869" t="s">
        <v>2314</v>
      </c>
      <c r="I72" s="869"/>
      <c r="J72" s="869"/>
      <c r="K72" s="869"/>
      <c r="L72" s="869"/>
      <c r="M72" s="786"/>
    </row>
    <row r="73" spans="1:13" s="795" customFormat="1">
      <c r="A73" s="787"/>
      <c r="B73" s="869" t="s">
        <v>2315</v>
      </c>
      <c r="I73" s="869"/>
      <c r="J73" s="869"/>
      <c r="K73" s="869"/>
      <c r="L73" s="869"/>
      <c r="M73" s="786"/>
    </row>
    <row r="74" spans="1:13" s="795" customFormat="1">
      <c r="A74" s="787"/>
      <c r="B74" s="869" t="s">
        <v>2316</v>
      </c>
      <c r="I74" s="869"/>
      <c r="J74" s="869"/>
      <c r="K74" s="869"/>
      <c r="L74" s="869"/>
      <c r="M74" s="786"/>
    </row>
    <row r="75" spans="1:13" s="795" customFormat="1">
      <c r="A75" s="787"/>
      <c r="B75" s="1172" t="s">
        <v>2317</v>
      </c>
      <c r="I75" s="869"/>
      <c r="J75" s="869"/>
      <c r="K75" s="869"/>
      <c r="L75" s="869"/>
      <c r="M75" s="786"/>
    </row>
    <row r="76" spans="1:13" s="795" customFormat="1">
      <c r="A76" s="787"/>
      <c r="B76" s="1172" t="s">
        <v>2318</v>
      </c>
      <c r="I76" s="869"/>
      <c r="J76" s="869"/>
      <c r="K76" s="869"/>
      <c r="L76" s="869"/>
      <c r="M76" s="786"/>
    </row>
    <row r="77" spans="1:13" s="795" customFormat="1">
      <c r="A77" s="787"/>
      <c r="B77" s="1172" t="s">
        <v>2319</v>
      </c>
      <c r="I77" s="869"/>
      <c r="J77" s="869"/>
      <c r="K77" s="869"/>
      <c r="L77" s="869"/>
      <c r="M77" s="786"/>
    </row>
    <row r="78" spans="1:13" s="795" customFormat="1" ht="15.75">
      <c r="A78" s="787"/>
      <c r="B78" s="869" t="s">
        <v>2320</v>
      </c>
      <c r="I78" s="869"/>
      <c r="J78" s="869"/>
      <c r="K78" s="869"/>
      <c r="L78" s="869"/>
      <c r="M78" s="786"/>
    </row>
    <row r="79" spans="1:13" s="795" customFormat="1">
      <c r="A79" s="787"/>
      <c r="B79" s="869" t="s">
        <v>2321</v>
      </c>
      <c r="I79" s="869"/>
      <c r="J79" s="869"/>
      <c r="K79" s="869"/>
      <c r="L79" s="869"/>
      <c r="M79" s="786"/>
    </row>
    <row r="80" spans="1:13" s="795" customFormat="1">
      <c r="A80" s="787"/>
      <c r="B80" s="869" t="s">
        <v>2322</v>
      </c>
      <c r="I80" s="869"/>
      <c r="J80" s="869"/>
      <c r="K80" s="869"/>
      <c r="L80" s="869"/>
      <c r="M80" s="786"/>
    </row>
    <row r="81" spans="1:13" s="795" customFormat="1">
      <c r="A81" s="787"/>
      <c r="B81" s="869" t="s">
        <v>2323</v>
      </c>
      <c r="I81" s="869"/>
      <c r="J81" s="869"/>
      <c r="K81" s="869"/>
      <c r="L81" s="869"/>
      <c r="M81" s="786"/>
    </row>
    <row r="82" spans="1:13" s="795" customFormat="1">
      <c r="A82" s="787"/>
      <c r="B82" s="869" t="s">
        <v>2324</v>
      </c>
      <c r="I82" s="869"/>
      <c r="J82" s="869"/>
      <c r="K82" s="869"/>
      <c r="L82" s="869"/>
      <c r="M82" s="786"/>
    </row>
    <row r="83" spans="1:13">
      <c r="A83" s="813">
        <v>20</v>
      </c>
    </row>
    <row r="84" spans="1:13" s="795" customFormat="1">
      <c r="A84" s="813">
        <v>21</v>
      </c>
      <c r="B84" s="870"/>
      <c r="C84" s="787"/>
      <c r="D84" s="787"/>
      <c r="M84" s="786"/>
    </row>
    <row r="85" spans="1:13" s="795" customFormat="1" ht="15.75">
      <c r="A85" s="813">
        <v>22</v>
      </c>
      <c r="B85" s="783" t="s">
        <v>1196</v>
      </c>
      <c r="C85" s="787"/>
      <c r="D85" s="787"/>
      <c r="E85" s="787"/>
      <c r="F85" s="787"/>
      <c r="G85" s="787"/>
      <c r="H85" s="787"/>
      <c r="I85" s="787"/>
      <c r="J85" s="787"/>
      <c r="K85" s="787"/>
      <c r="L85" s="787"/>
      <c r="M85" s="786"/>
    </row>
    <row r="86" spans="1:13">
      <c r="A86" s="813">
        <v>23</v>
      </c>
    </row>
    <row r="87" spans="1:13">
      <c r="A87" s="813">
        <v>24</v>
      </c>
    </row>
    <row r="88" spans="1:13" s="795" customFormat="1" ht="25.5" customHeight="1">
      <c r="A88" s="813">
        <v>25</v>
      </c>
      <c r="B88" s="810" t="str">
        <f>B11</f>
        <v>CPUC Rate Group</v>
      </c>
      <c r="C88" s="871" t="s">
        <v>1197</v>
      </c>
      <c r="D88" s="872"/>
      <c r="E88" s="872"/>
      <c r="F88" s="872"/>
      <c r="G88" s="872"/>
      <c r="H88" s="872"/>
      <c r="I88" s="872"/>
      <c r="J88" s="873"/>
      <c r="K88" s="787"/>
      <c r="L88" s="787"/>
      <c r="M88" s="786"/>
    </row>
    <row r="89" spans="1:13" s="795" customFormat="1">
      <c r="A89" s="813" t="s">
        <v>2171</v>
      </c>
      <c r="B89" s="874" t="s">
        <v>2116</v>
      </c>
      <c r="C89" s="875" t="s">
        <v>2240</v>
      </c>
      <c r="D89" s="876"/>
      <c r="E89" s="876"/>
      <c r="F89" s="876"/>
      <c r="G89" s="876"/>
      <c r="H89" s="876"/>
      <c r="I89" s="877"/>
      <c r="J89" s="877"/>
      <c r="K89" s="787"/>
      <c r="L89" s="787"/>
      <c r="M89" s="786"/>
    </row>
    <row r="90" spans="1:13" s="795" customFormat="1">
      <c r="A90" s="813"/>
      <c r="B90" s="1173" t="s">
        <v>2274</v>
      </c>
      <c r="C90" s="1174"/>
      <c r="D90" s="1174" t="s">
        <v>2275</v>
      </c>
      <c r="E90" s="1175"/>
      <c r="F90" s="1175"/>
      <c r="G90" s="1175"/>
      <c r="H90" s="1175"/>
      <c r="I90" s="877"/>
      <c r="J90" s="877"/>
      <c r="K90" s="787"/>
      <c r="L90" s="787"/>
      <c r="M90" s="786"/>
    </row>
    <row r="91" spans="1:13" s="795" customFormat="1">
      <c r="A91" s="813" t="s">
        <v>2172</v>
      </c>
      <c r="B91" s="874" t="s">
        <v>2117</v>
      </c>
      <c r="C91" s="875" t="s">
        <v>2250</v>
      </c>
      <c r="D91" s="876"/>
      <c r="E91" s="876"/>
      <c r="F91" s="876"/>
      <c r="G91" s="876"/>
      <c r="H91" s="876"/>
      <c r="I91" s="877"/>
      <c r="J91" s="874"/>
      <c r="K91" s="787"/>
      <c r="L91" s="787"/>
      <c r="M91" s="786"/>
    </row>
    <row r="92" spans="1:13" s="795" customFormat="1">
      <c r="A92" s="813" t="s">
        <v>2173</v>
      </c>
      <c r="B92" s="874" t="s">
        <v>2119</v>
      </c>
      <c r="C92" s="875" t="s">
        <v>2241</v>
      </c>
      <c r="D92" s="876"/>
      <c r="E92" s="876"/>
      <c r="F92" s="876"/>
      <c r="G92" s="876"/>
      <c r="H92" s="876"/>
      <c r="I92" s="877"/>
      <c r="J92" s="874"/>
      <c r="K92" s="787"/>
      <c r="L92" s="787"/>
      <c r="M92" s="786"/>
    </row>
    <row r="93" spans="1:13" s="795" customFormat="1">
      <c r="A93" s="813" t="s">
        <v>2174</v>
      </c>
      <c r="B93" s="874" t="s">
        <v>2120</v>
      </c>
      <c r="C93" s="875" t="s">
        <v>2251</v>
      </c>
      <c r="D93" s="876"/>
      <c r="E93" s="876"/>
      <c r="F93" s="876"/>
      <c r="G93" s="876"/>
      <c r="H93" s="876"/>
      <c r="I93" s="877"/>
      <c r="J93" s="874"/>
      <c r="K93" s="787"/>
      <c r="L93" s="787"/>
      <c r="M93" s="786"/>
    </row>
    <row r="94" spans="1:13" s="795" customFormat="1">
      <c r="A94" s="813" t="s">
        <v>2175</v>
      </c>
      <c r="B94" s="874" t="s">
        <v>2121</v>
      </c>
      <c r="C94" s="875" t="s">
        <v>2252</v>
      </c>
      <c r="D94" s="876"/>
      <c r="E94" s="876"/>
      <c r="F94" s="876"/>
      <c r="G94" s="876"/>
      <c r="H94" s="876"/>
      <c r="I94" s="877"/>
      <c r="J94" s="874"/>
      <c r="K94" s="787"/>
      <c r="L94" s="787"/>
      <c r="M94" s="786"/>
    </row>
    <row r="95" spans="1:13" s="795" customFormat="1">
      <c r="A95" s="813" t="s">
        <v>2176</v>
      </c>
      <c r="B95" s="1173" t="s">
        <v>2122</v>
      </c>
      <c r="C95" s="1174" t="s">
        <v>2276</v>
      </c>
      <c r="D95" s="1175"/>
      <c r="E95" s="1175"/>
      <c r="F95" s="1175"/>
      <c r="G95" s="1175"/>
      <c r="H95" s="1175"/>
      <c r="I95" s="1175"/>
      <c r="J95" s="1173"/>
      <c r="K95" s="787"/>
      <c r="L95" s="787"/>
      <c r="M95" s="786"/>
    </row>
    <row r="96" spans="1:13">
      <c r="A96" s="813" t="s">
        <v>2177</v>
      </c>
      <c r="B96" s="1173" t="s">
        <v>2123</v>
      </c>
      <c r="C96" s="1174" t="s">
        <v>2276</v>
      </c>
      <c r="D96" s="1175"/>
      <c r="E96" s="1175"/>
      <c r="F96" s="1175"/>
      <c r="G96" s="1175"/>
      <c r="H96" s="1175"/>
      <c r="I96" s="1175"/>
      <c r="J96" s="1173"/>
    </row>
    <row r="97" spans="1:13">
      <c r="A97" s="813" t="s">
        <v>2178</v>
      </c>
      <c r="B97" s="1173" t="s">
        <v>2124</v>
      </c>
      <c r="C97" s="1174" t="s">
        <v>2276</v>
      </c>
      <c r="D97" s="1175"/>
      <c r="E97" s="1175"/>
      <c r="F97" s="1175"/>
      <c r="G97" s="1175"/>
      <c r="H97" s="1175"/>
      <c r="I97" s="1175"/>
      <c r="J97" s="1173"/>
    </row>
    <row r="98" spans="1:13">
      <c r="A98" s="813" t="s">
        <v>2179</v>
      </c>
      <c r="B98" s="1173" t="s">
        <v>2125</v>
      </c>
      <c r="C98" s="1174" t="s">
        <v>2253</v>
      </c>
      <c r="D98" s="1175"/>
      <c r="E98" s="1175"/>
      <c r="F98" s="1175"/>
      <c r="G98" s="1175"/>
      <c r="H98" s="1175"/>
      <c r="I98" s="1176"/>
      <c r="J98" s="1173"/>
    </row>
    <row r="99" spans="1:13">
      <c r="A99" s="813" t="s">
        <v>2180</v>
      </c>
      <c r="B99" s="1173" t="s">
        <v>2126</v>
      </c>
      <c r="C99" s="1174" t="s">
        <v>2277</v>
      </c>
      <c r="D99" s="1175"/>
      <c r="E99" s="1175"/>
      <c r="F99" s="1175"/>
      <c r="G99" s="1175"/>
      <c r="H99" s="1175"/>
      <c r="I99" s="1176"/>
      <c r="J99" s="1173"/>
    </row>
    <row r="100" spans="1:13">
      <c r="A100" s="813" t="s">
        <v>2181</v>
      </c>
      <c r="B100" s="1173" t="s">
        <v>2127</v>
      </c>
      <c r="C100" s="1174" t="s">
        <v>2277</v>
      </c>
      <c r="D100" s="1175"/>
      <c r="E100" s="1175"/>
      <c r="F100" s="1175"/>
      <c r="G100" s="1175"/>
      <c r="H100" s="1175"/>
      <c r="I100" s="1176"/>
      <c r="J100" s="1173"/>
    </row>
    <row r="101" spans="1:13">
      <c r="A101" s="813" t="s">
        <v>2182</v>
      </c>
      <c r="B101" s="874" t="s">
        <v>2128</v>
      </c>
      <c r="C101" s="875" t="s">
        <v>2242</v>
      </c>
      <c r="D101" s="876"/>
      <c r="E101" s="876"/>
      <c r="F101" s="876"/>
      <c r="G101" s="876"/>
      <c r="H101" s="876"/>
      <c r="I101" s="877"/>
      <c r="J101" s="874"/>
    </row>
    <row r="102" spans="1:13">
      <c r="A102" s="813" t="s">
        <v>2183</v>
      </c>
      <c r="B102" s="874" t="s">
        <v>2129</v>
      </c>
      <c r="C102" s="875" t="s">
        <v>2243</v>
      </c>
      <c r="D102" s="876"/>
      <c r="E102" s="876"/>
      <c r="F102" s="876"/>
      <c r="G102" s="876"/>
      <c r="H102" s="876"/>
      <c r="I102" s="877"/>
      <c r="J102" s="874"/>
    </row>
    <row r="103" spans="1:13">
      <c r="A103" s="813" t="s">
        <v>2184</v>
      </c>
      <c r="B103" s="874" t="s">
        <v>2130</v>
      </c>
      <c r="C103" s="875" t="s">
        <v>2278</v>
      </c>
      <c r="D103" s="876"/>
      <c r="E103" s="876"/>
      <c r="F103" s="876"/>
      <c r="G103" s="876"/>
      <c r="H103" s="876"/>
      <c r="I103" s="877"/>
      <c r="J103" s="874"/>
    </row>
    <row r="104" spans="1:13">
      <c r="A104" s="813" t="s">
        <v>2185</v>
      </c>
      <c r="B104" s="878" t="s">
        <v>76</v>
      </c>
      <c r="C104" s="875"/>
      <c r="D104" s="876"/>
      <c r="E104" s="876"/>
      <c r="F104" s="876"/>
      <c r="G104" s="876"/>
      <c r="H104" s="876"/>
      <c r="I104" s="877"/>
      <c r="J104" s="874"/>
    </row>
    <row r="105" spans="1:13">
      <c r="A105" s="813">
        <v>27</v>
      </c>
    </row>
    <row r="106" spans="1:13">
      <c r="A106" s="813">
        <f t="shared" ref="A106:A112" si="18">A105+1</f>
        <v>28</v>
      </c>
    </row>
    <row r="107" spans="1:13" ht="15.75">
      <c r="A107" s="813">
        <f t="shared" si="18"/>
        <v>29</v>
      </c>
      <c r="B107" s="783" t="s">
        <v>1198</v>
      </c>
    </row>
    <row r="108" spans="1:13">
      <c r="A108" s="813">
        <f t="shared" si="18"/>
        <v>30</v>
      </c>
      <c r="C108" s="797" t="s">
        <v>363</v>
      </c>
      <c r="D108" s="797" t="s">
        <v>347</v>
      </c>
      <c r="E108" s="797" t="s">
        <v>348</v>
      </c>
      <c r="F108" s="797" t="s">
        <v>349</v>
      </c>
      <c r="G108" s="879" t="s">
        <v>350</v>
      </c>
      <c r="H108" s="879" t="s">
        <v>351</v>
      </c>
      <c r="I108" s="879" t="s">
        <v>352</v>
      </c>
      <c r="J108" s="879" t="s">
        <v>544</v>
      </c>
      <c r="K108" s="879" t="s">
        <v>961</v>
      </c>
      <c r="L108" s="879" t="s">
        <v>974</v>
      </c>
      <c r="M108" s="879" t="s">
        <v>977</v>
      </c>
    </row>
    <row r="109" spans="1:13" s="802" customFormat="1" ht="38.25">
      <c r="A109" s="880">
        <f t="shared" si="18"/>
        <v>31</v>
      </c>
      <c r="C109" s="803"/>
      <c r="D109" s="803"/>
      <c r="E109" s="803"/>
      <c r="F109" s="842" t="s">
        <v>2186</v>
      </c>
      <c r="G109" s="881"/>
      <c r="H109" s="842"/>
      <c r="I109" s="1204" t="s">
        <v>2187</v>
      </c>
      <c r="J109" s="1204" t="s">
        <v>2325</v>
      </c>
      <c r="K109" s="1204" t="s">
        <v>2326</v>
      </c>
      <c r="L109" s="1204" t="s">
        <v>2327</v>
      </c>
      <c r="M109" s="1204" t="s">
        <v>2328</v>
      </c>
    </row>
    <row r="110" spans="1:13" s="882" customFormat="1">
      <c r="A110" s="813">
        <f t="shared" si="18"/>
        <v>32</v>
      </c>
      <c r="C110" s="883"/>
      <c r="D110" s="883"/>
      <c r="E110" s="883"/>
      <c r="F110" s="884"/>
      <c r="G110" s="885"/>
      <c r="H110" s="884"/>
      <c r="I110" s="1187" t="s">
        <v>2329</v>
      </c>
      <c r="J110" s="1205"/>
      <c r="K110" s="884"/>
      <c r="L110" s="884"/>
      <c r="M110" s="884"/>
    </row>
    <row r="111" spans="1:13" ht="21.75" customHeight="1">
      <c r="A111" s="813">
        <f t="shared" si="18"/>
        <v>33</v>
      </c>
      <c r="B111" s="886"/>
      <c r="C111" s="1419" t="s">
        <v>1470</v>
      </c>
      <c r="D111" s="1420"/>
      <c r="E111" s="1420"/>
      <c r="F111" s="1423"/>
      <c r="G111" s="886"/>
      <c r="H111" s="887"/>
      <c r="I111" s="888"/>
      <c r="J111" s="888"/>
      <c r="K111" s="886"/>
      <c r="L111" s="1364" t="s">
        <v>148</v>
      </c>
      <c r="M111" s="889"/>
    </row>
    <row r="112" spans="1:13" s="838" customFormat="1" ht="51.75" customHeight="1">
      <c r="A112" s="813">
        <f t="shared" si="18"/>
        <v>34</v>
      </c>
      <c r="B112" s="890" t="str">
        <f>B11</f>
        <v>CPUC Rate Group</v>
      </c>
      <c r="C112" s="891">
        <v>2013</v>
      </c>
      <c r="D112" s="892">
        <v>2014</v>
      </c>
      <c r="E112" s="892">
        <v>2015</v>
      </c>
      <c r="F112" s="890" t="s">
        <v>2188</v>
      </c>
      <c r="G112" s="890" t="s">
        <v>1199</v>
      </c>
      <c r="H112" s="893" t="s">
        <v>2330</v>
      </c>
      <c r="I112" s="1206" t="s">
        <v>2331</v>
      </c>
      <c r="J112" s="890" t="s">
        <v>2286</v>
      </c>
      <c r="K112" s="890" t="s">
        <v>2332</v>
      </c>
      <c r="L112" s="890" t="s">
        <v>1471</v>
      </c>
      <c r="M112" s="890" t="s">
        <v>2189</v>
      </c>
    </row>
    <row r="113" spans="1:13">
      <c r="A113" s="813" t="s">
        <v>2190</v>
      </c>
      <c r="B113" s="508" t="str">
        <f>B12</f>
        <v>Domestic</v>
      </c>
      <c r="C113" s="1207">
        <v>70484.58</v>
      </c>
      <c r="D113" s="1207">
        <v>68996.84</v>
      </c>
      <c r="E113" s="1207">
        <v>70774.77</v>
      </c>
      <c r="F113" s="894">
        <f>(C113+D113+E113)/3</f>
        <v>70085.396666666667</v>
      </c>
      <c r="G113" s="895">
        <v>1.0905</v>
      </c>
      <c r="H113" s="1087">
        <v>29613.781359999997</v>
      </c>
      <c r="I113" s="1177">
        <f>E12</f>
        <v>28328.904648478532</v>
      </c>
      <c r="J113" s="1177">
        <f>F12</f>
        <v>0</v>
      </c>
      <c r="K113" s="839">
        <f>I113+J113</f>
        <v>28328.904648478532</v>
      </c>
      <c r="L113" s="894">
        <f>(F113*G113)*(K113/H113)</f>
        <v>73112.077147731645</v>
      </c>
      <c r="M113" s="1208">
        <f t="shared" ref="M113:M126" si="19">L113/$L$128</f>
        <v>0.40942792304489539</v>
      </c>
    </row>
    <row r="114" spans="1:13">
      <c r="A114" s="813" t="s">
        <v>2191</v>
      </c>
      <c r="B114" s="508" t="str">
        <f>B13</f>
        <v>GS-1</v>
      </c>
      <c r="C114" s="1207">
        <v>10515.59</v>
      </c>
      <c r="D114" s="1207">
        <v>12145.16</v>
      </c>
      <c r="E114" s="1207">
        <v>12888.83</v>
      </c>
      <c r="F114" s="894">
        <f t="shared" ref="F114:F126" si="20">(C114+D114+E114)/3</f>
        <v>11849.86</v>
      </c>
      <c r="G114" s="895">
        <v>1.0909</v>
      </c>
      <c r="H114" s="1087">
        <v>5569.3793266666662</v>
      </c>
      <c r="I114" s="1177">
        <f t="shared" ref="I114" si="21">E13</f>
        <v>5801.5583562176944</v>
      </c>
      <c r="J114" s="1177">
        <f>F13</f>
        <v>0</v>
      </c>
      <c r="K114" s="839">
        <f t="shared" ref="K114:K126" si="22">I114+J114</f>
        <v>5801.5583562176944</v>
      </c>
      <c r="L114" s="894">
        <f t="shared" ref="L114:L126" si="23">(F114*G114)*(K114/H114)</f>
        <v>13465.91993116041</v>
      </c>
      <c r="M114" s="1208">
        <f t="shared" si="19"/>
        <v>7.5409205214667083E-2</v>
      </c>
    </row>
    <row r="115" spans="1:13">
      <c r="A115" s="813" t="s">
        <v>2192</v>
      </c>
      <c r="B115" s="508" t="str">
        <f t="shared" ref="B115:B126" si="24">B15</f>
        <v>TC-1</v>
      </c>
      <c r="C115" s="1207">
        <v>85.75</v>
      </c>
      <c r="D115" s="1207">
        <v>85.18</v>
      </c>
      <c r="E115" s="1207">
        <v>83.21</v>
      </c>
      <c r="F115" s="894">
        <f t="shared" si="20"/>
        <v>84.713333333333324</v>
      </c>
      <c r="G115" s="895">
        <v>1.0916999999999999</v>
      </c>
      <c r="H115" s="1087">
        <v>61.868813333333328</v>
      </c>
      <c r="I115" s="1177">
        <f t="shared" ref="I115:J126" si="25">E15</f>
        <v>58.334794981208631</v>
      </c>
      <c r="J115" s="1177">
        <f t="shared" si="25"/>
        <v>0</v>
      </c>
      <c r="K115" s="839">
        <f t="shared" si="22"/>
        <v>58.334794981208631</v>
      </c>
      <c r="L115" s="894">
        <f t="shared" si="23"/>
        <v>87.198892863661641</v>
      </c>
      <c r="M115" s="1208">
        <f t="shared" si="19"/>
        <v>4.8831414712570517E-4</v>
      </c>
    </row>
    <row r="116" spans="1:13">
      <c r="A116" s="813" t="s">
        <v>2193</v>
      </c>
      <c r="B116" s="508" t="str">
        <f t="shared" si="24"/>
        <v>GS-2</v>
      </c>
      <c r="C116" s="1207">
        <v>30348.79</v>
      </c>
      <c r="D116" s="1207">
        <v>30524.12</v>
      </c>
      <c r="E116" s="1207">
        <v>30626.46</v>
      </c>
      <c r="F116" s="894">
        <f t="shared" si="20"/>
        <v>30499.789999999997</v>
      </c>
      <c r="G116" s="895">
        <v>1.0905</v>
      </c>
      <c r="H116" s="1087">
        <v>15055.711160000001</v>
      </c>
      <c r="I116" s="1177">
        <f t="shared" si="25"/>
        <v>14128.499492229597</v>
      </c>
      <c r="J116" s="1177">
        <f t="shared" si="25"/>
        <v>0</v>
      </c>
      <c r="K116" s="839">
        <f t="shared" si="22"/>
        <v>14128.499492229597</v>
      </c>
      <c r="L116" s="894">
        <f t="shared" si="23"/>
        <v>31211.690018859477</v>
      </c>
      <c r="M116" s="1208">
        <f t="shared" si="19"/>
        <v>0.17478558834160005</v>
      </c>
    </row>
    <row r="117" spans="1:13">
      <c r="A117" s="813" t="s">
        <v>2194</v>
      </c>
      <c r="B117" s="508" t="str">
        <f t="shared" si="24"/>
        <v>TOU-GS-3</v>
      </c>
      <c r="C117" s="1207">
        <v>15669.5</v>
      </c>
      <c r="D117" s="1207">
        <v>16197.25</v>
      </c>
      <c r="E117" s="1207">
        <v>16184.27</v>
      </c>
      <c r="F117" s="894">
        <f t="shared" si="20"/>
        <v>16017.006666666668</v>
      </c>
      <c r="G117" s="895">
        <v>1.0900000000000001</v>
      </c>
      <c r="H117" s="1087">
        <v>8528.109910000001</v>
      </c>
      <c r="I117" s="1177">
        <f t="shared" si="25"/>
        <v>8081.1519081914539</v>
      </c>
      <c r="J117" s="1177">
        <f t="shared" si="25"/>
        <v>0</v>
      </c>
      <c r="K117" s="839">
        <f t="shared" si="22"/>
        <v>8081.1519081914539</v>
      </c>
      <c r="L117" s="894">
        <f t="shared" si="23"/>
        <v>16543.535816924639</v>
      </c>
      <c r="M117" s="1208">
        <f t="shared" si="19"/>
        <v>9.2643866425185281E-2</v>
      </c>
    </row>
    <row r="118" spans="1:13">
      <c r="A118" s="813" t="s">
        <v>2195</v>
      </c>
      <c r="B118" s="508" t="str">
        <f t="shared" si="24"/>
        <v>TOU-8-SEC</v>
      </c>
      <c r="C118" s="1207">
        <v>14863.900000000001</v>
      </c>
      <c r="D118" s="1207">
        <v>15190.25</v>
      </c>
      <c r="E118" s="1207">
        <v>14907.32</v>
      </c>
      <c r="F118" s="894">
        <f t="shared" si="20"/>
        <v>14987.156666666668</v>
      </c>
      <c r="G118" s="895">
        <v>1.0909</v>
      </c>
      <c r="H118" s="1088">
        <v>8627.2281848775528</v>
      </c>
      <c r="I118" s="1177">
        <f>E18+E21</f>
        <v>8342.303584157813</v>
      </c>
      <c r="J118" s="1177">
        <f t="shared" si="25"/>
        <v>0</v>
      </c>
      <c r="K118" s="839">
        <f>I118+J118</f>
        <v>8342.303584157813</v>
      </c>
      <c r="L118" s="894">
        <f t="shared" si="23"/>
        <v>15809.527636622139</v>
      </c>
      <c r="M118" s="1208">
        <f t="shared" si="19"/>
        <v>8.8533417693822156E-2</v>
      </c>
    </row>
    <row r="119" spans="1:13">
      <c r="A119" s="813" t="s">
        <v>2196</v>
      </c>
      <c r="B119" s="508" t="str">
        <f t="shared" si="24"/>
        <v>TOU-8-PRI</v>
      </c>
      <c r="C119" s="1207">
        <v>9812.9500000000007</v>
      </c>
      <c r="D119" s="1207">
        <v>9948.57</v>
      </c>
      <c r="E119" s="1207">
        <v>9881.76</v>
      </c>
      <c r="F119" s="894">
        <f t="shared" si="20"/>
        <v>9881.0933333333323</v>
      </c>
      <c r="G119" s="895">
        <v>1.0644</v>
      </c>
      <c r="H119" s="1088">
        <v>6164.9164824116406</v>
      </c>
      <c r="I119" s="1177">
        <f>E19+E22</f>
        <v>6000.1824106684026</v>
      </c>
      <c r="J119" s="1177">
        <f t="shared" si="25"/>
        <v>0</v>
      </c>
      <c r="K119" s="839">
        <f t="shared" si="22"/>
        <v>6000.1824106684026</v>
      </c>
      <c r="L119" s="894">
        <f t="shared" si="23"/>
        <v>10236.397060126501</v>
      </c>
      <c r="M119" s="1208">
        <f t="shared" si="19"/>
        <v>5.7323864281983369E-2</v>
      </c>
    </row>
    <row r="120" spans="1:13">
      <c r="A120" s="813" t="s">
        <v>2197</v>
      </c>
      <c r="B120" s="508" t="str">
        <f t="shared" si="24"/>
        <v>TOU-8-SUB</v>
      </c>
      <c r="C120" s="1207">
        <v>11037.14</v>
      </c>
      <c r="D120" s="1207">
        <v>11843.23</v>
      </c>
      <c r="E120" s="1207">
        <v>10984.46</v>
      </c>
      <c r="F120" s="894">
        <f t="shared" si="20"/>
        <v>11288.276666666667</v>
      </c>
      <c r="G120" s="895">
        <v>1.0315000000000001</v>
      </c>
      <c r="H120" s="1088">
        <v>7841.7861814037487</v>
      </c>
      <c r="I120" s="1177">
        <f>E20+E23</f>
        <v>7577.6949611023965</v>
      </c>
      <c r="J120" s="1177">
        <f t="shared" si="25"/>
        <v>0</v>
      </c>
      <c r="K120" s="839">
        <f t="shared" si="22"/>
        <v>7577.6949611023965</v>
      </c>
      <c r="L120" s="894">
        <f t="shared" si="23"/>
        <v>11251.722167341199</v>
      </c>
      <c r="M120" s="1208">
        <f t="shared" si="19"/>
        <v>6.3009688923817475E-2</v>
      </c>
    </row>
    <row r="121" spans="1:13">
      <c r="A121" s="813" t="s">
        <v>2198</v>
      </c>
      <c r="B121" s="508" t="str">
        <f t="shared" si="24"/>
        <v>TOU-8-Standby-SEC</v>
      </c>
      <c r="C121" s="1207">
        <v>100.27</v>
      </c>
      <c r="D121" s="1207">
        <v>100.81</v>
      </c>
      <c r="E121" s="1207">
        <v>143.15</v>
      </c>
      <c r="F121" s="894">
        <f t="shared" si="20"/>
        <v>114.74333333333334</v>
      </c>
      <c r="G121" s="895">
        <v>1.0911</v>
      </c>
      <c r="H121" s="1088">
        <v>76.820291538859607</v>
      </c>
      <c r="I121" s="1209">
        <f>E21*0</f>
        <v>0</v>
      </c>
      <c r="J121" s="1177">
        <f t="shared" si="25"/>
        <v>101.32487237725</v>
      </c>
      <c r="K121" s="839">
        <f t="shared" si="22"/>
        <v>101.32487237725</v>
      </c>
      <c r="L121" s="894">
        <f t="shared" si="23"/>
        <v>165.13233893733215</v>
      </c>
      <c r="M121" s="1208">
        <f t="shared" si="19"/>
        <v>9.2474175534698578E-4</v>
      </c>
    </row>
    <row r="122" spans="1:13">
      <c r="A122" s="813" t="s">
        <v>2199</v>
      </c>
      <c r="B122" s="508" t="str">
        <f t="shared" si="24"/>
        <v>TOU-8-Standby-PRI</v>
      </c>
      <c r="C122" s="1207">
        <v>268.92</v>
      </c>
      <c r="D122" s="1207">
        <v>294.37</v>
      </c>
      <c r="E122" s="1207">
        <v>311.39999999999998</v>
      </c>
      <c r="F122" s="894">
        <f t="shared" si="20"/>
        <v>291.56333333333333</v>
      </c>
      <c r="G122" s="895">
        <v>1.0645</v>
      </c>
      <c r="H122" s="1088">
        <v>211.90284872933503</v>
      </c>
      <c r="I122" s="1209">
        <f>E22*0</f>
        <v>0</v>
      </c>
      <c r="J122" s="1177">
        <f t="shared" si="25"/>
        <v>230.73056660431223</v>
      </c>
      <c r="K122" s="839">
        <f t="shared" si="22"/>
        <v>230.73056660431223</v>
      </c>
      <c r="L122" s="894">
        <f t="shared" si="23"/>
        <v>337.94568829760857</v>
      </c>
      <c r="M122" s="1208">
        <f t="shared" si="19"/>
        <v>1.8924971996361936E-3</v>
      </c>
    </row>
    <row r="123" spans="1:13">
      <c r="A123" s="813" t="s">
        <v>2200</v>
      </c>
      <c r="B123" s="508" t="str">
        <f t="shared" si="24"/>
        <v>TOU-8-Standby-SUB</v>
      </c>
      <c r="C123" s="1094">
        <v>450.49</v>
      </c>
      <c r="D123" s="1094">
        <v>587.17999999999995</v>
      </c>
      <c r="E123" s="1094">
        <v>631.27</v>
      </c>
      <c r="F123" s="894">
        <f t="shared" si="20"/>
        <v>556.31333333333339</v>
      </c>
      <c r="G123" s="895">
        <v>1.0316000000000001</v>
      </c>
      <c r="H123" s="1088">
        <v>497.24439242688987</v>
      </c>
      <c r="I123" s="1209">
        <f>E23*0</f>
        <v>0</v>
      </c>
      <c r="J123" s="1177">
        <f t="shared" si="25"/>
        <v>599.81840716868112</v>
      </c>
      <c r="K123" s="839">
        <f t="shared" si="22"/>
        <v>599.81840716868112</v>
      </c>
      <c r="L123" s="894">
        <f t="shared" si="23"/>
        <v>692.27826641783975</v>
      </c>
      <c r="M123" s="1208">
        <f t="shared" si="19"/>
        <v>3.8767610475059625E-3</v>
      </c>
    </row>
    <row r="124" spans="1:13">
      <c r="A124" s="813" t="s">
        <v>2201</v>
      </c>
      <c r="B124" s="508" t="str">
        <f t="shared" si="24"/>
        <v>TOU-PA-2</v>
      </c>
      <c r="C124" s="1207">
        <v>3095.42</v>
      </c>
      <c r="D124" s="1207">
        <v>3188.9</v>
      </c>
      <c r="E124" s="1207">
        <v>3023.59</v>
      </c>
      <c r="F124" s="894">
        <f t="shared" si="20"/>
        <v>3102.6366666666668</v>
      </c>
      <c r="G124" s="895">
        <v>1.091</v>
      </c>
      <c r="H124" s="1087">
        <v>2218.1557633333332</v>
      </c>
      <c r="I124" s="1177">
        <f>E24</f>
        <v>1794.8027933152732</v>
      </c>
      <c r="J124" s="1177">
        <f t="shared" si="25"/>
        <v>0</v>
      </c>
      <c r="K124" s="839">
        <f t="shared" si="22"/>
        <v>1794.8027933152732</v>
      </c>
      <c r="L124" s="894">
        <f t="shared" si="23"/>
        <v>2738.9264376275173</v>
      </c>
      <c r="M124" s="1208">
        <f t="shared" si="19"/>
        <v>1.5337998952822538E-2</v>
      </c>
    </row>
    <row r="125" spans="1:13">
      <c r="A125" s="813" t="s">
        <v>2202</v>
      </c>
      <c r="B125" s="508" t="str">
        <f t="shared" si="24"/>
        <v>TOU-PA-3</v>
      </c>
      <c r="C125" s="1207">
        <v>1712.88</v>
      </c>
      <c r="D125" s="1207">
        <v>1845.59</v>
      </c>
      <c r="E125" s="1207">
        <v>1832.57</v>
      </c>
      <c r="F125" s="894">
        <f t="shared" si="20"/>
        <v>1797.0133333333333</v>
      </c>
      <c r="G125" s="895">
        <v>1.0895999999999999</v>
      </c>
      <c r="H125" s="1087">
        <v>1381.8186400000002</v>
      </c>
      <c r="I125" s="1177">
        <f>E25</f>
        <v>1455.9334680513393</v>
      </c>
      <c r="J125" s="1177">
        <f t="shared" si="25"/>
        <v>0</v>
      </c>
      <c r="K125" s="839">
        <f t="shared" si="22"/>
        <v>1455.9334680513393</v>
      </c>
      <c r="L125" s="894">
        <f t="shared" si="23"/>
        <v>2063.045834076162</v>
      </c>
      <c r="M125" s="1208">
        <f t="shared" si="19"/>
        <v>1.1553064882638658E-2</v>
      </c>
    </row>
    <row r="126" spans="1:13">
      <c r="A126" s="813" t="s">
        <v>2203</v>
      </c>
      <c r="B126" s="508" t="str">
        <f t="shared" si="24"/>
        <v>Street Lighting</v>
      </c>
      <c r="C126" s="1207">
        <v>877.87</v>
      </c>
      <c r="D126" s="1207">
        <v>812</v>
      </c>
      <c r="E126" s="1207">
        <v>659.6</v>
      </c>
      <c r="F126" s="894">
        <f t="shared" si="20"/>
        <v>783.15666666666664</v>
      </c>
      <c r="G126" s="895">
        <v>1.0938000000000001</v>
      </c>
      <c r="H126" s="1087">
        <v>726.78412333333335</v>
      </c>
      <c r="I126" s="1177">
        <f>E26</f>
        <v>726.17973645604332</v>
      </c>
      <c r="J126" s="1177">
        <f t="shared" si="25"/>
        <v>0</v>
      </c>
      <c r="K126" s="839">
        <f t="shared" si="22"/>
        <v>726.17973645604332</v>
      </c>
      <c r="L126" s="894">
        <f t="shared" si="23"/>
        <v>855.904407515088</v>
      </c>
      <c r="M126" s="1208">
        <f t="shared" si="19"/>
        <v>4.7930680889531618E-3</v>
      </c>
    </row>
    <row r="127" spans="1:13">
      <c r="A127" s="813" t="s">
        <v>2204</v>
      </c>
      <c r="B127" s="831" t="s">
        <v>76</v>
      </c>
      <c r="C127" s="1089"/>
      <c r="D127" s="1089"/>
      <c r="E127" s="1089"/>
      <c r="F127" s="894"/>
      <c r="G127" s="895"/>
      <c r="H127" s="1087"/>
      <c r="I127" s="784"/>
      <c r="J127" s="784"/>
      <c r="K127" s="839"/>
      <c r="L127" s="894"/>
      <c r="M127" s="1208"/>
    </row>
    <row r="128" spans="1:13">
      <c r="A128" s="813">
        <v>36</v>
      </c>
      <c r="B128" s="511" t="s">
        <v>197</v>
      </c>
      <c r="C128" s="837">
        <f>SUM(C113:C127)</f>
        <v>169324.05000000002</v>
      </c>
      <c r="D128" s="837">
        <f>SUM(D113:D127)</f>
        <v>171759.44999999998</v>
      </c>
      <c r="E128" s="837">
        <f>SUM(E113:E127)</f>
        <v>172932.66</v>
      </c>
      <c r="F128" s="837">
        <f>SUM(F113:F127)</f>
        <v>171338.72</v>
      </c>
      <c r="G128" s="835"/>
      <c r="H128" s="837">
        <f>SUM(H113:H127)</f>
        <v>86575.507478054686</v>
      </c>
      <c r="I128" s="1210">
        <f t="shared" ref="I128:J128" si="26">SUM(I113:I127)</f>
        <v>82295.546153849777</v>
      </c>
      <c r="J128" s="1210">
        <f t="shared" si="26"/>
        <v>931.87384615024337</v>
      </c>
      <c r="K128" s="837">
        <f>SUM(K113:K127)</f>
        <v>83227.420000000027</v>
      </c>
      <c r="L128" s="837">
        <f>SUM(L113:L127)</f>
        <v>178571.30164450122</v>
      </c>
      <c r="M128" s="1211">
        <f>SUM(M113:M127)</f>
        <v>1</v>
      </c>
    </row>
    <row r="129" spans="10:13">
      <c r="J129" s="896"/>
      <c r="L129" s="850"/>
      <c r="M129" s="851"/>
    </row>
    <row r="130" spans="10:13">
      <c r="J130" s="896"/>
      <c r="L130" s="850"/>
      <c r="M130" s="851"/>
    </row>
    <row r="131" spans="10:13">
      <c r="J131" s="896"/>
      <c r="L131" s="850"/>
      <c r="M131" s="851"/>
    </row>
    <row r="132" spans="10:13">
      <c r="J132" s="896"/>
      <c r="L132" s="850"/>
      <c r="M132" s="851"/>
    </row>
    <row r="133" spans="10:13">
      <c r="J133" s="896"/>
      <c r="L133" s="850"/>
      <c r="M133" s="851"/>
    </row>
    <row r="134" spans="10:13">
      <c r="J134" s="896"/>
      <c r="L134" s="850"/>
      <c r="M134" s="851"/>
    </row>
    <row r="135" spans="10:13">
      <c r="J135" s="896"/>
      <c r="L135" s="850"/>
      <c r="M135" s="851"/>
    </row>
    <row r="136" spans="10:13">
      <c r="J136" s="896"/>
      <c r="L136" s="850"/>
      <c r="M136" s="851"/>
    </row>
    <row r="137" spans="10:13">
      <c r="J137" s="896"/>
      <c r="L137" s="850"/>
      <c r="M137" s="851"/>
    </row>
    <row r="138" spans="10:13">
      <c r="L138" s="850"/>
    </row>
    <row r="142" spans="10:13">
      <c r="M142" s="787"/>
    </row>
    <row r="143" spans="10:13">
      <c r="M143" s="787"/>
    </row>
    <row r="144" spans="10:13">
      <c r="M144" s="787"/>
    </row>
    <row r="145" spans="13:13">
      <c r="M145" s="787"/>
    </row>
    <row r="146" spans="13:13">
      <c r="M146" s="787"/>
    </row>
    <row r="147" spans="13:13">
      <c r="M147" s="787"/>
    </row>
    <row r="148" spans="13:13">
      <c r="M148" s="787"/>
    </row>
    <row r="149" spans="13:13">
      <c r="M149" s="787"/>
    </row>
    <row r="150" spans="13:13">
      <c r="M150" s="787"/>
    </row>
    <row r="151" spans="13:13">
      <c r="M151" s="787"/>
    </row>
    <row r="152" spans="13:13">
      <c r="M152" s="787"/>
    </row>
    <row r="153" spans="13:13">
      <c r="M153" s="787"/>
    </row>
    <row r="154" spans="13:13">
      <c r="M154" s="787"/>
    </row>
    <row r="155" spans="13:13">
      <c r="M155" s="787"/>
    </row>
    <row r="156" spans="13:13">
      <c r="M156" s="787"/>
    </row>
    <row r="157" spans="13:13">
      <c r="M157" s="787"/>
    </row>
    <row r="158" spans="13:13">
      <c r="M158" s="787"/>
    </row>
    <row r="159" spans="13:13">
      <c r="M159" s="787"/>
    </row>
    <row r="160" spans="13:13">
      <c r="M160" s="787"/>
    </row>
    <row r="161" spans="13:13">
      <c r="M161" s="787"/>
    </row>
    <row r="162" spans="13:13">
      <c r="M162" s="787"/>
    </row>
    <row r="163" spans="13:13">
      <c r="M163" s="787"/>
    </row>
    <row r="164" spans="13:13">
      <c r="M164" s="787"/>
    </row>
    <row r="165" spans="13:13">
      <c r="M165" s="787"/>
    </row>
    <row r="166" spans="13:13">
      <c r="M166" s="787"/>
    </row>
    <row r="167" spans="13:13">
      <c r="M167" s="787"/>
    </row>
    <row r="168" spans="13:13">
      <c r="M168" s="787"/>
    </row>
    <row r="169" spans="13:13">
      <c r="M169" s="787"/>
    </row>
    <row r="170" spans="13:13">
      <c r="M170" s="787"/>
    </row>
    <row r="171" spans="13:13">
      <c r="M171" s="787"/>
    </row>
    <row r="172" spans="13:13">
      <c r="M172" s="787"/>
    </row>
    <row r="173" spans="13:13">
      <c r="M173" s="787"/>
    </row>
    <row r="174" spans="13:13">
      <c r="M174" s="787"/>
    </row>
    <row r="175" spans="13:13">
      <c r="M175" s="787"/>
    </row>
    <row r="176" spans="13:13">
      <c r="M176" s="787"/>
    </row>
    <row r="177" spans="13:13">
      <c r="M177" s="787"/>
    </row>
    <row r="178" spans="13:13">
      <c r="M178" s="787"/>
    </row>
    <row r="179" spans="13:13">
      <c r="M179" s="787"/>
    </row>
    <row r="180" spans="13:13">
      <c r="M180" s="787"/>
    </row>
    <row r="181" spans="13:13">
      <c r="M181" s="787"/>
    </row>
    <row r="182" spans="13:13">
      <c r="M182" s="787"/>
    </row>
    <row r="183" spans="13:13">
      <c r="M183" s="787"/>
    </row>
    <row r="184" spans="13:13">
      <c r="M184" s="787"/>
    </row>
    <row r="185" spans="13:13">
      <c r="M185" s="787"/>
    </row>
    <row r="186" spans="13:13">
      <c r="M186" s="787"/>
    </row>
    <row r="187" spans="13:13">
      <c r="M187" s="787"/>
    </row>
    <row r="188" spans="13:13">
      <c r="M188" s="787"/>
    </row>
    <row r="189" spans="13:13">
      <c r="M189" s="787"/>
    </row>
    <row r="190" spans="13:13">
      <c r="M190" s="787"/>
    </row>
    <row r="191" spans="13:13">
      <c r="M191" s="787"/>
    </row>
    <row r="192" spans="13:13">
      <c r="M192" s="787"/>
    </row>
    <row r="193" spans="13:13">
      <c r="M193" s="787"/>
    </row>
    <row r="194" spans="13:13">
      <c r="M194" s="787"/>
    </row>
    <row r="195" spans="13:13">
      <c r="M195" s="787"/>
    </row>
    <row r="196" spans="13:13">
      <c r="M196" s="787"/>
    </row>
    <row r="197" spans="13:13">
      <c r="M197" s="787"/>
    </row>
    <row r="198" spans="13:13">
      <c r="M198" s="787"/>
    </row>
    <row r="199" spans="13:13">
      <c r="M199" s="787"/>
    </row>
    <row r="200" spans="13:13">
      <c r="M200" s="787"/>
    </row>
    <row r="201" spans="13:13">
      <c r="M201" s="787"/>
    </row>
    <row r="202" spans="13:13">
      <c r="M202" s="787"/>
    </row>
    <row r="203" spans="13:13">
      <c r="M203" s="787"/>
    </row>
    <row r="204" spans="13:13">
      <c r="M204" s="787"/>
    </row>
    <row r="205" spans="13:13">
      <c r="M205" s="787"/>
    </row>
    <row r="206" spans="13:13">
      <c r="M206" s="787"/>
    </row>
    <row r="207" spans="13:13">
      <c r="M207" s="787"/>
    </row>
    <row r="208" spans="13:13">
      <c r="M208" s="787"/>
    </row>
    <row r="209" spans="13:13">
      <c r="M209" s="787"/>
    </row>
    <row r="210" spans="13:13">
      <c r="M210" s="787"/>
    </row>
    <row r="211" spans="13:13">
      <c r="M211" s="787"/>
    </row>
    <row r="212" spans="13:13">
      <c r="M212" s="787"/>
    </row>
    <row r="213" spans="13:13">
      <c r="M213" s="787"/>
    </row>
    <row r="214" spans="13:13">
      <c r="M214" s="787"/>
    </row>
    <row r="215" spans="13:13">
      <c r="M215" s="787"/>
    </row>
    <row r="216" spans="13:13">
      <c r="M216" s="787"/>
    </row>
    <row r="217" spans="13:13">
      <c r="M217" s="787"/>
    </row>
    <row r="218" spans="13:13">
      <c r="M218" s="787"/>
    </row>
    <row r="219" spans="13:13">
      <c r="M219" s="787"/>
    </row>
    <row r="220" spans="13:13">
      <c r="M220" s="787"/>
    </row>
    <row r="221" spans="13:13">
      <c r="M221" s="787"/>
    </row>
    <row r="222" spans="13:13">
      <c r="M222" s="787"/>
    </row>
    <row r="223" spans="13:13">
      <c r="M223" s="787"/>
    </row>
    <row r="224" spans="13:13">
      <c r="M224" s="787"/>
    </row>
    <row r="225" spans="13:13">
      <c r="M225" s="787"/>
    </row>
    <row r="226" spans="13:13">
      <c r="M226" s="787"/>
    </row>
    <row r="227" spans="13:13">
      <c r="M227" s="787"/>
    </row>
    <row r="228" spans="13:13">
      <c r="M228" s="787"/>
    </row>
    <row r="229" spans="13:13">
      <c r="M229" s="787"/>
    </row>
    <row r="230" spans="13:13">
      <c r="M230" s="787"/>
    </row>
    <row r="231" spans="13:13">
      <c r="M231" s="787"/>
    </row>
    <row r="232" spans="13:13">
      <c r="M232" s="787"/>
    </row>
    <row r="233" spans="13:13">
      <c r="M233" s="787"/>
    </row>
    <row r="234" spans="13:13">
      <c r="M234" s="787"/>
    </row>
    <row r="235" spans="13:13">
      <c r="M235" s="787"/>
    </row>
    <row r="236" spans="13:13">
      <c r="M236" s="787"/>
    </row>
    <row r="237" spans="13:13">
      <c r="M237" s="787"/>
    </row>
    <row r="238" spans="13:13">
      <c r="M238" s="787"/>
    </row>
    <row r="239" spans="13:13">
      <c r="M239" s="787"/>
    </row>
    <row r="240" spans="13:13">
      <c r="M240" s="787"/>
    </row>
    <row r="241" spans="13:13">
      <c r="M241" s="787"/>
    </row>
    <row r="242" spans="13:13">
      <c r="M242" s="787"/>
    </row>
    <row r="243" spans="13:13">
      <c r="M243" s="787"/>
    </row>
    <row r="244" spans="13:13">
      <c r="M244" s="787"/>
    </row>
    <row r="245" spans="13:13">
      <c r="M245" s="787"/>
    </row>
    <row r="246" spans="13:13">
      <c r="M246" s="787"/>
    </row>
    <row r="247" spans="13:13">
      <c r="M247" s="787"/>
    </row>
    <row r="248" spans="13:13">
      <c r="M248" s="787"/>
    </row>
    <row r="249" spans="13:13">
      <c r="M249" s="787"/>
    </row>
    <row r="250" spans="13:13">
      <c r="M250" s="787"/>
    </row>
  </sheetData>
  <mergeCells count="2">
    <mergeCell ref="E9:I9"/>
    <mergeCell ref="C111:F111"/>
  </mergeCells>
  <pageMargins left="0.7" right="0.7" top="0.75" bottom="0.75" header="0.3" footer="0.3"/>
  <pageSetup scale="53" orientation="landscape" cellComments="asDisplayed" r:id="rId1"/>
  <headerFooter>
    <oddHeader>&amp;C&amp;"Arial,Bold"Schedule 33
Retail Transmission Rates&amp;"Arial,Regular"
&amp;RExhibit SCE-4
TO2018 Formula Rate Spreadsheet</oddHeader>
    <oddFooter>&amp;R33-RetailRates</oddFooter>
  </headerFooter>
  <rowBreaks count="4" manualBreakCount="4">
    <brk id="40" max="16383" man="1"/>
    <brk id="84" max="16383" man="1"/>
    <brk id="181" max="16383" man="1"/>
    <brk id="2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9"/>
  <sheetViews>
    <sheetView tabSelected="1" zoomScaleNormal="100" zoomScalePageLayoutView="85" workbookViewId="0"/>
  </sheetViews>
  <sheetFormatPr defaultRowHeight="12.75"/>
  <cols>
    <col min="1" max="1" width="4.7109375" customWidth="1"/>
    <col min="8" max="9" width="25.7109375" customWidth="1"/>
    <col min="10" max="10" width="2.7109375" customWidth="1"/>
    <col min="11" max="11" width="17.7109375" customWidth="1"/>
    <col min="13" max="13" width="14.28515625" customWidth="1"/>
    <col min="14" max="14" width="2.28515625" customWidth="1"/>
    <col min="15" max="15" width="14.140625" customWidth="1"/>
  </cols>
  <sheetData>
    <row r="1" spans="1:15">
      <c r="A1" s="1" t="s">
        <v>166</v>
      </c>
    </row>
    <row r="2" spans="1:15">
      <c r="I2" s="97" t="s">
        <v>304</v>
      </c>
      <c r="J2" s="97"/>
      <c r="K2" s="14"/>
      <c r="L2" s="14"/>
    </row>
    <row r="3" spans="1:15">
      <c r="A3" s="1" t="s">
        <v>167</v>
      </c>
      <c r="L3" s="14"/>
    </row>
    <row r="4" spans="1:15">
      <c r="H4" s="2"/>
      <c r="I4" s="2" t="s">
        <v>169</v>
      </c>
      <c r="K4" s="252">
        <v>2016</v>
      </c>
    </row>
    <row r="5" spans="1:15">
      <c r="A5" s="53" t="s">
        <v>322</v>
      </c>
      <c r="H5" s="3" t="s">
        <v>168</v>
      </c>
      <c r="I5" s="3" t="s">
        <v>170</v>
      </c>
      <c r="K5" s="3" t="s">
        <v>171</v>
      </c>
    </row>
    <row r="6" spans="1:15">
      <c r="M6" s="600"/>
    </row>
    <row r="7" spans="1:15">
      <c r="A7" s="10" t="s">
        <v>176</v>
      </c>
      <c r="B7" s="11"/>
      <c r="C7" s="11"/>
      <c r="D7" s="11"/>
      <c r="E7" s="11"/>
      <c r="F7" s="11"/>
      <c r="G7" s="11"/>
      <c r="H7" s="9"/>
      <c r="I7" s="9"/>
      <c r="J7" s="9"/>
      <c r="K7" s="9"/>
      <c r="M7" s="600"/>
      <c r="O7" s="600"/>
    </row>
    <row r="8" spans="1:15">
      <c r="M8" s="3"/>
      <c r="O8" s="3"/>
    </row>
    <row r="9" spans="1:15">
      <c r="A9" s="2">
        <v>1</v>
      </c>
      <c r="B9" s="50" t="s">
        <v>1056</v>
      </c>
      <c r="I9" s="15" t="str">
        <f>"6-PlantInService, Line "&amp;'6-PlantInService'!A43&amp;""</f>
        <v>6-PlantInService, Line 19</v>
      </c>
      <c r="K9" s="7">
        <f>'6-PlantInService'!D43</f>
        <v>8276570295.1064177</v>
      </c>
      <c r="M9" s="7"/>
      <c r="O9" s="7"/>
    </row>
    <row r="10" spans="1:15">
      <c r="A10" s="2">
        <f>A9+1</f>
        <v>2</v>
      </c>
      <c r="B10" s="50" t="s">
        <v>320</v>
      </c>
      <c r="I10" s="15" t="str">
        <f>"6-PlantInService, Line "&amp;'6-PlantInService'!A63&amp;""</f>
        <v>6-PlantInService, Line 27</v>
      </c>
      <c r="K10" s="7">
        <f>'6-PlantInService'!F63</f>
        <v>279277011.09463125</v>
      </c>
      <c r="M10" s="7"/>
      <c r="O10" s="7"/>
    </row>
    <row r="11" spans="1:15">
      <c r="A11" s="2">
        <f>A10+1</f>
        <v>3</v>
      </c>
      <c r="B11" s="50" t="s">
        <v>157</v>
      </c>
      <c r="I11" s="15" t="str">
        <f>"11-PHFU, Line "&amp;'11-PHFU'!A38&amp;""</f>
        <v>11-PHFU, Line 8</v>
      </c>
      <c r="K11" s="7">
        <f>'11-PHFU'!E38</f>
        <v>9942155</v>
      </c>
      <c r="M11" s="7"/>
      <c r="O11" s="7"/>
    </row>
    <row r="12" spans="1:15">
      <c r="A12" s="2">
        <f>A11+1</f>
        <v>4</v>
      </c>
      <c r="B12" s="110" t="s">
        <v>315</v>
      </c>
      <c r="C12" s="14"/>
      <c r="D12" s="14"/>
      <c r="E12" s="14"/>
      <c r="F12" s="14"/>
      <c r="G12" s="14"/>
      <c r="H12" s="14"/>
      <c r="I12" s="15" t="str">
        <f>"12-AbandonedPlant, Line "&amp;'12-AbandonedPlant'!A20&amp;""</f>
        <v>12-AbandonedPlant, Line 3</v>
      </c>
      <c r="K12" s="7">
        <f>'12-AbandonedPlant'!G20</f>
        <v>0</v>
      </c>
      <c r="M12" s="7"/>
      <c r="O12" s="7"/>
    </row>
    <row r="13" spans="1:15">
      <c r="A13" s="2"/>
      <c r="B13" s="110"/>
      <c r="C13" s="14"/>
      <c r="D13" s="14"/>
      <c r="E13" s="14"/>
      <c r="F13" s="14"/>
      <c r="G13" s="14"/>
      <c r="H13" s="14"/>
      <c r="I13" s="14"/>
      <c r="K13" s="7"/>
      <c r="M13" s="7"/>
      <c r="O13" s="7"/>
    </row>
    <row r="14" spans="1:15">
      <c r="A14" s="2"/>
      <c r="B14" s="45" t="s">
        <v>245</v>
      </c>
      <c r="C14" s="14"/>
      <c r="D14" s="14"/>
      <c r="E14" s="14"/>
      <c r="F14" s="14"/>
      <c r="G14" s="14"/>
      <c r="H14" s="14"/>
      <c r="I14" s="14"/>
      <c r="K14" s="7"/>
      <c r="M14" s="7"/>
      <c r="O14" s="7"/>
    </row>
    <row r="15" spans="1:15">
      <c r="A15" s="2">
        <f>A12+1</f>
        <v>5</v>
      </c>
      <c r="B15" s="13" t="s">
        <v>91</v>
      </c>
      <c r="I15" s="15" t="str">
        <f>"13-WorkCap, Line "&amp;'13-WorkCap'!A26&amp;""</f>
        <v>13-WorkCap, Line 16</v>
      </c>
      <c r="K15" s="7">
        <f>'13-WorkCap'!F26</f>
        <v>14660301.857067293</v>
      </c>
      <c r="M15" s="7"/>
      <c r="O15" s="7"/>
    </row>
    <row r="16" spans="1:15">
      <c r="A16" s="2">
        <f>A15+1</f>
        <v>6</v>
      </c>
      <c r="B16" s="16" t="s">
        <v>92</v>
      </c>
      <c r="I16" s="15" t="str">
        <f>"13-WorkCap, Line "&amp;'13-WorkCap'!A55&amp;""</f>
        <v>13-WorkCap, Line 36</v>
      </c>
      <c r="K16" s="7">
        <f>'13-WorkCap'!F55</f>
        <v>6126105.8890723307</v>
      </c>
      <c r="M16" s="7"/>
      <c r="O16" s="7"/>
    </row>
    <row r="17" spans="1:15">
      <c r="A17" s="2">
        <f>A16+1</f>
        <v>7</v>
      </c>
      <c r="B17" s="13" t="s">
        <v>172</v>
      </c>
      <c r="I17" s="15" t="str">
        <f>"(Line "&amp;A124&amp;" + Line "&amp;A125&amp;") / 8"</f>
        <v>(Line 66 + Line 67) / 8</v>
      </c>
      <c r="K17" s="102">
        <f>(K124+K125)/8</f>
        <v>16684622.181055523</v>
      </c>
      <c r="M17" s="7"/>
      <c r="O17" s="7"/>
    </row>
    <row r="18" spans="1:15">
      <c r="A18" s="2">
        <f>A17+1</f>
        <v>8</v>
      </c>
      <c r="B18" s="13" t="s">
        <v>90</v>
      </c>
      <c r="I18" s="15" t="str">
        <f>"Line "&amp;A15&amp;" + Line "&amp;A16&amp;" + Line "&amp;A17&amp;""</f>
        <v>Line 5 + Line 6 + Line 7</v>
      </c>
      <c r="K18" s="7">
        <f>SUM(K15:K17)</f>
        <v>37471029.927195147</v>
      </c>
      <c r="M18" s="7"/>
      <c r="O18" s="7"/>
    </row>
    <row r="19" spans="1:15">
      <c r="A19" s="2"/>
      <c r="B19" s="13"/>
      <c r="I19" s="14"/>
      <c r="K19" s="7"/>
      <c r="M19" s="7"/>
      <c r="O19" s="7"/>
    </row>
    <row r="20" spans="1:15">
      <c r="A20" s="2"/>
      <c r="B20" s="76" t="s">
        <v>165</v>
      </c>
      <c r="I20" s="14"/>
      <c r="K20" s="7"/>
      <c r="M20" s="7"/>
      <c r="O20" s="7"/>
    </row>
    <row r="21" spans="1:15">
      <c r="A21" s="2">
        <f>A18+1</f>
        <v>9</v>
      </c>
      <c r="B21" s="13" t="s">
        <v>1059</v>
      </c>
      <c r="H21" t="s">
        <v>151</v>
      </c>
      <c r="I21" s="15" t="str">
        <f>"8-AccDep, Line "&amp;'8-AccDep'!A24&amp;", Col. 12"</f>
        <v>8-AccDep, Line 13, Col. 12</v>
      </c>
      <c r="K21" s="7">
        <f>-'8-AccDep'!N24</f>
        <v>-1467790558.0019572</v>
      </c>
      <c r="M21" s="7"/>
      <c r="O21" s="7"/>
    </row>
    <row r="22" spans="1:15">
      <c r="A22" s="2">
        <f>A21+1</f>
        <v>10</v>
      </c>
      <c r="B22" s="13" t="s">
        <v>1060</v>
      </c>
      <c r="H22" t="s">
        <v>151</v>
      </c>
      <c r="I22" s="15" t="str">
        <f>"8-AccDep, Line "&amp;'8-AccDep'!A34&amp;", Col. 5"</f>
        <v>8-AccDep, Line 16, Col. 5</v>
      </c>
      <c r="K22" s="7">
        <f>-'8-AccDep'!G34</f>
        <v>0</v>
      </c>
      <c r="M22" s="7"/>
      <c r="O22" s="7"/>
    </row>
    <row r="23" spans="1:15">
      <c r="A23" s="2">
        <f>A22+1</f>
        <v>11</v>
      </c>
      <c r="B23" s="13" t="s">
        <v>311</v>
      </c>
      <c r="C23" s="22"/>
      <c r="H23" t="s">
        <v>151</v>
      </c>
      <c r="I23" s="15" t="str">
        <f>"8-AccDep, Line "&amp;'8-AccDep'!A60&amp;""</f>
        <v>8-AccDep, Line 26</v>
      </c>
      <c r="K23" s="57">
        <f>-'8-AccDep'!F60</f>
        <v>-118208640.09183949</v>
      </c>
      <c r="M23" s="7"/>
      <c r="O23" s="7"/>
    </row>
    <row r="24" spans="1:15">
      <c r="A24" s="2">
        <f>A23+1</f>
        <v>12</v>
      </c>
      <c r="B24" s="77" t="s">
        <v>163</v>
      </c>
      <c r="C24" s="22"/>
      <c r="I24" s="15" t="str">
        <f>"Line "&amp;A21&amp;" + Line "&amp;A22&amp;" + Line "&amp;A23&amp;""</f>
        <v>Line 9 + Line 10 + Line 11</v>
      </c>
      <c r="K24" s="7">
        <f>SUM(K21:K23)</f>
        <v>-1585999198.0937967</v>
      </c>
      <c r="M24" s="7"/>
      <c r="O24" s="7"/>
    </row>
    <row r="25" spans="1:15">
      <c r="B25" s="12"/>
      <c r="I25" s="14"/>
      <c r="K25" s="7"/>
      <c r="M25" s="7"/>
      <c r="O25" s="7"/>
    </row>
    <row r="26" spans="1:15">
      <c r="A26" s="2">
        <f>A24+1</f>
        <v>13</v>
      </c>
      <c r="B26" s="65" t="s">
        <v>164</v>
      </c>
      <c r="H26" t="s">
        <v>151</v>
      </c>
      <c r="I26" s="15" t="str">
        <f>"9-ADIT, Line "&amp;'9-ADIT'!A13&amp;", Col. 2"</f>
        <v>9-ADIT, Line 4, Col. 2</v>
      </c>
      <c r="K26" s="7">
        <f>'9-ADIT'!D13</f>
        <v>-1550608605.1540396</v>
      </c>
      <c r="M26" s="7"/>
      <c r="O26" s="7"/>
    </row>
    <row r="27" spans="1:15">
      <c r="A27" s="2"/>
      <c r="B27" s="65"/>
      <c r="I27" s="14"/>
      <c r="M27" s="7"/>
      <c r="O27" s="7"/>
    </row>
    <row r="28" spans="1:15">
      <c r="A28" s="2">
        <f>A26+1</f>
        <v>14</v>
      </c>
      <c r="B28" s="50" t="s">
        <v>242</v>
      </c>
      <c r="I28" s="15" t="str">
        <f>"14-IncentivePlant, L "&amp;'14-IncentivePlant'!A37&amp;", Col 1"</f>
        <v>14-IncentivePlant, L 12, Col 1</v>
      </c>
      <c r="K28" s="7">
        <f>'14-IncentivePlant'!E37</f>
        <v>115749706.3</v>
      </c>
      <c r="M28" s="7"/>
      <c r="O28" s="7"/>
    </row>
    <row r="29" spans="1:15">
      <c r="A29" s="2"/>
      <c r="B29" s="50"/>
      <c r="I29" s="14"/>
      <c r="K29" s="7"/>
      <c r="M29" s="7"/>
      <c r="O29" s="7"/>
    </row>
    <row r="30" spans="1:15">
      <c r="A30" s="2">
        <f>A28+1</f>
        <v>15</v>
      </c>
      <c r="B30" s="50" t="s">
        <v>367</v>
      </c>
      <c r="I30" s="15" t="str">
        <f>"23-RegAssets, Line "&amp;'23-RegAssets'!A17&amp;""</f>
        <v>23-RegAssets, Line 14</v>
      </c>
      <c r="K30" s="63">
        <f>'23-RegAssets'!E17</f>
        <v>0</v>
      </c>
      <c r="M30" s="7"/>
      <c r="O30" s="7"/>
    </row>
    <row r="31" spans="1:15">
      <c r="A31" s="600">
        <f t="shared" ref="A31:A32" si="0">A30+1</f>
        <v>16</v>
      </c>
      <c r="B31" s="966" t="s">
        <v>1996</v>
      </c>
      <c r="C31" s="14"/>
      <c r="D31" s="14"/>
      <c r="E31" s="14"/>
      <c r="F31" s="14"/>
      <c r="G31" s="14"/>
      <c r="H31" s="14"/>
      <c r="I31" s="15" t="str">
        <f>"34-UnfundedReserves, Line "&amp;'34-UnfundedReserves'!A9&amp;""</f>
        <v>34-UnfundedReserves, Line 6</v>
      </c>
      <c r="J31" s="14"/>
      <c r="K31" s="63">
        <f>'34-UnfundedReserves'!K9</f>
        <v>-11279549.206493335</v>
      </c>
      <c r="M31" s="7"/>
      <c r="O31" s="7"/>
    </row>
    <row r="32" spans="1:15">
      <c r="A32" s="600">
        <f t="shared" si="0"/>
        <v>17</v>
      </c>
      <c r="B32" s="966" t="s">
        <v>55</v>
      </c>
      <c r="C32" s="14"/>
      <c r="D32" s="14"/>
      <c r="E32" s="14"/>
      <c r="F32" s="14"/>
      <c r="G32" s="14"/>
      <c r="H32" s="14" t="s">
        <v>151</v>
      </c>
      <c r="I32" s="15" t="str">
        <f>"22-NUCs, Line "&amp;'22-NUCs'!A11&amp;""</f>
        <v>22-NUCs, Line 4</v>
      </c>
      <c r="J32" s="14"/>
      <c r="K32" s="63">
        <f>-'22-NUCs'!E11</f>
        <v>-119779556.01000001</v>
      </c>
      <c r="M32" s="7"/>
      <c r="O32" s="7"/>
    </row>
    <row r="33" spans="1:15">
      <c r="A33" s="111"/>
      <c r="B33" s="966"/>
      <c r="C33" s="14"/>
      <c r="D33" s="14"/>
      <c r="E33" s="14"/>
      <c r="F33" s="14"/>
      <c r="G33" s="14"/>
      <c r="H33" s="14"/>
      <c r="I33" s="14"/>
      <c r="J33" s="14"/>
      <c r="K33" s="14"/>
      <c r="M33" s="7"/>
      <c r="O33" s="7"/>
    </row>
    <row r="34" spans="1:15">
      <c r="A34" s="600">
        <f>A32+1</f>
        <v>18</v>
      </c>
      <c r="B34" s="14" t="s">
        <v>173</v>
      </c>
      <c r="C34" s="14"/>
      <c r="D34" s="14"/>
      <c r="E34" s="14"/>
      <c r="F34" s="14"/>
      <c r="G34" s="14"/>
      <c r="H34" s="14"/>
      <c r="I34" s="15" t="str">
        <f>"L"&amp;A9&amp;" + L"&amp;A10&amp;" + L"&amp;A11&amp;" + L"&amp;A12&amp;" + L"&amp;A18&amp;" + L"&amp;A24&amp;" +"</f>
        <v>L1 + L2 + L3 + L4 + L8 + L12 +</v>
      </c>
      <c r="J34" s="14"/>
      <c r="K34" s="63">
        <f>K9+K10+K11+K12+K18+K24+K26+K28+K30+K31+K32</f>
        <v>5451343288.9639149</v>
      </c>
      <c r="M34" s="7"/>
      <c r="O34" s="7"/>
    </row>
    <row r="35" spans="1:15">
      <c r="A35" s="111"/>
      <c r="B35" s="14"/>
      <c r="C35" s="14"/>
      <c r="D35" s="14"/>
      <c r="E35" s="14"/>
      <c r="F35" s="14"/>
      <c r="G35" s="14"/>
      <c r="H35" s="14"/>
      <c r="I35" s="110" t="str">
        <f>"L"&amp;A26&amp;" + L"&amp;A28&amp;"+ L"&amp;A30&amp;"+ L"&amp;A31&amp;" + L"&amp;A32&amp;""</f>
        <v>L13 + L14+ L15+ L16 + L17</v>
      </c>
      <c r="J35" s="14"/>
      <c r="K35" s="63"/>
      <c r="O35" s="7"/>
    </row>
    <row r="36" spans="1:15">
      <c r="O36" s="7"/>
    </row>
    <row r="37" spans="1:15">
      <c r="A37" s="10" t="s">
        <v>253</v>
      </c>
      <c r="B37" s="11"/>
      <c r="C37" s="11"/>
      <c r="D37" s="11"/>
      <c r="E37" s="11"/>
      <c r="F37" s="11"/>
      <c r="G37" s="11"/>
      <c r="H37" s="9"/>
      <c r="I37" s="9"/>
      <c r="J37" s="9"/>
      <c r="K37" s="9"/>
      <c r="O37" s="7"/>
    </row>
    <row r="38" spans="1:15">
      <c r="O38" s="7"/>
    </row>
    <row r="39" spans="1:15">
      <c r="A39" s="2">
        <f>A34+1</f>
        <v>19</v>
      </c>
      <c r="B39" s="505" t="s">
        <v>1790</v>
      </c>
      <c r="C39" s="14"/>
      <c r="D39" s="14"/>
      <c r="H39" s="1118" t="s">
        <v>2451</v>
      </c>
      <c r="I39" s="503" t="s">
        <v>2361</v>
      </c>
      <c r="K39" s="6">
        <v>280920490</v>
      </c>
      <c r="L39" s="503"/>
      <c r="M39" s="7"/>
      <c r="O39" s="7"/>
    </row>
    <row r="40" spans="1:15">
      <c r="A40" s="2">
        <f>A39+1</f>
        <v>20</v>
      </c>
      <c r="B40" s="114" t="s">
        <v>57</v>
      </c>
      <c r="C40" s="14"/>
      <c r="D40" s="14"/>
      <c r="H40" s="1112"/>
      <c r="I40" s="15" t="str">
        <f>"27-Allocators, Line "&amp;'27-Allocators'!A27&amp;""</f>
        <v>27-Allocators, Line 22</v>
      </c>
      <c r="K40" s="8">
        <f>'27-Allocators'!G27</f>
        <v>0.1931425858096622</v>
      </c>
      <c r="M40" s="8"/>
      <c r="N40" s="8"/>
      <c r="O40" s="8"/>
    </row>
    <row r="41" spans="1:15">
      <c r="A41" s="2">
        <f>A40+1</f>
        <v>21</v>
      </c>
      <c r="B41" s="14" t="s">
        <v>60</v>
      </c>
      <c r="C41" s="14"/>
      <c r="D41" s="14"/>
      <c r="H41" s="1112"/>
      <c r="I41" s="15" t="str">
        <f>"Line "&amp;A39&amp;" * Line "&amp;A40&amp;""</f>
        <v>Line 19 * Line 20</v>
      </c>
      <c r="K41" s="7">
        <f>K39*K40</f>
        <v>54257709.845517352</v>
      </c>
      <c r="M41" s="7"/>
      <c r="O41" s="7"/>
    </row>
    <row r="42" spans="1:15">
      <c r="A42" s="2" t="s">
        <v>331</v>
      </c>
      <c r="B42" s="14"/>
      <c r="C42" s="14"/>
      <c r="D42" s="14"/>
      <c r="H42" s="503"/>
      <c r="I42" s="14"/>
      <c r="K42" s="8"/>
      <c r="M42" s="7"/>
      <c r="O42" s="7"/>
    </row>
    <row r="43" spans="1:15">
      <c r="A43" s="2">
        <f>A41+1</f>
        <v>22</v>
      </c>
      <c r="B43" s="15" t="s">
        <v>254</v>
      </c>
      <c r="C43" s="14"/>
      <c r="D43" s="14"/>
      <c r="H43" s="1112"/>
      <c r="I43" s="14"/>
      <c r="K43" s="8"/>
      <c r="M43" s="7"/>
      <c r="O43" s="7"/>
    </row>
    <row r="44" spans="1:15">
      <c r="A44" s="2">
        <f t="shared" ref="A44:A56" si="1">A43+1</f>
        <v>23</v>
      </c>
      <c r="B44" s="114" t="s">
        <v>16</v>
      </c>
      <c r="C44" s="14"/>
      <c r="D44" s="14"/>
      <c r="E44" s="1"/>
      <c r="F44" s="1"/>
      <c r="G44" s="1"/>
      <c r="H44" s="1112"/>
      <c r="I44" s="15" t="str">
        <f>"Line "&amp;A45&amp;" + Line "&amp;A46&amp;"+ Line "&amp;A47&amp;""</f>
        <v>Line 24 + Line 25+ Line 26</v>
      </c>
      <c r="K44" s="63">
        <f>SUM(K45:K47)</f>
        <v>106138253</v>
      </c>
      <c r="M44" s="7"/>
      <c r="O44" s="7"/>
    </row>
    <row r="45" spans="1:15">
      <c r="A45" s="2">
        <f t="shared" si="1"/>
        <v>24</v>
      </c>
      <c r="B45" s="382" t="s">
        <v>39</v>
      </c>
      <c r="C45" s="14"/>
      <c r="D45" s="14"/>
      <c r="E45" s="1"/>
      <c r="F45" s="1"/>
      <c r="G45" s="1"/>
      <c r="H45" s="1118" t="s">
        <v>2452</v>
      </c>
      <c r="I45" s="503" t="s">
        <v>2361</v>
      </c>
      <c r="K45" s="6">
        <v>106128138</v>
      </c>
      <c r="L45" s="503"/>
      <c r="M45" s="7"/>
      <c r="O45" s="7"/>
    </row>
    <row r="46" spans="1:15">
      <c r="A46" s="2">
        <f t="shared" si="1"/>
        <v>25</v>
      </c>
      <c r="B46" s="382" t="s">
        <v>40</v>
      </c>
      <c r="C46" s="14"/>
      <c r="D46" s="14"/>
      <c r="E46" s="1"/>
      <c r="F46" s="1"/>
      <c r="G46" s="1"/>
      <c r="H46" s="1118" t="s">
        <v>2453</v>
      </c>
      <c r="I46" s="503" t="s">
        <v>2361</v>
      </c>
      <c r="K46" s="6">
        <v>318</v>
      </c>
      <c r="L46" s="503"/>
      <c r="M46" s="7"/>
      <c r="O46" s="7"/>
    </row>
    <row r="47" spans="1:15">
      <c r="A47" s="2">
        <f t="shared" si="1"/>
        <v>26</v>
      </c>
      <c r="B47" s="382" t="s">
        <v>41</v>
      </c>
      <c r="C47" s="14"/>
      <c r="D47" s="14"/>
      <c r="E47" s="1"/>
      <c r="F47" s="1"/>
      <c r="G47" s="1"/>
      <c r="H47" s="1118" t="s">
        <v>2454</v>
      </c>
      <c r="I47" s="503" t="s">
        <v>2361</v>
      </c>
      <c r="K47" s="6">
        <v>9797</v>
      </c>
      <c r="L47" s="503"/>
      <c r="M47" s="7"/>
      <c r="O47" s="7"/>
    </row>
    <row r="48" spans="1:15">
      <c r="A48" s="2">
        <f t="shared" si="1"/>
        <v>27</v>
      </c>
      <c r="B48" s="502" t="s">
        <v>1791</v>
      </c>
      <c r="C48" s="14"/>
      <c r="D48" s="14"/>
      <c r="H48" s="1118" t="s">
        <v>2455</v>
      </c>
      <c r="I48" s="503" t="s">
        <v>2361</v>
      </c>
      <c r="K48" s="6">
        <v>6103726</v>
      </c>
      <c r="L48" s="503"/>
      <c r="M48" s="7"/>
      <c r="O48" s="7"/>
    </row>
    <row r="49" spans="1:15">
      <c r="A49" s="2">
        <f t="shared" si="1"/>
        <v>28</v>
      </c>
      <c r="B49" s="114" t="s">
        <v>1792</v>
      </c>
      <c r="C49" s="14"/>
      <c r="D49" s="14"/>
      <c r="H49" s="1118" t="s">
        <v>2456</v>
      </c>
      <c r="I49" s="503" t="s">
        <v>2361</v>
      </c>
      <c r="K49" s="6">
        <v>2343205</v>
      </c>
      <c r="L49" s="503"/>
      <c r="M49" s="7"/>
      <c r="O49" s="7"/>
    </row>
    <row r="50" spans="1:15">
      <c r="A50" s="582">
        <f t="shared" si="1"/>
        <v>29</v>
      </c>
      <c r="B50" s="114" t="s">
        <v>1648</v>
      </c>
      <c r="C50" s="14"/>
      <c r="D50" s="14"/>
      <c r="H50" s="1118" t="s">
        <v>2817</v>
      </c>
      <c r="I50" s="503" t="s">
        <v>2361</v>
      </c>
      <c r="K50" s="6">
        <v>1557248</v>
      </c>
      <c r="L50" s="503"/>
      <c r="M50" s="7"/>
      <c r="O50" s="7"/>
    </row>
    <row r="51" spans="1:15">
      <c r="A51" s="582">
        <f t="shared" si="1"/>
        <v>30</v>
      </c>
      <c r="B51" s="114" t="s">
        <v>1793</v>
      </c>
      <c r="C51" s="14"/>
      <c r="D51" s="14"/>
      <c r="H51" s="1118" t="s">
        <v>2818</v>
      </c>
      <c r="I51" s="503" t="s">
        <v>2361</v>
      </c>
      <c r="K51" s="6">
        <v>21880</v>
      </c>
      <c r="L51" s="503"/>
      <c r="M51" s="7"/>
      <c r="O51" s="7"/>
    </row>
    <row r="52" spans="1:15">
      <c r="A52" s="582">
        <f t="shared" si="1"/>
        <v>31</v>
      </c>
      <c r="B52" t="s">
        <v>61</v>
      </c>
      <c r="I52" s="15" t="str">
        <f>"Line "&amp;A44&amp;" + (Line "&amp;A48&amp;" to Line "&amp;A51&amp;")"</f>
        <v>Line 23 + (Line 27 to Line 30)</v>
      </c>
      <c r="K52" s="7">
        <f>K44+K48+K49+K50+K51</f>
        <v>116164312</v>
      </c>
      <c r="M52" s="7"/>
      <c r="O52" s="7"/>
    </row>
    <row r="53" spans="1:15">
      <c r="A53" s="582">
        <f t="shared" si="1"/>
        <v>32</v>
      </c>
      <c r="B53" s="505" t="s">
        <v>1649</v>
      </c>
      <c r="C53" s="14"/>
      <c r="D53" s="14"/>
      <c r="E53" s="14"/>
      <c r="F53" s="14"/>
      <c r="G53" s="14"/>
      <c r="H53" s="505"/>
      <c r="I53" s="505" t="str">
        <f>"26-TaxRates, Line "&amp;'26-TaxRates'!A22&amp;""</f>
        <v>26-TaxRates, Line 16</v>
      </c>
      <c r="K53" s="238">
        <f>'26-TaxRates'!F22</f>
        <v>46233396.175999999</v>
      </c>
      <c r="M53" s="7"/>
      <c r="O53" s="7"/>
    </row>
    <row r="54" spans="1:15">
      <c r="A54" s="582">
        <f t="shared" si="1"/>
        <v>33</v>
      </c>
      <c r="B54" s="14" t="s">
        <v>1332</v>
      </c>
      <c r="C54" s="14"/>
      <c r="D54" s="14"/>
      <c r="E54" s="14"/>
      <c r="F54" s="14"/>
      <c r="G54" s="14"/>
      <c r="I54" s="15" t="str">
        <f>"Line "&amp;A52&amp;" - Line "&amp;A53&amp;""</f>
        <v>Line 31 - Line 32</v>
      </c>
      <c r="K54" s="7">
        <f>K52-K53</f>
        <v>69930915.824000001</v>
      </c>
      <c r="M54" s="7"/>
      <c r="O54" s="7"/>
    </row>
    <row r="55" spans="1:15">
      <c r="A55" s="582">
        <f t="shared" si="1"/>
        <v>34</v>
      </c>
      <c r="B55" s="13" t="s">
        <v>93</v>
      </c>
      <c r="I55" s="15" t="str">
        <f>"27-Allocators, Line "&amp;'27-Allocators'!A14&amp;""</f>
        <v>27-Allocators, Line 9</v>
      </c>
      <c r="K55" s="8">
        <f>'27-Allocators'!G14</f>
        <v>6.1650013139118928E-2</v>
      </c>
      <c r="M55" s="7"/>
      <c r="O55" s="7"/>
    </row>
    <row r="56" spans="1:15">
      <c r="A56" s="582">
        <f t="shared" si="1"/>
        <v>35</v>
      </c>
      <c r="B56" s="50" t="s">
        <v>254</v>
      </c>
      <c r="I56" s="15" t="str">
        <f>"Line "&amp;A54&amp;" * Line "&amp;A55&amp;""</f>
        <v>Line 33 * Line 34</v>
      </c>
      <c r="K56" s="7">
        <f>K54*K55</f>
        <v>4311241.8793802196</v>
      </c>
      <c r="M56" s="7"/>
      <c r="O56" s="7"/>
    </row>
    <row r="57" spans="1:15">
      <c r="A57" s="2"/>
      <c r="K57" s="7"/>
      <c r="M57" s="7"/>
      <c r="O57" s="7"/>
    </row>
    <row r="58" spans="1:15">
      <c r="A58" s="2">
        <f>A56+1</f>
        <v>36</v>
      </c>
      <c r="B58" s="12" t="s">
        <v>79</v>
      </c>
      <c r="H58" s="503" t="s">
        <v>364</v>
      </c>
      <c r="I58" s="12" t="str">
        <f>"Line "&amp;A41&amp;" + Line "&amp;A56&amp;""</f>
        <v>Line 21 + Line 35</v>
      </c>
      <c r="K58" s="7">
        <f>K41+K56</f>
        <v>58568951.724897571</v>
      </c>
      <c r="M58" s="7"/>
      <c r="O58" s="7"/>
    </row>
    <row r="59" spans="1:15">
      <c r="O59" s="7"/>
    </row>
    <row r="60" spans="1:15">
      <c r="A60" s="10" t="s">
        <v>177</v>
      </c>
      <c r="B60" s="11"/>
      <c r="C60" s="11"/>
      <c r="D60" s="11"/>
      <c r="E60" s="11"/>
      <c r="F60" s="11"/>
      <c r="G60" s="11"/>
      <c r="H60" s="9"/>
      <c r="I60" s="9"/>
      <c r="J60" s="9"/>
      <c r="K60" s="9"/>
      <c r="O60" s="7"/>
    </row>
    <row r="61" spans="1:15">
      <c r="A61" s="44"/>
      <c r="B61" s="15"/>
      <c r="C61" s="15"/>
      <c r="D61" s="15"/>
      <c r="E61" s="15"/>
      <c r="F61" s="15"/>
      <c r="G61" s="15"/>
      <c r="H61" s="15"/>
      <c r="I61" s="15"/>
      <c r="J61" s="15"/>
      <c r="K61" s="15"/>
      <c r="O61" s="7"/>
    </row>
    <row r="62" spans="1:15">
      <c r="A62" s="106"/>
      <c r="B62" s="45" t="s">
        <v>26</v>
      </c>
      <c r="C62" s="15"/>
      <c r="D62" s="15"/>
      <c r="E62" s="15"/>
      <c r="F62" s="15"/>
      <c r="G62" s="15"/>
      <c r="H62" s="15"/>
      <c r="I62" s="15"/>
      <c r="J62" s="15"/>
      <c r="K62" s="15"/>
      <c r="O62" s="7"/>
    </row>
    <row r="63" spans="1:15">
      <c r="A63" s="111">
        <f>A58+1</f>
        <v>37</v>
      </c>
      <c r="B63" s="15" t="s">
        <v>209</v>
      </c>
      <c r="C63" s="15"/>
      <c r="D63" s="15"/>
      <c r="E63" s="15"/>
      <c r="F63" s="15"/>
      <c r="G63" s="15"/>
      <c r="H63" s="15"/>
      <c r="I63" s="15" t="str">
        <f>"5-ROR-1, Line "&amp;'5-ROR-1'!A19&amp;""</f>
        <v>5-ROR-1, Line 12</v>
      </c>
      <c r="J63" s="15"/>
      <c r="K63" s="47">
        <f>'5-ROR-1'!L19</f>
        <v>9523029142.8491764</v>
      </c>
      <c r="M63" s="1112"/>
      <c r="N63" s="1112"/>
      <c r="O63" s="7"/>
    </row>
    <row r="64" spans="1:15">
      <c r="A64" s="2">
        <f>A63+1</f>
        <v>38</v>
      </c>
      <c r="B64" s="15" t="s">
        <v>255</v>
      </c>
      <c r="C64" s="15"/>
      <c r="D64" s="15"/>
      <c r="E64" s="15"/>
      <c r="F64" s="15"/>
      <c r="G64" s="15"/>
      <c r="H64" s="15"/>
      <c r="I64" s="505" t="str">
        <f>"Line "&amp;A63&amp;" * Line "&amp;A65&amp;""</f>
        <v>Line 37 * Line 39</v>
      </c>
      <c r="J64" s="505"/>
      <c r="K64" s="517">
        <f>K63*K65</f>
        <v>472494563.05701298</v>
      </c>
      <c r="M64" s="1112"/>
      <c r="N64" s="1112"/>
      <c r="O64" s="7"/>
    </row>
    <row r="65" spans="1:15">
      <c r="A65" s="2">
        <f>A64+1</f>
        <v>39</v>
      </c>
      <c r="B65" s="15" t="s">
        <v>256</v>
      </c>
      <c r="C65" s="15"/>
      <c r="D65" s="15"/>
      <c r="E65" s="15"/>
      <c r="F65" s="15"/>
      <c r="G65" s="15"/>
      <c r="I65" s="505" t="str">
        <f>"5-ROR-3, Line "&amp;'5-ROR-3'!A15&amp;""</f>
        <v>5-ROR-3, Line 10</v>
      </c>
      <c r="J65" s="15"/>
      <c r="K65" s="423">
        <f>'5-ROR-3'!E15</f>
        <v>4.961599465562995E-2</v>
      </c>
      <c r="M65" s="1112"/>
      <c r="N65" s="1112"/>
      <c r="O65" s="7"/>
    </row>
    <row r="66" spans="1:15">
      <c r="A66" s="111"/>
      <c r="B66" s="15"/>
      <c r="C66" s="15"/>
      <c r="D66" s="15"/>
      <c r="E66" s="15"/>
      <c r="F66" s="15"/>
      <c r="G66" s="15"/>
      <c r="I66" s="15"/>
      <c r="J66" s="15"/>
      <c r="K66" s="48"/>
      <c r="M66" s="1112"/>
      <c r="N66" s="1112"/>
      <c r="O66" s="7"/>
    </row>
    <row r="67" spans="1:15">
      <c r="A67" s="111"/>
      <c r="B67" s="45" t="s">
        <v>27</v>
      </c>
      <c r="C67" s="15"/>
      <c r="D67" s="15"/>
      <c r="E67" s="15"/>
      <c r="F67" s="15"/>
      <c r="G67" s="15"/>
      <c r="H67" s="15"/>
      <c r="I67" s="15"/>
      <c r="J67" s="15"/>
      <c r="K67" s="15"/>
      <c r="M67" s="1112"/>
      <c r="N67" s="1112"/>
      <c r="O67" s="7"/>
    </row>
    <row r="68" spans="1:15">
      <c r="A68" s="111">
        <f>A65+1</f>
        <v>40</v>
      </c>
      <c r="B68" s="505" t="s">
        <v>47</v>
      </c>
      <c r="C68" s="15"/>
      <c r="D68" s="15"/>
      <c r="E68" s="15"/>
      <c r="F68" s="15"/>
      <c r="G68" s="15"/>
      <c r="H68" s="15"/>
      <c r="I68" s="505" t="str">
        <f>"5-ROR-1, Line "&amp;'5-ROR-1'!A25&amp;""</f>
        <v>5-ROR-1, Line 16</v>
      </c>
      <c r="J68" s="505"/>
      <c r="K68" s="517">
        <f>'5-ROR-1'!L25</f>
        <v>2152785188.9074798</v>
      </c>
      <c r="M68" s="1112"/>
      <c r="N68" s="1112"/>
      <c r="O68" s="7"/>
    </row>
    <row r="69" spans="1:15">
      <c r="A69" s="2">
        <f>A68+1</f>
        <v>41</v>
      </c>
      <c r="B69" s="505" t="s">
        <v>25</v>
      </c>
      <c r="C69" s="15"/>
      <c r="D69" s="15"/>
      <c r="E69" s="15"/>
      <c r="F69" s="15"/>
      <c r="G69" s="15"/>
      <c r="H69" s="15"/>
      <c r="I69" s="505" t="s">
        <v>2783</v>
      </c>
      <c r="J69" s="505"/>
      <c r="K69" s="517">
        <f>K68*K70</f>
        <v>124915907.9688697</v>
      </c>
      <c r="M69" s="1112"/>
      <c r="N69" s="1112"/>
      <c r="O69" s="7"/>
    </row>
    <row r="70" spans="1:15">
      <c r="A70" s="2">
        <f>A69+1</f>
        <v>42</v>
      </c>
      <c r="B70" s="505" t="s">
        <v>43</v>
      </c>
      <c r="C70" s="15"/>
      <c r="D70" s="15"/>
      <c r="E70" s="15"/>
      <c r="F70" s="15"/>
      <c r="G70" s="15"/>
      <c r="I70" s="505" t="str">
        <f>"5-ROR-4, Line "&amp;'5-ROR-4'!A14&amp;""</f>
        <v>5-ROR-4, Line 9</v>
      </c>
      <c r="J70" s="505"/>
      <c r="K70" s="423">
        <f>'5-ROR-4'!E14</f>
        <v>5.8025254267130788E-2</v>
      </c>
      <c r="M70" s="1112"/>
      <c r="N70" s="1112"/>
      <c r="O70" s="7"/>
    </row>
    <row r="71" spans="1:15">
      <c r="A71" s="111"/>
      <c r="B71" s="15"/>
      <c r="C71" s="15"/>
      <c r="D71" s="15"/>
      <c r="E71" s="15"/>
      <c r="F71" s="15"/>
      <c r="G71" s="15"/>
      <c r="I71" s="15"/>
      <c r="J71" s="15"/>
      <c r="K71" s="48"/>
      <c r="M71" s="1112"/>
      <c r="N71" s="1112"/>
      <c r="O71" s="7"/>
    </row>
    <row r="72" spans="1:15">
      <c r="A72" s="111"/>
      <c r="B72" s="45" t="s">
        <v>28</v>
      </c>
      <c r="C72" s="15"/>
      <c r="D72" s="15"/>
      <c r="E72" s="15"/>
      <c r="F72" s="15"/>
      <c r="G72" s="15"/>
      <c r="H72" s="15"/>
      <c r="I72" s="15"/>
      <c r="J72" s="15"/>
      <c r="K72" s="15"/>
      <c r="M72" s="1112"/>
      <c r="N72" s="1112"/>
      <c r="O72" s="7"/>
    </row>
    <row r="73" spans="1:15">
      <c r="A73" s="111">
        <f>A70+1</f>
        <v>43</v>
      </c>
      <c r="B73" s="15" t="s">
        <v>44</v>
      </c>
      <c r="C73" s="15"/>
      <c r="D73" s="15"/>
      <c r="E73" s="15"/>
      <c r="F73" s="15"/>
      <c r="G73" s="15"/>
      <c r="H73" s="15"/>
      <c r="I73" s="505" t="str">
        <f>"5-ROR-1, Line "&amp;'5-ROR-1'!A33&amp;""</f>
        <v>5-ROR-1, Line 22</v>
      </c>
      <c r="J73" s="505"/>
      <c r="K73" s="517">
        <f>'5-ROR-1'!L33</f>
        <v>11956142581.166067</v>
      </c>
      <c r="M73" s="1112"/>
      <c r="N73" s="1112"/>
      <c r="O73" s="7"/>
    </row>
    <row r="74" spans="1:15">
      <c r="A74" s="111"/>
      <c r="B74" s="15"/>
      <c r="C74" s="15"/>
      <c r="D74" s="15"/>
      <c r="E74" s="15"/>
      <c r="F74" s="15"/>
      <c r="G74" s="15"/>
      <c r="H74" s="15"/>
      <c r="I74" s="64"/>
      <c r="J74" s="15"/>
      <c r="K74" s="15"/>
      <c r="M74" s="1112"/>
      <c r="N74" s="1112"/>
      <c r="O74" s="7"/>
    </row>
    <row r="75" spans="1:15">
      <c r="A75" s="2">
        <f>A73+1</f>
        <v>44</v>
      </c>
      <c r="B75" s="15" t="s">
        <v>46</v>
      </c>
      <c r="C75" s="15"/>
      <c r="D75" s="15"/>
      <c r="E75" s="15"/>
      <c r="F75" s="15"/>
      <c r="G75" s="15"/>
      <c r="H75" s="15"/>
      <c r="I75" s="12" t="str">
        <f>"Line "&amp;A63&amp;" + Line "&amp;A68&amp;" + Line "&amp;A73&amp;""</f>
        <v>Line 37 + Line 40 + Line 43</v>
      </c>
      <c r="J75" s="15"/>
      <c r="K75" s="47">
        <f>K63+K68+K73</f>
        <v>23631956912.922722</v>
      </c>
      <c r="M75" s="1112"/>
      <c r="N75" s="1112"/>
      <c r="O75" s="7"/>
    </row>
    <row r="76" spans="1:15">
      <c r="A76" s="111"/>
      <c r="B76" s="46"/>
      <c r="C76" s="15"/>
      <c r="D76" s="15"/>
      <c r="E76" s="15"/>
      <c r="F76" s="15"/>
      <c r="G76" s="15"/>
      <c r="I76" s="15"/>
      <c r="J76" s="15"/>
      <c r="K76" s="47"/>
      <c r="M76" s="1112"/>
      <c r="N76" s="1112"/>
      <c r="O76" s="7"/>
    </row>
    <row r="77" spans="1:15">
      <c r="A77" s="111"/>
      <c r="B77" s="45" t="s">
        <v>48</v>
      </c>
      <c r="C77" s="15"/>
      <c r="D77" s="15"/>
      <c r="E77" s="15"/>
      <c r="F77" s="15"/>
      <c r="G77" s="15"/>
      <c r="H77" s="15"/>
      <c r="I77" s="15"/>
      <c r="J77" s="15"/>
      <c r="K77" s="15"/>
      <c r="M77" s="1112"/>
      <c r="N77" s="1112"/>
      <c r="O77" s="7"/>
    </row>
    <row r="78" spans="1:15">
      <c r="A78" s="111">
        <f>A75+1</f>
        <v>45</v>
      </c>
      <c r="B78" s="15" t="s">
        <v>257</v>
      </c>
      <c r="C78" s="15"/>
      <c r="D78" s="15"/>
      <c r="E78" s="15"/>
      <c r="F78" s="15"/>
      <c r="G78" s="15"/>
      <c r="H78" s="15"/>
      <c r="I78" s="12" t="str">
        <f>"Line "&amp;A63&amp;" / Line "&amp;A75&amp;""</f>
        <v>Line 37 / Line 44</v>
      </c>
      <c r="J78" s="15"/>
      <c r="K78" s="48">
        <f>K63/K75</f>
        <v>0.40297251632350745</v>
      </c>
      <c r="M78" s="1112"/>
      <c r="N78" s="1112"/>
      <c r="O78" s="7"/>
    </row>
    <row r="79" spans="1:15">
      <c r="A79" s="2">
        <f>A78+1</f>
        <v>46</v>
      </c>
      <c r="B79" s="505" t="s">
        <v>258</v>
      </c>
      <c r="C79" s="15"/>
      <c r="D79" s="15"/>
      <c r="E79" s="15"/>
      <c r="F79" s="15"/>
      <c r="G79" s="15"/>
      <c r="H79" s="15"/>
      <c r="I79" s="12" t="str">
        <f>"Line "&amp;A68&amp;" / Line "&amp;A75&amp;""</f>
        <v>Line 40 / Line 44</v>
      </c>
      <c r="J79" s="15"/>
      <c r="K79" s="48">
        <f>K68/K75</f>
        <v>9.1096357226779931E-2</v>
      </c>
      <c r="M79" s="1112"/>
      <c r="N79" s="1112"/>
      <c r="O79" s="7"/>
    </row>
    <row r="80" spans="1:15">
      <c r="A80" s="2">
        <f>A79+1</f>
        <v>47</v>
      </c>
      <c r="B80" s="15" t="s">
        <v>49</v>
      </c>
      <c r="C80" s="15"/>
      <c r="D80" s="15"/>
      <c r="E80" s="15"/>
      <c r="F80" s="15"/>
      <c r="G80" s="15"/>
      <c r="H80" s="15"/>
      <c r="I80" s="12" t="str">
        <f>"Line "&amp;A73&amp;" / Line "&amp;A75&amp;""</f>
        <v>Line 43 / Line 44</v>
      </c>
      <c r="J80" s="15"/>
      <c r="K80" s="49">
        <f>K73/K75</f>
        <v>0.50593112644971272</v>
      </c>
      <c r="M80" s="1112"/>
      <c r="N80" s="1112"/>
      <c r="O80" s="7"/>
    </row>
    <row r="81" spans="1:15">
      <c r="A81" s="111"/>
      <c r="B81" s="15"/>
      <c r="C81" s="15"/>
      <c r="D81" s="15"/>
      <c r="E81" s="15"/>
      <c r="F81" s="15"/>
      <c r="G81" s="15"/>
      <c r="H81" s="15"/>
      <c r="I81" s="12" t="str">
        <f>"Line "&amp;A78&amp;" + Line "&amp;A79&amp;"+ Line "&amp;A80&amp;""</f>
        <v>Line 45 + Line 46+ Line 47</v>
      </c>
      <c r="J81" s="15"/>
      <c r="K81" s="48">
        <f>SUM(K78:K80)</f>
        <v>1</v>
      </c>
      <c r="M81" s="1112"/>
      <c r="N81" s="1112"/>
      <c r="O81" s="7"/>
    </row>
    <row r="82" spans="1:15">
      <c r="A82" s="111"/>
      <c r="B82" s="45" t="s">
        <v>220</v>
      </c>
      <c r="C82" s="15"/>
      <c r="D82" s="15"/>
      <c r="E82" s="15"/>
      <c r="F82" s="15"/>
      <c r="G82" s="15"/>
      <c r="H82" s="15"/>
      <c r="I82" s="15"/>
      <c r="J82" s="15"/>
      <c r="K82" s="48"/>
      <c r="M82" s="1112"/>
      <c r="N82" s="1112"/>
      <c r="O82" s="7"/>
    </row>
    <row r="83" spans="1:15">
      <c r="A83" s="111">
        <f>A80+1</f>
        <v>48</v>
      </c>
      <c r="B83" s="15" t="s">
        <v>256</v>
      </c>
      <c r="C83" s="15"/>
      <c r="D83" s="15"/>
      <c r="E83" s="15"/>
      <c r="F83" s="15"/>
      <c r="G83" s="15"/>
      <c r="I83" s="12" t="str">
        <f>"Line "&amp;A65&amp;""</f>
        <v>Line 39</v>
      </c>
      <c r="J83" s="15"/>
      <c r="K83" s="48">
        <f>K65</f>
        <v>4.961599465562995E-2</v>
      </c>
      <c r="M83" s="1112"/>
      <c r="N83" s="1112"/>
      <c r="O83" s="7"/>
    </row>
    <row r="84" spans="1:15">
      <c r="A84" s="2">
        <f>A83+1</f>
        <v>49</v>
      </c>
      <c r="B84" s="505" t="s">
        <v>43</v>
      </c>
      <c r="C84" s="15"/>
      <c r="D84" s="15"/>
      <c r="E84" s="15"/>
      <c r="F84" s="15"/>
      <c r="G84" s="15"/>
      <c r="I84" s="12" t="str">
        <f>"Line "&amp;A70&amp;""</f>
        <v>Line 42</v>
      </c>
      <c r="J84" s="15"/>
      <c r="K84" s="48">
        <f>K70</f>
        <v>5.8025254267130788E-2</v>
      </c>
      <c r="M84" s="1112"/>
      <c r="N84" s="1112"/>
      <c r="O84" s="7"/>
    </row>
    <row r="85" spans="1:15">
      <c r="A85" s="2">
        <f>A84+1</f>
        <v>50</v>
      </c>
      <c r="B85" s="505" t="s">
        <v>1742</v>
      </c>
      <c r="C85" s="15"/>
      <c r="D85" s="15"/>
      <c r="E85" s="15"/>
      <c r="F85" s="15"/>
      <c r="G85" s="15"/>
      <c r="H85" s="503" t="s">
        <v>365</v>
      </c>
      <c r="I85" s="15" t="s">
        <v>213</v>
      </c>
      <c r="J85" s="15"/>
      <c r="K85" s="1069">
        <v>0.108</v>
      </c>
      <c r="M85" s="1112"/>
      <c r="N85" s="1112"/>
      <c r="O85" s="7"/>
    </row>
    <row r="86" spans="1:15">
      <c r="A86" s="111"/>
      <c r="B86" s="15"/>
      <c r="C86" s="15"/>
      <c r="D86" s="15"/>
      <c r="E86" s="15"/>
      <c r="F86" s="15"/>
      <c r="G86" s="15"/>
      <c r="I86" s="69"/>
      <c r="J86" s="15"/>
      <c r="K86" s="48"/>
      <c r="M86" s="1112"/>
      <c r="N86" s="1112"/>
      <c r="O86" s="7"/>
    </row>
    <row r="87" spans="1:15">
      <c r="A87" s="111"/>
      <c r="B87" s="45" t="s">
        <v>261</v>
      </c>
      <c r="C87" s="15"/>
      <c r="D87" s="15"/>
      <c r="E87" s="15"/>
      <c r="F87" s="15"/>
      <c r="G87" s="15"/>
      <c r="H87" s="15"/>
      <c r="I87" s="15"/>
      <c r="J87" s="15"/>
      <c r="K87" s="15"/>
      <c r="M87" s="1112"/>
      <c r="N87" s="1112"/>
      <c r="O87" s="7"/>
    </row>
    <row r="88" spans="1:15">
      <c r="A88" s="111">
        <f>A85+1</f>
        <v>51</v>
      </c>
      <c r="B88" s="15" t="s">
        <v>50</v>
      </c>
      <c r="C88" s="15"/>
      <c r="D88" s="15"/>
      <c r="E88" s="15"/>
      <c r="F88" s="15"/>
      <c r="G88" s="15"/>
      <c r="I88" s="12" t="str">
        <f>"Line "&amp;A65&amp;" * Line "&amp;A78&amp;""</f>
        <v>Line 39 * Line 45</v>
      </c>
      <c r="J88" s="15"/>
      <c r="K88" s="48">
        <f>K65*K78</f>
        <v>1.9993882216272896E-2</v>
      </c>
      <c r="M88" s="1112"/>
      <c r="N88" s="1112"/>
      <c r="O88" s="7"/>
    </row>
    <row r="89" spans="1:15">
      <c r="A89" s="2">
        <f>A88+1</f>
        <v>52</v>
      </c>
      <c r="B89" s="505" t="s">
        <v>51</v>
      </c>
      <c r="C89" s="15"/>
      <c r="D89" s="15"/>
      <c r="E89" s="15"/>
      <c r="F89" s="15"/>
      <c r="G89" s="15"/>
      <c r="I89" s="12" t="str">
        <f>"Line "&amp;A70&amp;" * Line "&amp;A79&amp;""</f>
        <v>Line 42 * Line 46</v>
      </c>
      <c r="J89" s="15"/>
      <c r="K89" s="48">
        <f>K70*K79</f>
        <v>5.2858892908932828E-3</v>
      </c>
      <c r="M89" s="1112"/>
      <c r="N89" s="1112"/>
      <c r="O89" s="7"/>
    </row>
    <row r="90" spans="1:15">
      <c r="A90" s="2">
        <f>A89+1</f>
        <v>53</v>
      </c>
      <c r="B90" s="15" t="s">
        <v>52</v>
      </c>
      <c r="C90" s="15"/>
      <c r="D90" s="15"/>
      <c r="E90" s="15"/>
      <c r="F90" s="15"/>
      <c r="G90" s="15"/>
      <c r="I90" s="12" t="str">
        <f>"Line "&amp;A80&amp;" * Line "&amp;A85&amp;""</f>
        <v>Line 47 * Line 50</v>
      </c>
      <c r="J90" s="15"/>
      <c r="K90" s="49">
        <f>K80*K85</f>
        <v>5.464056165656897E-2</v>
      </c>
      <c r="M90" s="1112"/>
      <c r="N90" s="1112"/>
      <c r="O90" s="7"/>
    </row>
    <row r="91" spans="1:15">
      <c r="A91" s="111">
        <f>A90+1</f>
        <v>54</v>
      </c>
      <c r="B91" s="46" t="s">
        <v>53</v>
      </c>
      <c r="C91" s="15"/>
      <c r="D91" s="15"/>
      <c r="E91" s="15"/>
      <c r="F91" s="15"/>
      <c r="G91" s="15"/>
      <c r="H91" s="14"/>
      <c r="I91" s="15" t="str">
        <f>"Line "&amp;A88&amp;" + Line "&amp;A89&amp;" + Line "&amp;A90&amp;""</f>
        <v>Line 51 + Line 52 + Line 53</v>
      </c>
      <c r="J91" s="15"/>
      <c r="K91" s="423">
        <f>SUM(K88:K90)</f>
        <v>7.9920333163735147E-2</v>
      </c>
      <c r="M91" s="67"/>
      <c r="N91" s="67"/>
      <c r="O91" s="67"/>
    </row>
    <row r="92" spans="1:15">
      <c r="A92" s="111"/>
      <c r="B92" s="46"/>
      <c r="C92" s="15"/>
      <c r="D92" s="15"/>
      <c r="E92" s="15"/>
      <c r="F92" s="15"/>
      <c r="G92" s="15"/>
      <c r="I92" s="15"/>
      <c r="J92" s="15"/>
      <c r="K92" s="1290"/>
      <c r="M92" s="67"/>
      <c r="N92" s="67"/>
      <c r="O92" s="67"/>
    </row>
    <row r="93" spans="1:15">
      <c r="A93" s="111">
        <f>A91+1</f>
        <v>55</v>
      </c>
      <c r="B93" s="968" t="s">
        <v>1743</v>
      </c>
      <c r="C93" s="15"/>
      <c r="D93" s="15"/>
      <c r="E93" s="15"/>
      <c r="F93" s="15"/>
      <c r="G93" s="15"/>
      <c r="H93" s="15" t="s">
        <v>215</v>
      </c>
      <c r="I93" s="15" t="str">
        <f>"Line "&amp;A89&amp;" + Line "&amp;A90&amp;""</f>
        <v>Line 52 + Line 53</v>
      </c>
      <c r="J93" s="15"/>
      <c r="K93" s="423">
        <f>K89+K90</f>
        <v>5.9926450947462254E-2</v>
      </c>
      <c r="M93" s="67"/>
      <c r="N93" s="67"/>
      <c r="O93" s="67"/>
    </row>
    <row r="94" spans="1:15">
      <c r="A94" s="111"/>
      <c r="B94" s="15"/>
      <c r="C94" s="15"/>
      <c r="D94" s="15"/>
      <c r="E94" s="15"/>
      <c r="F94" s="15"/>
      <c r="G94" s="15"/>
      <c r="I94" s="15"/>
      <c r="J94" s="15"/>
      <c r="K94" s="1290"/>
      <c r="O94" s="7"/>
    </row>
    <row r="95" spans="1:15">
      <c r="A95" s="2">
        <f>A93+1</f>
        <v>56</v>
      </c>
      <c r="B95" s="15" t="s">
        <v>54</v>
      </c>
      <c r="C95" s="15"/>
      <c r="D95" s="15"/>
      <c r="E95" s="15"/>
      <c r="F95" s="15"/>
      <c r="G95" s="15"/>
      <c r="I95" s="12" t="str">
        <f>"Line "&amp;A34&amp;" * Line "&amp;A91&amp;""</f>
        <v>Line 18 * Line 54</v>
      </c>
      <c r="J95" s="15"/>
      <c r="K95" s="47">
        <f>K34*K91</f>
        <v>435673171.84388781</v>
      </c>
      <c r="M95" s="7"/>
      <c r="O95" s="7"/>
    </row>
    <row r="96" spans="1:15">
      <c r="A96" s="87"/>
      <c r="B96" s="12"/>
      <c r="C96" s="12"/>
      <c r="D96" s="12"/>
      <c r="E96" s="12"/>
      <c r="F96" s="12"/>
      <c r="G96" s="12"/>
      <c r="H96" s="12"/>
      <c r="I96" s="12"/>
      <c r="J96" s="12"/>
      <c r="K96" s="12"/>
      <c r="O96" s="7"/>
    </row>
    <row r="97" spans="1:15">
      <c r="A97" s="12"/>
      <c r="B97" s="12"/>
      <c r="C97" s="12"/>
      <c r="D97" s="12"/>
      <c r="E97" s="12"/>
      <c r="F97" s="12"/>
      <c r="G97" s="12"/>
      <c r="H97" s="12"/>
      <c r="I97" s="12"/>
      <c r="J97" s="12"/>
      <c r="K97" s="12"/>
      <c r="O97" s="7"/>
    </row>
    <row r="98" spans="1:15">
      <c r="A98" s="10" t="s">
        <v>178</v>
      </c>
      <c r="B98" s="11"/>
      <c r="C98" s="11"/>
      <c r="D98" s="11"/>
      <c r="E98" s="11"/>
      <c r="F98" s="11"/>
      <c r="G98" s="11"/>
      <c r="H98" s="9"/>
      <c r="I98" s="9"/>
      <c r="J98" s="9"/>
      <c r="K98" s="9"/>
      <c r="O98" s="7"/>
    </row>
    <row r="99" spans="1:15">
      <c r="O99" s="7"/>
    </row>
    <row r="100" spans="1:15">
      <c r="A100" s="111">
        <f>A95+1</f>
        <v>57</v>
      </c>
      <c r="B100" t="s">
        <v>214</v>
      </c>
      <c r="I100" s="14" t="str">
        <f>"26-Tax Rates, Line "&amp;'26-TaxRates'!A7&amp;""</f>
        <v>26-Tax Rates, Line 1</v>
      </c>
      <c r="K100" s="67">
        <f>'26-TaxRates'!D7</f>
        <v>0.35</v>
      </c>
      <c r="M100" s="8"/>
      <c r="O100" s="7"/>
    </row>
    <row r="101" spans="1:15">
      <c r="A101" s="2">
        <f>A100+1</f>
        <v>58</v>
      </c>
      <c r="B101" s="12" t="s">
        <v>260</v>
      </c>
      <c r="I101" s="14" t="str">
        <f>"26-Tax Rates, Line "&amp;'26-TaxRates'!A14&amp;""</f>
        <v>26-Tax Rates, Line 8</v>
      </c>
      <c r="K101" s="67">
        <f>'26-TaxRates'!D14</f>
        <v>8.8400000000000006E-2</v>
      </c>
      <c r="M101" s="8"/>
      <c r="O101" s="7"/>
    </row>
    <row r="102" spans="1:15">
      <c r="A102" s="2">
        <f>A101+1</f>
        <v>59</v>
      </c>
      <c r="B102" s="12" t="s">
        <v>259</v>
      </c>
      <c r="H102" s="52" t="s">
        <v>1662</v>
      </c>
      <c r="I102" s="12" t="str">
        <f>"(L"&amp;A100&amp;" + L"&amp;A101&amp;") - (L"&amp;A100&amp;" * L"&amp;A101&amp;")"</f>
        <v>(L57 + L58) - (L57 * L58)</v>
      </c>
      <c r="K102" s="8">
        <f>(K100+K101)-(K100*K101)</f>
        <v>0.40745999999999999</v>
      </c>
      <c r="M102" s="8"/>
      <c r="O102" s="7"/>
    </row>
    <row r="103" spans="1:15">
      <c r="A103" s="2"/>
      <c r="K103" s="8"/>
      <c r="O103" s="7"/>
    </row>
    <row r="104" spans="1:15">
      <c r="A104" s="2"/>
      <c r="B104" s="75" t="s">
        <v>262</v>
      </c>
      <c r="K104" s="8"/>
      <c r="O104" s="7"/>
    </row>
    <row r="105" spans="1:15">
      <c r="A105" s="111">
        <f>A102+1</f>
        <v>60</v>
      </c>
      <c r="B105" s="577" t="s">
        <v>1841</v>
      </c>
      <c r="C105" s="14"/>
      <c r="D105" s="14"/>
      <c r="E105" s="14"/>
      <c r="F105" s="14"/>
      <c r="G105" s="14"/>
      <c r="H105" s="503" t="s">
        <v>1174</v>
      </c>
      <c r="I105" s="14"/>
      <c r="K105" s="63">
        <v>200</v>
      </c>
      <c r="M105" s="7"/>
      <c r="O105" s="7"/>
    </row>
    <row r="106" spans="1:15">
      <c r="A106" s="2">
        <f>A105+1</f>
        <v>61</v>
      </c>
      <c r="B106" s="577" t="s">
        <v>1842</v>
      </c>
      <c r="C106" s="14"/>
      <c r="D106" s="14"/>
      <c r="E106" s="14"/>
      <c r="F106" s="14"/>
      <c r="G106" s="14"/>
      <c r="H106" s="503" t="s">
        <v>1174</v>
      </c>
      <c r="I106" s="14"/>
      <c r="K106" s="1136">
        <v>-520000</v>
      </c>
      <c r="M106" s="7"/>
      <c r="O106" s="7"/>
    </row>
    <row r="107" spans="1:15">
      <c r="A107" s="2">
        <f>A106+1</f>
        <v>62</v>
      </c>
      <c r="B107" s="577" t="s">
        <v>1843</v>
      </c>
      <c r="C107" s="14"/>
      <c r="D107" s="14"/>
      <c r="E107" s="14"/>
      <c r="F107" s="14"/>
      <c r="G107" s="14"/>
      <c r="H107" s="503" t="s">
        <v>1174</v>
      </c>
      <c r="I107" s="14"/>
      <c r="K107" s="112">
        <v>2606000</v>
      </c>
      <c r="M107" s="7"/>
      <c r="O107" s="7"/>
    </row>
    <row r="108" spans="1:15">
      <c r="A108" s="600">
        <f>A107+1</f>
        <v>63</v>
      </c>
      <c r="B108" s="13" t="s">
        <v>263</v>
      </c>
      <c r="I108" s="503" t="str">
        <f>"Line "&amp;A105&amp;" + Line "&amp;A106&amp;"+ Line "&amp;A107&amp;""</f>
        <v>Line 60 + Line 61+ Line 62</v>
      </c>
      <c r="K108" s="63">
        <f>SUM(K105:K107)</f>
        <v>2086200</v>
      </c>
      <c r="M108" s="7"/>
      <c r="O108" s="7"/>
    </row>
    <row r="109" spans="1:15">
      <c r="A109" s="111"/>
      <c r="M109" s="7"/>
      <c r="O109" s="7"/>
    </row>
    <row r="110" spans="1:15">
      <c r="A110" s="111">
        <f>A108+1</f>
        <v>64</v>
      </c>
      <c r="B110" s="12" t="s">
        <v>264</v>
      </c>
      <c r="I110" t="str">
        <f>"Formula on Line "&amp;A112&amp;""</f>
        <v>Formula on Line 65</v>
      </c>
      <c r="K110" s="63">
        <f>(((K34*K93) + K119)*(K102/(1-K102)))+(K108/(1-K102))</f>
        <v>230428899.35091352</v>
      </c>
      <c r="M110" s="7"/>
      <c r="O110" s="7"/>
    </row>
    <row r="111" spans="1:15">
      <c r="A111" s="111"/>
      <c r="O111" s="7"/>
    </row>
    <row r="112" spans="1:15">
      <c r="A112" s="111">
        <f>A110+1</f>
        <v>65</v>
      </c>
      <c r="B112" s="505" t="s">
        <v>2206</v>
      </c>
      <c r="C112" s="505"/>
      <c r="D112" s="505"/>
      <c r="E112" s="505"/>
      <c r="F112" s="505"/>
      <c r="G112" s="505"/>
      <c r="O112" s="7"/>
    </row>
    <row r="113" spans="1:15">
      <c r="A113" s="61"/>
      <c r="I113" s="12"/>
      <c r="O113" s="7"/>
    </row>
    <row r="114" spans="1:15">
      <c r="A114" s="61"/>
      <c r="C114" t="s">
        <v>216</v>
      </c>
      <c r="O114" s="7"/>
    </row>
    <row r="115" spans="1:15">
      <c r="A115" s="61"/>
      <c r="C115" s="114" t="s">
        <v>217</v>
      </c>
      <c r="D115" s="14"/>
      <c r="E115" s="14"/>
      <c r="F115" s="14"/>
      <c r="G115" s="14"/>
      <c r="H115" s="14"/>
      <c r="I115" s="15" t="str">
        <f>"Line "&amp;A34&amp;""</f>
        <v>Line 18</v>
      </c>
      <c r="O115" s="7"/>
    </row>
    <row r="116" spans="1:15">
      <c r="A116" s="61"/>
      <c r="C116" s="502" t="s">
        <v>1744</v>
      </c>
      <c r="D116" s="14"/>
      <c r="E116" s="14"/>
      <c r="F116" s="14"/>
      <c r="G116" s="14"/>
      <c r="H116" s="14"/>
      <c r="I116" s="15" t="str">
        <f>"Line "&amp;A93&amp;""</f>
        <v>Line 55</v>
      </c>
      <c r="O116" s="7"/>
    </row>
    <row r="117" spans="1:15">
      <c r="A117" s="61"/>
      <c r="C117" s="114" t="s">
        <v>218</v>
      </c>
      <c r="D117" s="14"/>
      <c r="E117" s="14"/>
      <c r="F117" s="14"/>
      <c r="G117" s="14"/>
      <c r="H117" s="14"/>
      <c r="I117" s="15" t="str">
        <f>"Line "&amp;A102&amp;""</f>
        <v>Line 59</v>
      </c>
      <c r="O117" s="7"/>
    </row>
    <row r="118" spans="1:15">
      <c r="A118" s="61"/>
      <c r="C118" s="114" t="s">
        <v>219</v>
      </c>
      <c r="D118" s="14"/>
      <c r="E118" s="14"/>
      <c r="F118" s="14"/>
      <c r="G118" s="14"/>
      <c r="H118" s="14"/>
      <c r="I118" s="15" t="str">
        <f>"Line "&amp;A108&amp;""</f>
        <v>Line 63</v>
      </c>
      <c r="O118" s="7"/>
    </row>
    <row r="119" spans="1:15">
      <c r="A119" s="524"/>
      <c r="C119" s="114" t="s">
        <v>1741</v>
      </c>
      <c r="D119" s="14"/>
      <c r="E119" s="14"/>
      <c r="F119" s="14"/>
      <c r="G119" s="14"/>
      <c r="H119" s="14"/>
      <c r="I119" s="14" t="s">
        <v>33</v>
      </c>
      <c r="K119" s="537">
        <v>3296636</v>
      </c>
      <c r="M119" s="7"/>
      <c r="O119" s="7"/>
    </row>
    <row r="120" spans="1:15">
      <c r="M120" s="7"/>
      <c r="O120" s="7"/>
    </row>
    <row r="121" spans="1:15">
      <c r="A121" s="10" t="s">
        <v>62</v>
      </c>
      <c r="B121" s="11"/>
      <c r="C121" s="11"/>
      <c r="D121" s="11"/>
      <c r="E121" s="11"/>
      <c r="F121" s="11"/>
      <c r="G121" s="11"/>
      <c r="H121" s="9"/>
      <c r="I121" s="9"/>
      <c r="J121" s="9"/>
      <c r="K121" s="9"/>
      <c r="M121" s="7"/>
      <c r="O121" s="7"/>
    </row>
    <row r="122" spans="1:15">
      <c r="M122" s="7"/>
      <c r="O122" s="7"/>
    </row>
    <row r="123" spans="1:15">
      <c r="B123" s="75" t="s">
        <v>265</v>
      </c>
      <c r="M123" s="7"/>
      <c r="O123" s="7"/>
    </row>
    <row r="124" spans="1:15">
      <c r="A124" s="111">
        <f>A112+1</f>
        <v>66</v>
      </c>
      <c r="B124" t="s">
        <v>101</v>
      </c>
      <c r="H124" s="16"/>
      <c r="I124" s="14" t="str">
        <f>"19-OandM, Line "&amp;'19-OandM'!A124&amp;", Col. 6"</f>
        <v>19-OandM, Line 91, Col. 6</v>
      </c>
      <c r="K124" s="63">
        <f>'19-OandM'!G124</f>
        <v>81050973.103365153</v>
      </c>
      <c r="M124" s="7"/>
      <c r="O124" s="7"/>
    </row>
    <row r="125" spans="1:15">
      <c r="A125" s="111">
        <f t="shared" ref="A125:A139" si="2">A124+1</f>
        <v>67</v>
      </c>
      <c r="B125" s="12" t="s">
        <v>266</v>
      </c>
      <c r="H125" s="16"/>
      <c r="I125" s="14" t="str">
        <f>"20-AandG, Line "&amp;'20-AandG'!A30&amp;""</f>
        <v>20-AandG, Line 23</v>
      </c>
      <c r="K125" s="63">
        <f>'20-AandG'!F30</f>
        <v>52426004.345079042</v>
      </c>
      <c r="M125" s="7"/>
      <c r="O125" s="7"/>
    </row>
    <row r="126" spans="1:15">
      <c r="A126" s="111">
        <f t="shared" si="2"/>
        <v>68</v>
      </c>
      <c r="B126" t="s">
        <v>56</v>
      </c>
      <c r="H126" s="16"/>
      <c r="I126" s="15" t="str">
        <f>"22-NUCs, Line "&amp;'22-NUCs'!A17&amp;""</f>
        <v>22-NUCs, Line 8</v>
      </c>
      <c r="K126" s="7">
        <f>'22-NUCs'!E17</f>
        <v>2616282.5299999998</v>
      </c>
      <c r="M126" s="7"/>
      <c r="O126" s="7"/>
    </row>
    <row r="127" spans="1:15">
      <c r="A127" s="111">
        <f t="shared" si="2"/>
        <v>69</v>
      </c>
      <c r="B127" s="12" t="s">
        <v>252</v>
      </c>
      <c r="H127" s="16"/>
      <c r="I127" s="14" t="str">
        <f>"17-Depreciation, Line "&amp;'17-Depreciation'!A94&amp;""</f>
        <v>17-Depreciation, Line 70</v>
      </c>
      <c r="K127" s="7">
        <f>'17-Depreciation'!F94</f>
        <v>230409241.70719674</v>
      </c>
      <c r="M127" s="7"/>
      <c r="O127" s="7"/>
    </row>
    <row r="128" spans="1:15">
      <c r="A128" s="111">
        <f t="shared" si="2"/>
        <v>70</v>
      </c>
      <c r="B128" s="12" t="s">
        <v>294</v>
      </c>
      <c r="H128" s="16"/>
      <c r="I128" s="14" t="str">
        <f>"12-AbandonedPlant, Line "&amp;'12-AbandonedPlant'!A18&amp;""</f>
        <v>12-AbandonedPlant, Line 1</v>
      </c>
      <c r="K128" s="7">
        <f>'12-AbandonedPlant'!G18</f>
        <v>37069049</v>
      </c>
      <c r="M128" s="7"/>
      <c r="O128" s="7"/>
    </row>
    <row r="129" spans="1:15">
      <c r="A129" s="111">
        <f t="shared" si="2"/>
        <v>71</v>
      </c>
      <c r="B129" s="12" t="s">
        <v>79</v>
      </c>
      <c r="H129" s="16"/>
      <c r="I129" s="14" t="str">
        <f>"Line "&amp;A58&amp;""</f>
        <v>Line 36</v>
      </c>
      <c r="K129" s="7">
        <f>K58</f>
        <v>58568951.724897571</v>
      </c>
      <c r="M129" s="7"/>
      <c r="O129" s="7"/>
    </row>
    <row r="130" spans="1:15">
      <c r="A130" s="111">
        <f t="shared" si="2"/>
        <v>72</v>
      </c>
      <c r="B130" t="s">
        <v>11</v>
      </c>
      <c r="H130" s="46" t="s">
        <v>151</v>
      </c>
      <c r="I130" s="14" t="str">
        <f>"21-Revenue Credits, Line "&amp;'21-RevenueCredits'!A213&amp;""</f>
        <v>21-Revenue Credits, Line 44</v>
      </c>
      <c r="K130" s="7">
        <f>-'21-RevenueCredits'!E213</f>
        <v>-77928964.627686992</v>
      </c>
      <c r="M130" s="7"/>
      <c r="O130" s="7"/>
    </row>
    <row r="131" spans="1:15">
      <c r="A131" s="111">
        <f t="shared" si="2"/>
        <v>73</v>
      </c>
      <c r="B131" t="s">
        <v>87</v>
      </c>
      <c r="H131" s="16"/>
      <c r="I131" s="14" t="str">
        <f>"Line "&amp;A95&amp;""</f>
        <v>Line 56</v>
      </c>
      <c r="K131" s="7">
        <f>K95</f>
        <v>435673171.84388781</v>
      </c>
      <c r="M131" s="7"/>
      <c r="O131" s="7"/>
    </row>
    <row r="132" spans="1:15">
      <c r="A132" s="111">
        <f t="shared" si="2"/>
        <v>74</v>
      </c>
      <c r="B132" t="s">
        <v>5</v>
      </c>
      <c r="H132" s="16"/>
      <c r="I132" s="14" t="str">
        <f>"Line "&amp;A110&amp;""</f>
        <v>Line 64</v>
      </c>
      <c r="K132" s="101">
        <f>K110</f>
        <v>230428899.35091352</v>
      </c>
      <c r="M132" s="7"/>
      <c r="O132" s="7"/>
    </row>
    <row r="133" spans="1:15">
      <c r="A133" s="111">
        <f t="shared" si="2"/>
        <v>75</v>
      </c>
      <c r="B133" t="s">
        <v>958</v>
      </c>
      <c r="H133" s="13" t="s">
        <v>1169</v>
      </c>
      <c r="I133" s="15" t="str">
        <f>"11-PHFU, Line "&amp;'11-PHFU'!A46&amp;""</f>
        <v>11-PHFU, Line 10</v>
      </c>
      <c r="K133" s="47">
        <f>-'11-PHFU'!E46</f>
        <v>0</v>
      </c>
      <c r="M133" s="7"/>
      <c r="O133" s="7"/>
    </row>
    <row r="134" spans="1:15">
      <c r="A134" s="111">
        <f t="shared" si="2"/>
        <v>76</v>
      </c>
      <c r="B134" s="616" t="s">
        <v>1730</v>
      </c>
      <c r="C134" s="736"/>
      <c r="D134" s="14"/>
      <c r="E134" s="14"/>
      <c r="H134" s="16"/>
      <c r="I134" s="15" t="str">
        <f>"23-RegAssets, Line "&amp;'23-RegAssets'!A19&amp;""</f>
        <v>23-RegAssets, Line 16</v>
      </c>
      <c r="K134" s="47">
        <f>'23-RegAssets'!E19</f>
        <v>0</v>
      </c>
      <c r="M134" s="7"/>
      <c r="O134" s="7"/>
    </row>
    <row r="135" spans="1:15">
      <c r="A135" s="111">
        <f t="shared" si="2"/>
        <v>77</v>
      </c>
      <c r="B135" s="12" t="s">
        <v>267</v>
      </c>
      <c r="H135" s="16"/>
      <c r="I135" s="14" t="str">
        <f>"15-IncentiveAdder, Line "&amp;'15-IncentiveAdder'!A44&amp;""</f>
        <v>15-IncentiveAdder, Line 14</v>
      </c>
      <c r="K135" s="91">
        <f>'15-IncentiveAdder'!G44</f>
        <v>36662104.807146192</v>
      </c>
      <c r="M135" s="7"/>
      <c r="O135" s="7"/>
    </row>
    <row r="136" spans="1:15">
      <c r="A136" s="111">
        <f t="shared" si="2"/>
        <v>78</v>
      </c>
      <c r="B136" s="12" t="s">
        <v>1454</v>
      </c>
      <c r="H136" s="16"/>
      <c r="I136" s="14" t="str">
        <f>"Sum of Lines "&amp;A124&amp;" to "&amp;A135&amp;""</f>
        <v>Sum of Lines 66 to 77</v>
      </c>
      <c r="K136" s="7">
        <f>SUM(K124:K135)</f>
        <v>1086975713.7847991</v>
      </c>
      <c r="M136" s="7"/>
      <c r="O136" s="7"/>
    </row>
    <row r="137" spans="1:15">
      <c r="A137" s="111"/>
      <c r="B137" s="12"/>
      <c r="H137" s="16"/>
      <c r="I137" s="14"/>
      <c r="K137" s="7"/>
      <c r="M137" s="7"/>
      <c r="O137" s="7"/>
    </row>
    <row r="138" spans="1:15">
      <c r="A138" s="111">
        <f>A136+1</f>
        <v>79</v>
      </c>
      <c r="B138" s="12" t="s">
        <v>289</v>
      </c>
      <c r="I138" s="14" t="str">
        <f>"L "&amp;A136&amp;" * FF Factor (28-FFU, L "&amp;'28-FFU'!A22&amp;")"</f>
        <v>L 78 * FF Factor (28-FFU, L 5)</v>
      </c>
      <c r="J138" s="14"/>
      <c r="K138" s="7">
        <f>'28-FFU'!D22*K136</f>
        <v>10006372.328388726</v>
      </c>
      <c r="M138" s="7"/>
      <c r="O138" s="7"/>
    </row>
    <row r="139" spans="1:15">
      <c r="A139" s="111">
        <f t="shared" si="2"/>
        <v>80</v>
      </c>
      <c r="B139" s="12" t="s">
        <v>288</v>
      </c>
      <c r="I139" s="14" t="str">
        <f>"L "&amp;A136&amp;" * U Factor (28-FFU, L "&amp;'28-FFU'!A22&amp;")"</f>
        <v>L 78 * U Factor (28-FFU, L 5)</v>
      </c>
      <c r="J139" s="14"/>
      <c r="K139" s="7">
        <f>'28-FFU'!E22*K136</f>
        <v>2617002.7285082825</v>
      </c>
      <c r="M139" s="7"/>
      <c r="O139" s="7"/>
    </row>
    <row r="140" spans="1:15">
      <c r="A140" s="111"/>
      <c r="B140" s="12"/>
      <c r="K140" s="7"/>
      <c r="M140" s="7"/>
      <c r="O140" s="7"/>
    </row>
    <row r="141" spans="1:15">
      <c r="A141" s="111">
        <f>A139+1</f>
        <v>81</v>
      </c>
      <c r="B141" s="12" t="s">
        <v>95</v>
      </c>
      <c r="I141" t="str">
        <f>"Line "&amp;A136&amp;" + Line "&amp;A138&amp;"+ Line "&amp;A139&amp;""</f>
        <v>Line 78 + Line 79+ Line 80</v>
      </c>
      <c r="K141" s="7">
        <f>K136+K138+K139</f>
        <v>1099599088.841696</v>
      </c>
      <c r="M141" s="7"/>
      <c r="O141" s="7"/>
    </row>
    <row r="142" spans="1:15">
      <c r="O142" s="7"/>
    </row>
    <row r="143" spans="1:15">
      <c r="A143" s="10" t="s">
        <v>268</v>
      </c>
      <c r="B143" s="11"/>
      <c r="C143" s="11"/>
      <c r="D143" s="11"/>
      <c r="E143" s="11"/>
      <c r="F143" s="11"/>
      <c r="G143" s="11"/>
      <c r="H143" s="9"/>
      <c r="I143" s="9"/>
      <c r="J143" s="9"/>
      <c r="K143" s="9"/>
      <c r="O143" s="7"/>
    </row>
    <row r="144" spans="1:15">
      <c r="O144" s="7"/>
    </row>
    <row r="145" spans="1:15">
      <c r="B145" s="75" t="s">
        <v>1652</v>
      </c>
      <c r="O145" s="7"/>
    </row>
    <row r="146" spans="1:15">
      <c r="A146" s="111">
        <f>A141+1</f>
        <v>82</v>
      </c>
      <c r="B146" t="s">
        <v>95</v>
      </c>
      <c r="I146" t="str">
        <f>"Line "&amp;A141&amp;""</f>
        <v>Line 81</v>
      </c>
      <c r="K146" s="7">
        <f>K141</f>
        <v>1099599088.841696</v>
      </c>
      <c r="M146" s="7"/>
      <c r="O146" s="7"/>
    </row>
    <row r="147" spans="1:15">
      <c r="A147" s="111">
        <f>A146+1</f>
        <v>83</v>
      </c>
      <c r="B147" t="s">
        <v>321</v>
      </c>
      <c r="I147" s="15" t="str">
        <f>"2-IFPTRR, Line "&amp;'2-IFPTRR'!A91&amp;""</f>
        <v>2-IFPTRR, Line 82</v>
      </c>
      <c r="K147" s="7">
        <f>'2-IFPTRR'!D91</f>
        <v>109324745.5373141</v>
      </c>
      <c r="M147" s="7"/>
      <c r="O147" s="7"/>
    </row>
    <row r="148" spans="1:15">
      <c r="A148" s="111">
        <f>A147+1</f>
        <v>84</v>
      </c>
      <c r="B148" s="12" t="s">
        <v>29</v>
      </c>
      <c r="H148" s="12"/>
      <c r="I148" s="15" t="str">
        <f>"3-TrueUpAdjust, Line "&amp;'3-TrueUpAdjust'!A44&amp;""</f>
        <v>3-TrueUpAdjust, Line 30</v>
      </c>
      <c r="K148" s="101">
        <f>'3-TrueUpAdjust'!E44</f>
        <v>-39617211.828272499</v>
      </c>
      <c r="M148" s="7"/>
      <c r="O148" s="7"/>
    </row>
    <row r="149" spans="1:15">
      <c r="A149" s="111">
        <f>A148+1</f>
        <v>85</v>
      </c>
      <c r="B149" s="505" t="s">
        <v>1906</v>
      </c>
      <c r="C149" s="14"/>
      <c r="H149" s="503" t="s">
        <v>1189</v>
      </c>
      <c r="I149" s="14"/>
      <c r="K149" s="120">
        <v>0</v>
      </c>
      <c r="M149" s="7"/>
      <c r="O149" s="7"/>
    </row>
    <row r="150" spans="1:15">
      <c r="A150" s="111"/>
      <c r="I150" s="14"/>
      <c r="K150" s="7"/>
      <c r="M150" s="7"/>
      <c r="O150" s="7"/>
    </row>
    <row r="151" spans="1:15">
      <c r="A151" s="111">
        <f>A149+1</f>
        <v>86</v>
      </c>
      <c r="B151" s="503" t="s">
        <v>1650</v>
      </c>
      <c r="H151" s="12" t="s">
        <v>269</v>
      </c>
      <c r="I151" s="14" t="str">
        <f>"L "&amp;A146&amp;" + L "&amp;A147&amp;" + L "&amp;A148&amp;" + L "&amp;A149&amp;""</f>
        <v>L 82 + L 83 + L 84 + L 85</v>
      </c>
      <c r="K151" s="7">
        <f>K146+K147+K148+K149</f>
        <v>1169306622.5507376</v>
      </c>
      <c r="M151" s="7"/>
      <c r="O151" s="7"/>
    </row>
    <row r="152" spans="1:15">
      <c r="A152" s="111"/>
      <c r="I152" s="14"/>
      <c r="K152" s="7"/>
      <c r="O152" s="7"/>
    </row>
    <row r="153" spans="1:15">
      <c r="A153" s="111"/>
      <c r="B153" s="75" t="s">
        <v>1651</v>
      </c>
      <c r="I153" s="14"/>
      <c r="K153" s="7"/>
      <c r="M153" s="7"/>
      <c r="O153" s="7"/>
    </row>
    <row r="154" spans="1:15">
      <c r="A154" s="111">
        <f>A151+1</f>
        <v>87</v>
      </c>
      <c r="B154" t="s">
        <v>1385</v>
      </c>
      <c r="I154" s="14" t="str">
        <f>"Line "&amp;A151&amp;""</f>
        <v>Line 86</v>
      </c>
      <c r="K154" s="7">
        <f>K151</f>
        <v>1169306622.5507376</v>
      </c>
      <c r="M154" s="7"/>
      <c r="O154" s="7"/>
    </row>
    <row r="155" spans="1:15">
      <c r="A155" s="111">
        <f>A154+1</f>
        <v>88</v>
      </c>
      <c r="B155" t="s">
        <v>1384</v>
      </c>
      <c r="I155" s="15" t="str">
        <f>"25-WholesaleDifference, Line "&amp;'25-WholesaleDifference'!A93&amp;""</f>
        <v>25-WholesaleDifference, Line 45</v>
      </c>
      <c r="K155" s="91">
        <f>'25-WholesaleDifference'!H93</f>
        <v>-6395449.3247956792</v>
      </c>
      <c r="M155" s="7"/>
      <c r="O155" s="7"/>
    </row>
    <row r="156" spans="1:15">
      <c r="A156" s="111">
        <f>A155+1</f>
        <v>89</v>
      </c>
      <c r="B156" t="s">
        <v>1651</v>
      </c>
      <c r="I156" t="str">
        <f>"Line "&amp;A154&amp;" + Line "&amp;A155&amp;""</f>
        <v>Line 87 + Line 88</v>
      </c>
      <c r="K156" s="7">
        <f>K154+K155</f>
        <v>1162911173.2259419</v>
      </c>
      <c r="M156" s="7"/>
      <c r="O156" s="7"/>
    </row>
    <row r="157" spans="1:15">
      <c r="A157" s="14"/>
      <c r="H157" s="12"/>
      <c r="O157" s="7"/>
    </row>
    <row r="159" spans="1:15">
      <c r="B159" s="51" t="s">
        <v>232</v>
      </c>
    </row>
    <row r="160" spans="1:15" s="1112" customFormat="1">
      <c r="B160" s="503" t="s">
        <v>2362</v>
      </c>
    </row>
    <row r="161" spans="2:11" s="1112" customFormat="1">
      <c r="B161" s="507" t="s">
        <v>2363</v>
      </c>
    </row>
    <row r="162" spans="2:11">
      <c r="B162" s="505" t="s">
        <v>2364</v>
      </c>
      <c r="C162" s="14"/>
      <c r="D162" s="14"/>
      <c r="E162" s="14"/>
      <c r="F162" s="14"/>
      <c r="G162" s="14"/>
      <c r="H162" s="14"/>
      <c r="I162" s="14"/>
      <c r="J162" s="14"/>
      <c r="K162" s="14"/>
    </row>
    <row r="163" spans="2:11">
      <c r="B163" s="503" t="s">
        <v>1668</v>
      </c>
    </row>
    <row r="164" spans="2:11">
      <c r="B164" s="505" t="s">
        <v>1836</v>
      </c>
      <c r="C164" s="14"/>
      <c r="D164" s="14"/>
      <c r="E164" s="14"/>
      <c r="F164" s="14"/>
      <c r="G164" s="14"/>
      <c r="H164" s="14"/>
      <c r="I164" s="14"/>
      <c r="J164" s="14"/>
      <c r="K164" s="14"/>
    </row>
    <row r="165" spans="2:11">
      <c r="B165" s="505"/>
      <c r="C165" s="14" t="s">
        <v>1835</v>
      </c>
      <c r="D165" s="14"/>
      <c r="E165" s="14"/>
      <c r="F165" s="97"/>
      <c r="G165" s="97"/>
      <c r="H165" s="97"/>
      <c r="I165" s="14"/>
      <c r="J165" s="14"/>
      <c r="K165" s="14"/>
    </row>
    <row r="166" spans="2:11">
      <c r="B166" s="503" t="s">
        <v>2607</v>
      </c>
      <c r="C166" s="14"/>
      <c r="D166" s="14"/>
      <c r="E166" s="14"/>
      <c r="F166" s="14"/>
      <c r="G166" s="14"/>
      <c r="H166" s="14"/>
      <c r="I166" s="14"/>
    </row>
    <row r="167" spans="2:11">
      <c r="B167" s="16" t="s">
        <v>2608</v>
      </c>
    </row>
    <row r="168" spans="2:11">
      <c r="B168" s="16" t="s">
        <v>2609</v>
      </c>
    </row>
    <row r="169" spans="2:11">
      <c r="B169" s="505" t="s">
        <v>2365</v>
      </c>
    </row>
  </sheetData>
  <phoneticPr fontId="23" type="noConversion"/>
  <pageMargins left="0.75" right="0.75" top="1" bottom="1" header="0.5" footer="0.5"/>
  <pageSetup scale="68" orientation="portrait" cellComments="asDisplayed" r:id="rId1"/>
  <headerFooter alignWithMargins="0">
    <oddHeader>&amp;CSchedule 1
Base TRR
&amp;RExhibit SCE-4
TO2018 Formula Rate Spreadsheet</oddHeader>
    <oddFooter>&amp;R&amp;A</oddFooter>
  </headerFooter>
  <rowBreaks count="2" manualBreakCount="2">
    <brk id="59" max="16383" man="1"/>
    <brk id="120" max="16383" man="1"/>
  </rowBreaks>
  <colBreaks count="1" manualBreakCount="1">
    <brk id="1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election activeCell="C41" sqref="C41"/>
    </sheetView>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35" t="s">
        <v>1997</v>
      </c>
      <c r="B1" s="735"/>
      <c r="C1" s="736"/>
      <c r="D1" s="736"/>
      <c r="G1" s="736"/>
      <c r="H1" s="736"/>
      <c r="I1" s="736"/>
      <c r="J1" s="736"/>
      <c r="K1" s="736"/>
      <c r="L1" s="736"/>
      <c r="M1" s="736"/>
      <c r="N1" s="14"/>
      <c r="O1" s="14"/>
      <c r="P1" s="14"/>
      <c r="Q1" s="14"/>
      <c r="R1" s="14"/>
      <c r="S1" s="14"/>
      <c r="T1" s="14"/>
    </row>
    <row r="2" spans="1:20">
      <c r="A2" s="14"/>
      <c r="B2" s="14"/>
      <c r="C2" s="505"/>
      <c r="D2" s="14"/>
      <c r="E2" s="14"/>
      <c r="F2" s="14"/>
      <c r="G2" s="14"/>
      <c r="H2" s="14"/>
      <c r="I2" s="14"/>
      <c r="J2" s="14"/>
      <c r="K2" s="14"/>
      <c r="L2" s="14"/>
      <c r="M2" s="14"/>
      <c r="N2" s="14"/>
      <c r="O2" s="14"/>
      <c r="P2" s="14"/>
      <c r="Q2" s="14"/>
      <c r="R2" s="14"/>
      <c r="S2" s="14"/>
      <c r="T2" s="14"/>
    </row>
    <row r="3" spans="1:20">
      <c r="A3" s="737" t="s">
        <v>332</v>
      </c>
      <c r="B3" s="737"/>
      <c r="C3" s="736"/>
      <c r="D3" s="736"/>
      <c r="E3" s="736"/>
      <c r="F3" s="736"/>
      <c r="G3" s="736"/>
      <c r="H3" s="736"/>
      <c r="I3" s="736"/>
      <c r="J3" s="736"/>
      <c r="K3" s="736"/>
      <c r="L3" s="736"/>
      <c r="M3" s="736"/>
      <c r="N3" s="14"/>
      <c r="O3" s="14"/>
      <c r="P3" s="14"/>
      <c r="Q3" s="14"/>
      <c r="R3" s="14"/>
      <c r="S3" s="14"/>
      <c r="T3" s="14"/>
    </row>
    <row r="4" spans="1:20">
      <c r="A4" s="738">
        <v>1</v>
      </c>
      <c r="B4" s="738"/>
      <c r="C4" s="616"/>
      <c r="D4" s="616"/>
      <c r="E4" s="616"/>
      <c r="F4" s="616"/>
      <c r="G4" s="736"/>
      <c r="H4" s="736"/>
      <c r="I4" s="736"/>
      <c r="J4" s="736"/>
      <c r="K4" s="736"/>
      <c r="L4" s="736"/>
      <c r="M4" s="736"/>
      <c r="N4" s="14"/>
      <c r="O4" s="14"/>
      <c r="P4" s="14"/>
      <c r="Q4" s="14"/>
      <c r="R4" s="14"/>
      <c r="S4" s="14"/>
      <c r="T4" s="14"/>
    </row>
    <row r="5" spans="1:20">
      <c r="A5" s="607">
        <v>2</v>
      </c>
      <c r="B5" s="607"/>
      <c r="C5" s="616"/>
      <c r="D5" s="616"/>
      <c r="E5" s="616"/>
      <c r="F5" s="616"/>
      <c r="G5" s="736"/>
      <c r="H5" s="736"/>
      <c r="I5" s="736"/>
      <c r="J5" s="736"/>
      <c r="K5" s="736"/>
      <c r="L5" s="736"/>
      <c r="M5" s="736"/>
      <c r="N5" s="14"/>
      <c r="O5" s="14"/>
    </row>
    <row r="6" spans="1:20">
      <c r="A6" s="607">
        <v>3</v>
      </c>
      <c r="B6" s="607"/>
      <c r="C6" s="608"/>
      <c r="D6" s="608"/>
      <c r="E6" s="608"/>
      <c r="F6" s="608"/>
      <c r="G6" s="605"/>
      <c r="H6" s="605"/>
      <c r="I6" s="605"/>
      <c r="J6" s="605"/>
      <c r="K6" s="607" t="s">
        <v>63</v>
      </c>
      <c r="L6" s="605"/>
      <c r="M6" s="605"/>
    </row>
    <row r="7" spans="1:20">
      <c r="A7" s="607">
        <v>4</v>
      </c>
      <c r="B7" s="607"/>
      <c r="C7" s="605"/>
      <c r="D7" s="605"/>
      <c r="E7" s="739" t="s">
        <v>205</v>
      </c>
      <c r="F7" s="740"/>
      <c r="G7" s="605"/>
      <c r="H7" s="605"/>
      <c r="I7" s="605"/>
      <c r="J7" s="605"/>
      <c r="K7" s="741" t="s">
        <v>175</v>
      </c>
      <c r="L7" s="605"/>
      <c r="M7" s="610"/>
    </row>
    <row r="8" spans="1:20">
      <c r="A8" s="607">
        <v>5</v>
      </c>
      <c r="B8" s="607"/>
      <c r="C8" s="608"/>
      <c r="D8" s="608"/>
      <c r="E8" s="608"/>
      <c r="F8" s="608"/>
      <c r="G8" s="605"/>
      <c r="H8" s="605"/>
      <c r="I8" s="605"/>
      <c r="J8" s="605"/>
      <c r="K8" s="611"/>
      <c r="L8" s="605"/>
      <c r="M8" s="608"/>
    </row>
    <row r="9" spans="1:20">
      <c r="A9" s="607">
        <v>6</v>
      </c>
      <c r="B9" s="607"/>
      <c r="C9" s="735" t="s">
        <v>2018</v>
      </c>
      <c r="D9" s="616"/>
      <c r="E9" s="616" t="s">
        <v>2019</v>
      </c>
      <c r="F9" s="616"/>
      <c r="G9" s="736"/>
      <c r="H9" s="736"/>
      <c r="I9" s="736"/>
      <c r="J9" s="736"/>
      <c r="K9" s="611">
        <f>I20</f>
        <v>-11279549.206493335</v>
      </c>
      <c r="L9" s="605"/>
      <c r="M9" s="608"/>
      <c r="N9" s="742"/>
    </row>
    <row r="10" spans="1:20" ht="13.5" thickBot="1">
      <c r="A10" s="607">
        <v>7</v>
      </c>
      <c r="B10" s="607"/>
      <c r="C10" s="735" t="s">
        <v>2017</v>
      </c>
      <c r="D10" s="737"/>
      <c r="E10" s="616" t="s">
        <v>1998</v>
      </c>
      <c r="F10" s="616"/>
      <c r="G10" s="736"/>
      <c r="H10" s="736"/>
      <c r="I10" s="736"/>
      <c r="J10" s="736"/>
      <c r="K10" s="743">
        <f>+K20</f>
        <v>-12414249.259888921</v>
      </c>
      <c r="L10" s="605"/>
      <c r="M10" s="608"/>
    </row>
    <row r="11" spans="1:20" ht="13.5" thickTop="1">
      <c r="A11" s="607">
        <v>8</v>
      </c>
      <c r="B11" s="607"/>
      <c r="C11" s="616"/>
      <c r="D11" s="616"/>
      <c r="E11" s="616"/>
      <c r="F11" s="616"/>
      <c r="G11" s="736"/>
      <c r="H11" s="736"/>
      <c r="I11" s="736"/>
      <c r="J11" s="736"/>
      <c r="K11" s="611"/>
      <c r="L11" s="605"/>
      <c r="M11" s="605"/>
    </row>
    <row r="12" spans="1:20">
      <c r="A12" s="607">
        <v>9</v>
      </c>
      <c r="B12" s="607"/>
      <c r="C12" s="736"/>
      <c r="D12" s="736"/>
      <c r="E12" s="736"/>
      <c r="F12" s="736"/>
      <c r="G12" s="744" t="s">
        <v>363</v>
      </c>
      <c r="H12" s="744"/>
      <c r="I12" s="744" t="s">
        <v>347</v>
      </c>
      <c r="J12" s="744"/>
      <c r="K12" s="744" t="s">
        <v>348</v>
      </c>
      <c r="L12" s="605"/>
      <c r="M12" s="605"/>
    </row>
    <row r="13" spans="1:20">
      <c r="A13" s="607">
        <v>10</v>
      </c>
      <c r="B13" s="607"/>
      <c r="C13" s="736"/>
      <c r="D13" s="736"/>
      <c r="E13" s="736"/>
      <c r="F13" s="736"/>
      <c r="G13" s="738" t="s">
        <v>63</v>
      </c>
      <c r="H13" s="738"/>
      <c r="I13" s="738" t="s">
        <v>63</v>
      </c>
      <c r="J13" s="740"/>
      <c r="K13" s="738" t="s">
        <v>63</v>
      </c>
      <c r="L13" s="605"/>
      <c r="M13" s="605"/>
    </row>
    <row r="14" spans="1:20" ht="15">
      <c r="A14" s="607">
        <v>11</v>
      </c>
      <c r="B14" s="607"/>
      <c r="C14" s="738"/>
      <c r="D14" s="738"/>
      <c r="E14" s="738"/>
      <c r="F14" s="738"/>
      <c r="G14" s="738" t="s">
        <v>385</v>
      </c>
      <c r="H14" s="738"/>
      <c r="I14" s="738" t="s">
        <v>302</v>
      </c>
      <c r="J14" s="740"/>
      <c r="K14" s="745" t="s">
        <v>231</v>
      </c>
      <c r="L14" s="605"/>
      <c r="M14" s="605"/>
    </row>
    <row r="15" spans="1:20">
      <c r="A15" s="607">
        <v>12</v>
      </c>
      <c r="B15" s="607"/>
      <c r="C15" s="607" t="s">
        <v>415</v>
      </c>
      <c r="D15" s="607"/>
      <c r="E15" s="607"/>
      <c r="F15" s="607"/>
      <c r="G15" s="607" t="s">
        <v>1999</v>
      </c>
      <c r="H15" s="740"/>
      <c r="I15" s="607" t="s">
        <v>1999</v>
      </c>
      <c r="J15" s="740"/>
      <c r="K15" s="607" t="s">
        <v>1999</v>
      </c>
      <c r="L15" s="605"/>
      <c r="M15" s="605"/>
    </row>
    <row r="16" spans="1:20">
      <c r="A16" s="607">
        <v>13</v>
      </c>
      <c r="B16" s="607"/>
      <c r="C16" s="609" t="s">
        <v>1996</v>
      </c>
      <c r="D16" s="609"/>
      <c r="E16" s="609"/>
      <c r="F16" s="609"/>
      <c r="G16" s="741" t="s">
        <v>2000</v>
      </c>
      <c r="H16" s="740"/>
      <c r="I16" s="741" t="s">
        <v>2000</v>
      </c>
      <c r="J16" s="740"/>
      <c r="K16" s="741" t="s">
        <v>2000</v>
      </c>
      <c r="L16" s="605"/>
      <c r="M16" s="605"/>
    </row>
    <row r="17" spans="1:14">
      <c r="A17" s="607">
        <v>14</v>
      </c>
      <c r="B17" s="607"/>
      <c r="C17" s="616" t="s">
        <v>2001</v>
      </c>
      <c r="D17" s="616"/>
      <c r="E17" s="505" t="s">
        <v>2259</v>
      </c>
      <c r="F17" s="503"/>
      <c r="G17" s="611">
        <f>+G27</f>
        <v>-9144880.4341726918</v>
      </c>
      <c r="H17" s="746"/>
      <c r="I17" s="611">
        <f>+I27</f>
        <v>-7075161.1636581188</v>
      </c>
      <c r="J17" s="746"/>
      <c r="K17" s="611">
        <f>(+G17+I17)/2</f>
        <v>-8110020.7989154048</v>
      </c>
      <c r="L17" s="605"/>
      <c r="M17" s="605"/>
      <c r="N17" s="605"/>
    </row>
    <row r="18" spans="1:14">
      <c r="A18" s="607">
        <v>15</v>
      </c>
      <c r="B18" s="607"/>
      <c r="C18" s="616" t="s">
        <v>2002</v>
      </c>
      <c r="D18" s="616"/>
      <c r="E18" s="616" t="s">
        <v>2260</v>
      </c>
      <c r="F18" s="616"/>
      <c r="G18" s="611">
        <f>+G32</f>
        <v>-3804792.836641497</v>
      </c>
      <c r="H18" s="746"/>
      <c r="I18" s="611">
        <f>+I32</f>
        <v>-3624314.3281621323</v>
      </c>
      <c r="J18" s="746"/>
      <c r="K18" s="611">
        <f>(+G18+I18)/2</f>
        <v>-3714553.5824018149</v>
      </c>
      <c r="L18" s="605"/>
      <c r="M18" s="605"/>
      <c r="N18" s="605"/>
    </row>
    <row r="19" spans="1:14">
      <c r="A19" s="607">
        <v>16</v>
      </c>
      <c r="B19" s="607"/>
      <c r="C19" s="616" t="s">
        <v>2003</v>
      </c>
      <c r="D19" s="616"/>
      <c r="E19" s="616" t="s">
        <v>2261</v>
      </c>
      <c r="F19" s="616"/>
      <c r="G19" s="747">
        <f>+G39</f>
        <v>-599276.04247031652</v>
      </c>
      <c r="H19" s="748"/>
      <c r="I19" s="747">
        <f>+I39</f>
        <v>-580073.71467308293</v>
      </c>
      <c r="J19" s="748"/>
      <c r="K19" s="611">
        <f>(+G19+I19)/2</f>
        <v>-589674.87857169972</v>
      </c>
      <c r="L19" s="605"/>
      <c r="M19" s="605"/>
    </row>
    <row r="20" spans="1:14" ht="13.5" thickBot="1">
      <c r="A20" s="607">
        <v>17</v>
      </c>
      <c r="B20" s="607"/>
      <c r="C20" s="608" t="s">
        <v>197</v>
      </c>
      <c r="D20" s="608"/>
      <c r="E20" s="608" t="s">
        <v>2004</v>
      </c>
      <c r="F20" s="608"/>
      <c r="G20" s="749">
        <f>+G17+G18+G19</f>
        <v>-13548949.313284505</v>
      </c>
      <c r="H20" s="746"/>
      <c r="I20" s="749">
        <f>+I17+I18+I19</f>
        <v>-11279549.206493335</v>
      </c>
      <c r="J20" s="746"/>
      <c r="K20" s="749">
        <f>+K17+K18+K19</f>
        <v>-12414249.259888921</v>
      </c>
      <c r="L20" s="605"/>
      <c r="M20" s="608"/>
      <c r="N20" s="503" t="s">
        <v>331</v>
      </c>
    </row>
    <row r="21" spans="1:14" ht="13.5" thickTop="1">
      <c r="A21" s="607">
        <v>18</v>
      </c>
      <c r="B21" s="607"/>
      <c r="C21" s="605"/>
      <c r="D21" s="605"/>
      <c r="E21" s="605"/>
      <c r="F21" s="605"/>
      <c r="G21" s="605"/>
      <c r="H21" s="750"/>
      <c r="I21" s="605"/>
      <c r="J21" s="750"/>
      <c r="K21" s="605"/>
      <c r="L21" s="605"/>
      <c r="M21" s="605"/>
    </row>
    <row r="22" spans="1:14">
      <c r="A22" s="607">
        <v>19</v>
      </c>
      <c r="B22" s="607"/>
      <c r="C22" s="606" t="s">
        <v>2005</v>
      </c>
      <c r="D22" s="606"/>
      <c r="E22" s="606"/>
      <c r="F22" s="606"/>
      <c r="G22" s="605"/>
      <c r="H22" s="750"/>
      <c r="I22" s="605"/>
      <c r="J22" s="750"/>
      <c r="K22" s="605"/>
      <c r="L22" s="605"/>
      <c r="M22" s="605"/>
    </row>
    <row r="23" spans="1:14">
      <c r="A23" s="607">
        <v>20</v>
      </c>
      <c r="B23" s="607"/>
      <c r="H23" s="560"/>
      <c r="J23" s="560"/>
      <c r="K23" s="504" t="s">
        <v>231</v>
      </c>
    </row>
    <row r="24" spans="1:14">
      <c r="A24" s="607">
        <v>21</v>
      </c>
      <c r="B24" s="607"/>
      <c r="C24" s="606" t="s">
        <v>107</v>
      </c>
      <c r="D24" s="606"/>
      <c r="E24" s="606"/>
      <c r="F24" s="606"/>
      <c r="G24" s="414" t="s">
        <v>385</v>
      </c>
      <c r="H24" s="751"/>
      <c r="I24" s="414" t="s">
        <v>302</v>
      </c>
      <c r="J24" s="751"/>
      <c r="K24" s="752" t="s">
        <v>2006</v>
      </c>
      <c r="M24" s="523" t="s">
        <v>331</v>
      </c>
    </row>
    <row r="25" spans="1:14">
      <c r="A25" s="607">
        <v>22</v>
      </c>
      <c r="B25" s="607"/>
      <c r="C25" t="s">
        <v>2007</v>
      </c>
      <c r="E25" s="616" t="s">
        <v>2008</v>
      </c>
      <c r="F25" s="616"/>
      <c r="G25" s="753">
        <v>-148335417.44</v>
      </c>
      <c r="H25" s="754"/>
      <c r="I25" s="753">
        <v>-114763335.86</v>
      </c>
      <c r="J25" s="755"/>
      <c r="M25" s="742"/>
      <c r="N25" s="643"/>
    </row>
    <row r="26" spans="1:14">
      <c r="A26" s="738">
        <v>23</v>
      </c>
      <c r="B26" s="607"/>
      <c r="C26" t="s">
        <v>200</v>
      </c>
      <c r="E26" s="756" t="s">
        <v>2009</v>
      </c>
      <c r="F26" s="756"/>
      <c r="G26" s="757">
        <f>'27-Allocators'!G14</f>
        <v>6.1650013139118928E-2</v>
      </c>
      <c r="H26" s="758"/>
      <c r="I26" s="757">
        <f>'27-Allocators'!G14</f>
        <v>6.1650013139118928E-2</v>
      </c>
      <c r="J26" s="758"/>
      <c r="M26" s="742"/>
    </row>
    <row r="27" spans="1:14" ht="13.5" thickBot="1">
      <c r="A27" s="738">
        <v>24</v>
      </c>
      <c r="B27" s="607"/>
      <c r="C27" t="s">
        <v>2010</v>
      </c>
      <c r="E27" s="621" t="s">
        <v>2262</v>
      </c>
      <c r="F27" s="52"/>
      <c r="G27" s="759">
        <f>+G25*G26</f>
        <v>-9144880.4341726918</v>
      </c>
      <c r="H27" s="760"/>
      <c r="I27" s="759">
        <f>+I25*I26</f>
        <v>-7075161.1636581188</v>
      </c>
      <c r="J27" s="760"/>
      <c r="K27" s="761">
        <f>(G27+I27)/2</f>
        <v>-8110020.7989154048</v>
      </c>
      <c r="M27" s="742"/>
    </row>
    <row r="28" spans="1:14" ht="13.5" thickTop="1">
      <c r="A28" s="738">
        <v>25</v>
      </c>
      <c r="B28" s="607"/>
      <c r="H28" s="560"/>
      <c r="J28" s="560"/>
      <c r="M28" s="742"/>
    </row>
    <row r="29" spans="1:14">
      <c r="A29" s="738">
        <v>26</v>
      </c>
      <c r="B29" s="607"/>
      <c r="C29" s="51" t="s">
        <v>2011</v>
      </c>
      <c r="D29" s="51"/>
      <c r="E29" s="51"/>
      <c r="F29" s="51"/>
      <c r="H29" s="560"/>
      <c r="J29" s="560"/>
      <c r="M29" s="762" t="s">
        <v>331</v>
      </c>
    </row>
    <row r="30" spans="1:14">
      <c r="A30" s="738">
        <v>27</v>
      </c>
      <c r="B30" s="607"/>
      <c r="C30" s="503" t="s">
        <v>2012</v>
      </c>
      <c r="D30" s="503"/>
      <c r="E30" s="616" t="s">
        <v>2008</v>
      </c>
      <c r="F30" s="616"/>
      <c r="G30" s="753">
        <v>-61716010.149999999</v>
      </c>
      <c r="H30" s="754"/>
      <c r="I30" s="753">
        <v>-58788541.049999997</v>
      </c>
      <c r="J30" s="755"/>
      <c r="M30" s="742"/>
    </row>
    <row r="31" spans="1:14">
      <c r="A31" s="738">
        <v>28</v>
      </c>
      <c r="B31" s="607"/>
      <c r="C31" t="s">
        <v>200</v>
      </c>
      <c r="E31" s="756" t="s">
        <v>2009</v>
      </c>
      <c r="F31" s="756"/>
      <c r="G31" s="757">
        <f>'27-Allocators'!G14</f>
        <v>6.1650013139118928E-2</v>
      </c>
      <c r="H31" s="758"/>
      <c r="I31" s="757">
        <f>'27-Allocators'!G14</f>
        <v>6.1650013139118928E-2</v>
      </c>
      <c r="J31" s="758"/>
      <c r="M31" s="742"/>
    </row>
    <row r="32" spans="1:14" ht="13.5" thickBot="1">
      <c r="A32" s="738">
        <v>29</v>
      </c>
      <c r="B32" s="607"/>
      <c r="C32" t="s">
        <v>2010</v>
      </c>
      <c r="E32" s="621" t="s">
        <v>2263</v>
      </c>
      <c r="F32" s="52"/>
      <c r="G32" s="759">
        <f>+G30*G31</f>
        <v>-3804792.836641497</v>
      </c>
      <c r="H32" s="760"/>
      <c r="I32" s="759">
        <f>+I30*I31</f>
        <v>-3624314.3281621323</v>
      </c>
      <c r="J32" s="760"/>
      <c r="K32" s="761">
        <f>(G32+I32)/2</f>
        <v>-3714553.5824018149</v>
      </c>
      <c r="M32" s="742"/>
    </row>
    <row r="33" spans="1:11" ht="13.5" thickTop="1">
      <c r="A33" s="738">
        <f t="shared" ref="A33:A39" si="0">1+A32</f>
        <v>30</v>
      </c>
      <c r="H33" s="560"/>
      <c r="J33" s="560"/>
    </row>
    <row r="34" spans="1:11">
      <c r="A34" s="738">
        <f t="shared" si="0"/>
        <v>31</v>
      </c>
      <c r="C34" s="51" t="s">
        <v>2013</v>
      </c>
      <c r="H34" s="560"/>
      <c r="J34" s="560"/>
    </row>
    <row r="35" spans="1:11">
      <c r="A35" s="738">
        <f t="shared" si="0"/>
        <v>32</v>
      </c>
      <c r="C35" s="503" t="s">
        <v>2013</v>
      </c>
      <c r="E35" s="616" t="s">
        <v>2008</v>
      </c>
      <c r="F35" s="616"/>
      <c r="G35" s="1136">
        <v>-19441230</v>
      </c>
      <c r="H35" s="754"/>
      <c r="I35" s="1136">
        <v>-18818283.57</v>
      </c>
      <c r="J35" s="755"/>
    </row>
    <row r="36" spans="1:11">
      <c r="A36" s="738">
        <f t="shared" si="0"/>
        <v>33</v>
      </c>
      <c r="C36" s="503" t="s">
        <v>2014</v>
      </c>
      <c r="E36" s="764" t="s">
        <v>2015</v>
      </c>
      <c r="G36" s="765">
        <v>0.5</v>
      </c>
      <c r="H36" s="560"/>
      <c r="I36" s="765">
        <v>0.5</v>
      </c>
      <c r="J36" s="560"/>
    </row>
    <row r="37" spans="1:11">
      <c r="A37" s="738">
        <f t="shared" si="0"/>
        <v>34</v>
      </c>
      <c r="C37" s="503" t="s">
        <v>2016</v>
      </c>
      <c r="E37" s="505" t="s">
        <v>2264</v>
      </c>
      <c r="G37" s="7">
        <f>+G35*G36</f>
        <v>-9720615</v>
      </c>
      <c r="H37" s="766"/>
      <c r="I37" s="7">
        <f>+I35*I36</f>
        <v>-9409141.7850000001</v>
      </c>
      <c r="J37" s="560"/>
    </row>
    <row r="38" spans="1:11">
      <c r="A38" s="738">
        <f t="shared" si="0"/>
        <v>35</v>
      </c>
      <c r="C38" t="s">
        <v>200</v>
      </c>
      <c r="E38" s="756" t="s">
        <v>2009</v>
      </c>
      <c r="F38" s="756"/>
      <c r="G38" s="757">
        <f>'27-Allocators'!G14</f>
        <v>6.1650013139118928E-2</v>
      </c>
      <c r="H38" s="758"/>
      <c r="I38" s="757">
        <f>'27-Allocators'!G14</f>
        <v>6.1650013139118928E-2</v>
      </c>
      <c r="J38" s="758"/>
    </row>
    <row r="39" spans="1:11" ht="13.5" thickBot="1">
      <c r="A39" s="738">
        <f t="shared" si="0"/>
        <v>36</v>
      </c>
      <c r="C39" t="s">
        <v>2010</v>
      </c>
      <c r="E39" s="621" t="s">
        <v>2265</v>
      </c>
      <c r="F39" s="52"/>
      <c r="G39" s="759">
        <f>+G37*G38</f>
        <v>-599276.04247031652</v>
      </c>
      <c r="H39" s="760"/>
      <c r="I39" s="759">
        <f>+I37*I38</f>
        <v>-580073.71467308293</v>
      </c>
      <c r="J39" s="760"/>
      <c r="K39" s="761">
        <f>(G39+I39)/2</f>
        <v>-589674.87857169972</v>
      </c>
    </row>
    <row r="40" spans="1:11" ht="13.5" thickTop="1">
      <c r="H40" s="560"/>
      <c r="J40" s="560"/>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&amp;RExhibit SCE-4
TO2018 Formula Rate Spreadsheet</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B1" sqref="B1"/>
    </sheetView>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1078</v>
      </c>
    </row>
    <row r="2" spans="1:6">
      <c r="A2" s="1"/>
    </row>
    <row r="3" spans="1:6">
      <c r="B3" s="12" t="s">
        <v>411</v>
      </c>
    </row>
    <row r="4" spans="1:6">
      <c r="A4" s="1"/>
      <c r="B4" s="13" t="s">
        <v>343</v>
      </c>
    </row>
    <row r="5" spans="1:6">
      <c r="A5" s="1"/>
      <c r="B5" s="13" t="s">
        <v>344</v>
      </c>
    </row>
    <row r="7" spans="1:6">
      <c r="B7" s="1" t="s">
        <v>1008</v>
      </c>
    </row>
    <row r="8" spans="1:6">
      <c r="E8" s="16"/>
    </row>
    <row r="9" spans="1:6">
      <c r="A9" s="51" t="s">
        <v>332</v>
      </c>
      <c r="B9" s="70" t="s">
        <v>1077</v>
      </c>
    </row>
    <row r="10" spans="1:6">
      <c r="A10" s="2">
        <v>1</v>
      </c>
    </row>
    <row r="11" spans="1:6">
      <c r="A11" s="2">
        <f>A10+1</f>
        <v>2</v>
      </c>
      <c r="B11" s="381" t="s">
        <v>1448</v>
      </c>
      <c r="C11" s="14"/>
      <c r="D11" s="14"/>
      <c r="E11" s="14"/>
      <c r="F11" s="14"/>
    </row>
    <row r="12" spans="1:6">
      <c r="A12" s="2">
        <f t="shared" ref="A12:A87" si="0">A11+1</f>
        <v>3</v>
      </c>
      <c r="B12" s="381" t="s">
        <v>1054</v>
      </c>
      <c r="C12" s="14"/>
      <c r="D12" s="14"/>
      <c r="E12" s="14"/>
      <c r="F12" s="14"/>
    </row>
    <row r="13" spans="1:6">
      <c r="A13" s="2">
        <f t="shared" si="0"/>
        <v>4</v>
      </c>
      <c r="B13" s="381"/>
      <c r="C13" s="14"/>
      <c r="D13" s="14"/>
      <c r="E13" s="14"/>
      <c r="F13" s="14"/>
    </row>
    <row r="14" spans="1:6">
      <c r="A14" s="2">
        <f t="shared" si="0"/>
        <v>5</v>
      </c>
      <c r="B14" s="972" t="s">
        <v>2223</v>
      </c>
      <c r="C14" s="14"/>
      <c r="D14" s="14"/>
      <c r="E14" s="14"/>
      <c r="F14" s="14"/>
    </row>
    <row r="15" spans="1:6">
      <c r="A15" s="2">
        <f t="shared" si="0"/>
        <v>6</v>
      </c>
      <c r="B15" s="382"/>
      <c r="C15" s="14"/>
      <c r="D15" s="14"/>
      <c r="E15" s="14"/>
      <c r="F15" s="14"/>
    </row>
    <row r="16" spans="1:6">
      <c r="A16" s="2">
        <f t="shared" si="0"/>
        <v>7</v>
      </c>
      <c r="B16" s="381" t="s">
        <v>368</v>
      </c>
      <c r="C16" s="14"/>
      <c r="D16" s="14"/>
      <c r="E16" s="14"/>
      <c r="F16" s="379"/>
    </row>
    <row r="17" spans="1:6">
      <c r="A17" s="2">
        <f t="shared" si="0"/>
        <v>8</v>
      </c>
      <c r="B17" s="383" t="s">
        <v>1050</v>
      </c>
      <c r="C17" s="14"/>
      <c r="D17" s="14"/>
      <c r="E17" s="14"/>
      <c r="F17" s="67"/>
    </row>
    <row r="18" spans="1:6">
      <c r="A18" s="2">
        <f t="shared" si="0"/>
        <v>9</v>
      </c>
      <c r="B18" s="383" t="s">
        <v>1051</v>
      </c>
      <c r="C18" s="14"/>
      <c r="D18" s="14"/>
      <c r="E18" s="14"/>
      <c r="F18" s="67"/>
    </row>
    <row r="19" spans="1:6">
      <c r="A19" s="2">
        <f t="shared" si="0"/>
        <v>10</v>
      </c>
      <c r="B19" s="383" t="s">
        <v>218</v>
      </c>
      <c r="C19" s="14"/>
      <c r="D19" s="14"/>
      <c r="E19" s="368"/>
      <c r="F19" s="63"/>
    </row>
    <row r="20" spans="1:6">
      <c r="A20" s="2">
        <f t="shared" si="0"/>
        <v>11</v>
      </c>
      <c r="B20" s="44"/>
      <c r="C20" s="14"/>
      <c r="D20" s="368"/>
      <c r="E20" s="125" t="s">
        <v>205</v>
      </c>
      <c r="F20" s="14"/>
    </row>
    <row r="21" spans="1:6">
      <c r="A21" s="2">
        <f t="shared" si="0"/>
        <v>12</v>
      </c>
      <c r="C21" s="368" t="s">
        <v>1087</v>
      </c>
      <c r="D21" s="380">
        <f>'1-BaseTRR'!K88</f>
        <v>1.9993882216272896E-2</v>
      </c>
      <c r="E21" s="46" t="str">
        <f>"1-BaseTRR, Line "&amp;'1-BaseTRR'!A88&amp;""</f>
        <v>1-BaseTRR, Line 51</v>
      </c>
      <c r="F21" s="14"/>
    </row>
    <row r="22" spans="1:6">
      <c r="A22" s="2">
        <f t="shared" si="0"/>
        <v>13</v>
      </c>
      <c r="C22" s="368" t="s">
        <v>1088</v>
      </c>
      <c r="D22" s="380">
        <f>'1-BaseTRR'!K93</f>
        <v>5.9926450947462254E-2</v>
      </c>
      <c r="E22" s="46" t="str">
        <f>"1-BaseTRR, Line "&amp;'1-BaseTRR'!A93&amp;""</f>
        <v>1-BaseTRR, Line 55</v>
      </c>
      <c r="F22" s="14"/>
    </row>
    <row r="23" spans="1:6">
      <c r="A23" s="2">
        <f t="shared" si="0"/>
        <v>14</v>
      </c>
      <c r="C23" s="368" t="s">
        <v>1053</v>
      </c>
      <c r="D23" s="380">
        <f>'1-BaseTRR'!K102</f>
        <v>0.40745999999999999</v>
      </c>
      <c r="E23" s="46" t="str">
        <f>"1-BaseTRR, Line "&amp;'1-BaseTRR'!A102&amp;""</f>
        <v>1-BaseTRR, Line 59</v>
      </c>
      <c r="F23" s="14"/>
    </row>
    <row r="24" spans="1:6">
      <c r="A24" s="2">
        <f t="shared" si="0"/>
        <v>15</v>
      </c>
      <c r="B24" s="15"/>
      <c r="C24" s="14"/>
      <c r="D24" s="380"/>
      <c r="E24" s="46"/>
      <c r="F24" s="14"/>
    </row>
    <row r="25" spans="1:6">
      <c r="A25" s="2">
        <f t="shared" si="0"/>
        <v>16</v>
      </c>
      <c r="C25" s="368" t="s">
        <v>1052</v>
      </c>
      <c r="D25" s="380">
        <f>D21 + (D22*(1/(1-D23)))</f>
        <v>0.12112874390909067</v>
      </c>
      <c r="E25" s="46" t="str">
        <f>"Line "&amp;A21&amp;" + (Line "&amp;A22&amp;" * (1/(1 - Line "&amp;A23&amp;")))"</f>
        <v>Line 12 + (Line 13 * (1/(1 - Line 14)))</v>
      </c>
      <c r="F25" s="14"/>
    </row>
    <row r="26" spans="1:6">
      <c r="A26" s="2">
        <f t="shared" si="0"/>
        <v>17</v>
      </c>
      <c r="B26" s="15"/>
      <c r="C26" s="14"/>
      <c r="D26" s="368"/>
      <c r="E26" s="46"/>
      <c r="F26" s="14"/>
    </row>
    <row r="27" spans="1:6">
      <c r="A27" s="2">
        <f t="shared" si="0"/>
        <v>18</v>
      </c>
      <c r="B27" s="70" t="s">
        <v>1006</v>
      </c>
      <c r="C27" s="14"/>
      <c r="D27" s="368"/>
      <c r="E27" s="46"/>
      <c r="F27" s="14"/>
    </row>
    <row r="28" spans="1:6">
      <c r="A28" s="2">
        <f t="shared" si="0"/>
        <v>19</v>
      </c>
      <c r="B28" s="15"/>
      <c r="C28" s="14"/>
      <c r="D28" s="368"/>
      <c r="E28" s="46"/>
      <c r="F28" s="14"/>
    </row>
    <row r="29" spans="1:6">
      <c r="A29" s="2">
        <f t="shared" si="0"/>
        <v>20</v>
      </c>
      <c r="B29" s="381" t="s">
        <v>1089</v>
      </c>
      <c r="C29" s="14"/>
      <c r="D29" s="368"/>
      <c r="E29" s="46"/>
      <c r="F29" s="14"/>
    </row>
    <row r="30" spans="1:6">
      <c r="A30" s="2">
        <f t="shared" si="0"/>
        <v>21</v>
      </c>
      <c r="B30" s="381" t="s">
        <v>1090</v>
      </c>
      <c r="C30" s="14"/>
      <c r="D30" s="368"/>
      <c r="E30" s="46"/>
      <c r="F30" s="14"/>
    </row>
    <row r="31" spans="1:6">
      <c r="A31" s="2">
        <f t="shared" si="0"/>
        <v>22</v>
      </c>
      <c r="C31" s="14"/>
      <c r="D31" s="368"/>
      <c r="E31" s="46"/>
      <c r="F31" s="14"/>
    </row>
    <row r="32" spans="1:6">
      <c r="A32" s="2">
        <f t="shared" si="0"/>
        <v>23</v>
      </c>
      <c r="B32" s="383" t="s">
        <v>1055</v>
      </c>
      <c r="C32" s="14"/>
      <c r="D32" s="368"/>
      <c r="E32" s="46"/>
      <c r="F32" s="14"/>
    </row>
    <row r="33" spans="1:11">
      <c r="A33" s="2">
        <f t="shared" si="0"/>
        <v>24</v>
      </c>
      <c r="F33" s="14"/>
    </row>
    <row r="34" spans="1:11">
      <c r="A34" s="2">
        <f t="shared" si="0"/>
        <v>25</v>
      </c>
      <c r="B34" s="70" t="s">
        <v>1076</v>
      </c>
      <c r="F34" s="14"/>
    </row>
    <row r="35" spans="1:11">
      <c r="A35" s="2">
        <f t="shared" si="0"/>
        <v>26</v>
      </c>
      <c r="B35" s="12"/>
      <c r="E35" s="3" t="s">
        <v>205</v>
      </c>
      <c r="F35" s="14"/>
    </row>
    <row r="36" spans="1:11">
      <c r="A36" s="2">
        <f t="shared" si="0"/>
        <v>27</v>
      </c>
      <c r="C36" s="94" t="s">
        <v>1061</v>
      </c>
      <c r="D36" s="101">
        <f>'6-PlantInService'!M23</f>
        <v>8276570295.1064177</v>
      </c>
      <c r="E36" s="46" t="str">
        <f>"6-PlantInService, Line "&amp;'6-PlantInService'!A23&amp;""</f>
        <v>6-PlantInService, Line 13</v>
      </c>
      <c r="F36" s="14"/>
      <c r="G36" s="14"/>
    </row>
    <row r="37" spans="1:11">
      <c r="A37" s="2">
        <f t="shared" si="0"/>
        <v>28</v>
      </c>
      <c r="C37" s="94" t="s">
        <v>1062</v>
      </c>
      <c r="D37" s="101">
        <f>'6-PlantInService'!F35</f>
        <v>0</v>
      </c>
      <c r="E37" s="46" t="str">
        <f>"6-PlantInService, Line "&amp;'6-PlantInService'!A35&amp;""</f>
        <v>6-PlantInService, Line 16</v>
      </c>
      <c r="F37" s="14"/>
      <c r="G37" s="14"/>
    </row>
    <row r="38" spans="1:11">
      <c r="A38" s="2">
        <f t="shared" si="0"/>
        <v>29</v>
      </c>
      <c r="C38" s="94" t="s">
        <v>1074</v>
      </c>
      <c r="D38" s="101">
        <f>'8-AccDep'!N24</f>
        <v>1467790558.0019572</v>
      </c>
      <c r="E38" s="46" t="str">
        <f>"8-AccDep, Line "&amp;'8-AccDep'!A24&amp;""</f>
        <v>8-AccDep, Line 13</v>
      </c>
      <c r="F38" s="14"/>
      <c r="G38" s="14"/>
    </row>
    <row r="39" spans="1:11">
      <c r="A39" s="2">
        <f t="shared" si="0"/>
        <v>30</v>
      </c>
      <c r="C39" s="94" t="s">
        <v>1075</v>
      </c>
      <c r="D39" s="91">
        <f>'8-AccDep'!G34</f>
        <v>0</v>
      </c>
      <c r="E39" s="46" t="str">
        <f>"8-AccDep, Line "&amp;'8-AccDep'!A34&amp;""</f>
        <v>8-AccDep, Line 16</v>
      </c>
      <c r="F39" s="14"/>
      <c r="G39" s="14"/>
    </row>
    <row r="40" spans="1:11">
      <c r="A40" s="2">
        <f t="shared" si="0"/>
        <v>31</v>
      </c>
      <c r="C40" s="94" t="s">
        <v>1007</v>
      </c>
      <c r="D40" s="7">
        <f>(D36+D37)-(D38+D39)</f>
        <v>6808779737.1044607</v>
      </c>
      <c r="E40" s="46" t="str">
        <f>"(L"&amp;A36&amp;" + L"&amp;A37&amp;") - (L"&amp;A38&amp;" + L"&amp;A39&amp;")"</f>
        <v>(L27 + L28) - (L29 + L30)</v>
      </c>
      <c r="F40" s="14"/>
      <c r="G40" s="14"/>
    </row>
    <row r="41" spans="1:11">
      <c r="A41" s="2">
        <f t="shared" si="0"/>
        <v>32</v>
      </c>
      <c r="C41" s="94"/>
      <c r="D41" s="7"/>
      <c r="E41" s="46"/>
      <c r="F41" s="14"/>
      <c r="G41" s="14"/>
    </row>
    <row r="42" spans="1:11">
      <c r="A42" s="2">
        <f t="shared" si="0"/>
        <v>33</v>
      </c>
      <c r="B42" s="70" t="s">
        <v>1429</v>
      </c>
      <c r="E42" s="14"/>
      <c r="F42" s="14"/>
      <c r="G42" s="14"/>
    </row>
    <row r="43" spans="1:11">
      <c r="A43" s="493">
        <f t="shared" si="0"/>
        <v>34</v>
      </c>
      <c r="B43" s="70"/>
      <c r="E43" s="14"/>
      <c r="F43" s="14"/>
      <c r="G43" s="14"/>
    </row>
    <row r="44" spans="1:11">
      <c r="A44" s="493">
        <f t="shared" si="0"/>
        <v>35</v>
      </c>
      <c r="B44" s="70" t="s">
        <v>1430</v>
      </c>
      <c r="E44" s="14"/>
      <c r="F44" s="14"/>
      <c r="G44" s="14"/>
    </row>
    <row r="45" spans="1:11">
      <c r="A45" s="493">
        <f t="shared" si="0"/>
        <v>36</v>
      </c>
      <c r="B45" s="55" t="s">
        <v>1431</v>
      </c>
      <c r="E45" s="14"/>
      <c r="F45" s="14"/>
      <c r="G45" s="14"/>
    </row>
    <row r="46" spans="1:11">
      <c r="A46" s="493">
        <f t="shared" si="0"/>
        <v>37</v>
      </c>
      <c r="B46" s="70"/>
      <c r="C46" s="94" t="s">
        <v>1449</v>
      </c>
      <c r="D46" s="101">
        <f>'10-CWIP'!D25</f>
        <v>115749706.3</v>
      </c>
      <c r="E46" s="46" t="str">
        <f>"10-CWIP, L "&amp;'10-CWIP'!A25&amp;" C1"</f>
        <v>10-CWIP, L 13 C1</v>
      </c>
      <c r="F46" s="14"/>
      <c r="G46" s="14"/>
      <c r="K46" s="7"/>
    </row>
    <row r="47" spans="1:11">
      <c r="A47" s="493">
        <f t="shared" si="0"/>
        <v>38</v>
      </c>
      <c r="B47" s="70"/>
      <c r="C47" s="94" t="s">
        <v>356</v>
      </c>
      <c r="D47" s="126">
        <f>D25</f>
        <v>0.12112874390909067</v>
      </c>
      <c r="E47" s="46" t="str">
        <f>"Line "&amp;A25&amp;""</f>
        <v>Line 16</v>
      </c>
      <c r="F47" s="14"/>
      <c r="G47" s="14"/>
      <c r="K47" s="7"/>
    </row>
    <row r="48" spans="1:11">
      <c r="A48" s="493">
        <f t="shared" si="0"/>
        <v>39</v>
      </c>
      <c r="B48" s="70"/>
      <c r="C48" s="94" t="s">
        <v>1424</v>
      </c>
      <c r="D48" s="101">
        <f>D46*D47</f>
        <v>14020616.531965159</v>
      </c>
      <c r="E48" s="46" t="str">
        <f>"Line "&amp;A46&amp;" * Line "&amp;A47&amp;""</f>
        <v>Line 37 * Line 38</v>
      </c>
      <c r="F48" s="14"/>
      <c r="G48" s="14"/>
      <c r="K48" s="7"/>
    </row>
    <row r="49" spans="1:11">
      <c r="A49" s="493">
        <f t="shared" si="0"/>
        <v>40</v>
      </c>
      <c r="B49" s="70"/>
      <c r="C49" s="94"/>
      <c r="D49" s="101"/>
      <c r="E49" s="46"/>
      <c r="F49" s="14"/>
      <c r="G49" s="14"/>
      <c r="K49" s="7"/>
    </row>
    <row r="50" spans="1:11">
      <c r="A50" s="493">
        <f t="shared" si="0"/>
        <v>41</v>
      </c>
      <c r="B50" s="55" t="s">
        <v>1432</v>
      </c>
      <c r="E50" s="14"/>
      <c r="F50" s="14"/>
      <c r="G50" s="14"/>
      <c r="K50" s="7"/>
    </row>
    <row r="51" spans="1:11">
      <c r="A51" s="493">
        <f t="shared" si="0"/>
        <v>42</v>
      </c>
      <c r="B51" s="70"/>
      <c r="C51" s="94" t="s">
        <v>1438</v>
      </c>
      <c r="D51" s="101">
        <f>'15-IncentiveAdder'!G17</f>
        <v>8538.3455370053107</v>
      </c>
      <c r="E51" s="114" t="str">
        <f>"15-IncentiveAdder, Line "&amp;'15-IncentiveAdder'!A17&amp;""</f>
        <v>15-IncentiveAdder, Line 3</v>
      </c>
      <c r="F51" s="14"/>
      <c r="G51" s="14"/>
      <c r="K51" s="7"/>
    </row>
    <row r="52" spans="1:11">
      <c r="A52" s="493">
        <f t="shared" si="0"/>
        <v>43</v>
      </c>
      <c r="B52" s="70"/>
      <c r="C52" s="94"/>
      <c r="E52" s="14"/>
      <c r="F52" s="14"/>
      <c r="G52" s="14"/>
      <c r="K52" s="7"/>
    </row>
    <row r="53" spans="1:11">
      <c r="A53" s="493">
        <f t="shared" si="0"/>
        <v>44</v>
      </c>
      <c r="B53" s="70"/>
      <c r="C53" s="94" t="s">
        <v>1411</v>
      </c>
      <c r="D53" s="7">
        <f>'10-CWIP'!E25</f>
        <v>14915547.51</v>
      </c>
      <c r="E53" s="46" t="str">
        <f>"10-CWIP, Line "&amp;'10-CWIP'!A25&amp;""</f>
        <v>10-CWIP, Line 13</v>
      </c>
      <c r="F53" s="15"/>
      <c r="G53" s="14"/>
      <c r="K53" s="7"/>
    </row>
    <row r="54" spans="1:11">
      <c r="A54" s="493">
        <f t="shared" si="0"/>
        <v>45</v>
      </c>
      <c r="B54" s="70"/>
      <c r="C54" s="94" t="s">
        <v>1435</v>
      </c>
      <c r="D54" s="42">
        <f>'15-IncentiveAdder'!E26</f>
        <v>1.2500000000000001E-2</v>
      </c>
      <c r="E54" s="114" t="str">
        <f>"15-IncentiveAdder, Line "&amp;'15-IncentiveAdder'!A26&amp;""</f>
        <v>15-IncentiveAdder, Line 5</v>
      </c>
      <c r="F54" s="15"/>
      <c r="G54" s="14"/>
      <c r="K54" s="7"/>
    </row>
    <row r="55" spans="1:11">
      <c r="A55" s="493">
        <f t="shared" si="0"/>
        <v>46</v>
      </c>
      <c r="B55" s="70"/>
      <c r="C55" s="94" t="s">
        <v>1434</v>
      </c>
      <c r="D55" s="7">
        <f>(D53/1000000)*($D$51*(D54/0.01))</f>
        <v>159192.62314249898</v>
      </c>
      <c r="E55" s="502" t="str">
        <f>"Formula on Line "&amp;A61&amp;""</f>
        <v>Formula on Line 52</v>
      </c>
      <c r="F55" s="14"/>
      <c r="G55" s="14"/>
      <c r="K55" s="7"/>
    </row>
    <row r="56" spans="1:11">
      <c r="A56" s="493">
        <f t="shared" si="0"/>
        <v>47</v>
      </c>
      <c r="B56" s="70"/>
      <c r="C56" s="94"/>
      <c r="E56" s="63"/>
      <c r="F56" s="14"/>
      <c r="G56" s="14"/>
      <c r="K56" s="7"/>
    </row>
    <row r="57" spans="1:11">
      <c r="A57" s="493">
        <f t="shared" si="0"/>
        <v>48</v>
      </c>
      <c r="C57" s="94" t="s">
        <v>1433</v>
      </c>
      <c r="D57" s="7">
        <f>'10-CWIP'!F25</f>
        <v>0</v>
      </c>
      <c r="E57" s="46" t="str">
        <f>"10-CWIP, Line "&amp;'10-CWIP'!A25&amp;""</f>
        <v>10-CWIP, Line 13</v>
      </c>
      <c r="F57" s="14"/>
      <c r="G57" s="14"/>
      <c r="K57" s="7"/>
    </row>
    <row r="58" spans="1:11">
      <c r="A58" s="493">
        <f t="shared" si="0"/>
        <v>49</v>
      </c>
      <c r="C58" s="94" t="s">
        <v>1436</v>
      </c>
      <c r="D58" s="42">
        <f>'15-IncentiveAdder'!E27</f>
        <v>0.01</v>
      </c>
      <c r="E58" s="114" t="str">
        <f>"15-IncentiveAdder, Line "&amp;'15-IncentiveAdder'!A27&amp;""</f>
        <v>15-IncentiveAdder, Line 6</v>
      </c>
      <c r="F58" s="14"/>
      <c r="G58" s="14"/>
      <c r="K58" s="7"/>
    </row>
    <row r="59" spans="1:11">
      <c r="A59" s="493">
        <f t="shared" si="0"/>
        <v>50</v>
      </c>
      <c r="C59" s="94" t="s">
        <v>1437</v>
      </c>
      <c r="D59" s="7">
        <f>(D57/1000000)*($D$51*(D58/0.01))</f>
        <v>0</v>
      </c>
      <c r="E59" s="46" t="str">
        <f>"Formula on Line "&amp;A61&amp;""</f>
        <v>Formula on Line 52</v>
      </c>
      <c r="F59" s="14"/>
      <c r="G59" s="14"/>
      <c r="K59" s="7"/>
    </row>
    <row r="60" spans="1:11">
      <c r="A60" s="493">
        <f t="shared" si="0"/>
        <v>51</v>
      </c>
      <c r="C60" s="94"/>
      <c r="D60" s="7"/>
      <c r="E60" s="46"/>
      <c r="F60" s="14"/>
      <c r="G60" s="14"/>
      <c r="K60" s="7"/>
    </row>
    <row r="61" spans="1:11">
      <c r="A61" s="493">
        <f t="shared" si="0"/>
        <v>52</v>
      </c>
      <c r="C61" s="50" t="s">
        <v>1413</v>
      </c>
      <c r="D61" s="7"/>
      <c r="E61" s="46"/>
      <c r="F61" s="14"/>
      <c r="G61" s="14"/>
      <c r="K61" s="7"/>
    </row>
    <row r="62" spans="1:11">
      <c r="A62" s="493">
        <f t="shared" si="0"/>
        <v>53</v>
      </c>
      <c r="E62" s="14"/>
      <c r="F62" s="14"/>
      <c r="G62" s="14"/>
      <c r="K62" s="7"/>
    </row>
    <row r="63" spans="1:11">
      <c r="A63" s="493">
        <f t="shared" si="0"/>
        <v>54</v>
      </c>
      <c r="C63" s="501" t="s">
        <v>1468</v>
      </c>
      <c r="D63" s="101">
        <f>D48+D55+D59</f>
        <v>14179809.155107658</v>
      </c>
      <c r="E63" s="46" t="str">
        <f>"Line "&amp;A48&amp;" + Line "&amp;A55&amp;" + Line "&amp;A59&amp;""</f>
        <v>Line 39 + Line 46 + Line 50</v>
      </c>
      <c r="F63" s="14"/>
      <c r="G63" s="14"/>
      <c r="K63" s="7"/>
    </row>
    <row r="64" spans="1:11">
      <c r="A64" s="500">
        <f t="shared" si="0"/>
        <v>55</v>
      </c>
      <c r="C64" s="501" t="s">
        <v>1467</v>
      </c>
      <c r="D64" s="91">
        <f>('28-FFU'!D22+'28-FFU'!E22)*D63</f>
        <v>164674.37766101176</v>
      </c>
      <c r="E64" s="502" t="str">
        <f>"(28-FFU, L"&amp;'28-FFU'!A22&amp;" FF Factor + U Factor) * L"&amp;A63&amp;""</f>
        <v>(28-FFU, L5 FF Factor + U Factor) * L54</v>
      </c>
      <c r="F64" s="14"/>
      <c r="G64" s="14"/>
      <c r="K64" s="7"/>
    </row>
    <row r="65" spans="1:11">
      <c r="A65" s="500">
        <f t="shared" si="0"/>
        <v>56</v>
      </c>
      <c r="C65" s="501" t="s">
        <v>1469</v>
      </c>
      <c r="D65" s="101">
        <f>SUM(D63:D64)</f>
        <v>14344483.53276867</v>
      </c>
      <c r="E65" s="46" t="str">
        <f>"Line "&amp;A63&amp;" + Line "&amp;A64&amp;""</f>
        <v>Line 54 + Line 55</v>
      </c>
      <c r="F65" s="14"/>
      <c r="K65" s="7"/>
    </row>
    <row r="66" spans="1:11">
      <c r="A66" s="500">
        <f t="shared" si="0"/>
        <v>57</v>
      </c>
      <c r="C66" s="94"/>
      <c r="D66" s="101"/>
      <c r="E66" s="46"/>
      <c r="F66" s="14"/>
      <c r="K66" s="7"/>
    </row>
    <row r="67" spans="1:11">
      <c r="A67" s="500">
        <f t="shared" si="0"/>
        <v>58</v>
      </c>
      <c r="B67" s="70" t="s">
        <v>1439</v>
      </c>
      <c r="C67" s="94"/>
      <c r="D67" s="101"/>
      <c r="E67" s="46"/>
      <c r="F67" s="14"/>
      <c r="K67" s="7"/>
    </row>
    <row r="68" spans="1:11">
      <c r="A68" s="500">
        <f t="shared" si="0"/>
        <v>59</v>
      </c>
      <c r="F68" s="14"/>
      <c r="K68" s="7"/>
    </row>
    <row r="69" spans="1:11">
      <c r="A69" s="111">
        <f t="shared" si="0"/>
        <v>60</v>
      </c>
      <c r="B69" s="14"/>
      <c r="C69" s="969" t="s">
        <v>1468</v>
      </c>
      <c r="D69" s="47">
        <f>D63</f>
        <v>14179809.155107658</v>
      </c>
      <c r="E69" s="46" t="str">
        <f>"Line "&amp;A63&amp;""</f>
        <v>Line 54</v>
      </c>
      <c r="F69" s="14"/>
      <c r="K69" s="7"/>
    </row>
    <row r="70" spans="1:11">
      <c r="A70" s="111">
        <f t="shared" si="0"/>
        <v>61</v>
      </c>
      <c r="B70" s="14"/>
      <c r="C70" s="969" t="s">
        <v>1737</v>
      </c>
      <c r="D70" s="47">
        <f>'1-BaseTRR'!K136</f>
        <v>1086975713.7847991</v>
      </c>
      <c r="E70" s="46" t="str">
        <f>"1-BaseTRR, Line "&amp;'1-BaseTRR'!A136&amp;""</f>
        <v>1-BaseTRR, Line 78</v>
      </c>
      <c r="F70" s="14"/>
      <c r="K70" s="7"/>
    </row>
    <row r="71" spans="1:11">
      <c r="A71" s="111">
        <f t="shared" si="0"/>
        <v>62</v>
      </c>
      <c r="B71" s="14"/>
      <c r="C71" s="368" t="s">
        <v>1450</v>
      </c>
      <c r="D71" s="47">
        <f>D70-D69</f>
        <v>1072795904.6296915</v>
      </c>
      <c r="E71" s="46" t="str">
        <f>"Line "&amp;A70&amp;" - Line "&amp;A69&amp;""</f>
        <v>Line 61 - Line 60</v>
      </c>
      <c r="F71" s="14"/>
      <c r="K71" s="7"/>
    </row>
    <row r="72" spans="1:11">
      <c r="A72" s="111">
        <f t="shared" si="0"/>
        <v>63</v>
      </c>
      <c r="B72" s="14"/>
      <c r="C72" s="970" t="s">
        <v>1852</v>
      </c>
      <c r="D72" s="63">
        <f>('1-BaseTRR'!K124+'1-BaseTRR'!K125)*0.75</f>
        <v>100107733.08633314</v>
      </c>
      <c r="E72" s="46" t="str">
        <f>"(1-BaseTRR, Line "&amp;'1-BaseTRR'!A124&amp;" + Line "&amp;'1-BaseTRR'!A125&amp;") * .75"</f>
        <v>(1-BaseTRR, Line 66 + Line 67) * .75</v>
      </c>
      <c r="F72" s="14"/>
      <c r="K72" s="7"/>
    </row>
    <row r="73" spans="1:11">
      <c r="A73" s="111">
        <f t="shared" si="0"/>
        <v>64</v>
      </c>
      <c r="B73" s="14"/>
      <c r="C73" s="368" t="s">
        <v>273</v>
      </c>
      <c r="D73" s="967">
        <f xml:space="preserve"> (D71-D72)/D40</f>
        <v>0.14285792889476095</v>
      </c>
      <c r="E73" s="46" t="str">
        <f>"(Line "&amp;A71&amp;" - Line "&amp;A72&amp;") / Line "&amp;A40&amp;""</f>
        <v>(Line 62 - Line 63) / Line 31</v>
      </c>
      <c r="F73" s="14"/>
      <c r="K73" s="7"/>
    </row>
    <row r="74" spans="1:11">
      <c r="A74" s="111">
        <f t="shared" si="0"/>
        <v>65</v>
      </c>
      <c r="B74" s="14"/>
      <c r="C74" s="14"/>
      <c r="D74" s="63"/>
      <c r="E74" s="46"/>
      <c r="F74" s="14"/>
    </row>
    <row r="75" spans="1:11">
      <c r="A75" s="111">
        <f t="shared" si="0"/>
        <v>66</v>
      </c>
      <c r="B75" s="44" t="s">
        <v>354</v>
      </c>
      <c r="C75" s="14"/>
      <c r="D75" s="14"/>
      <c r="E75" s="14"/>
      <c r="F75" s="14"/>
    </row>
    <row r="76" spans="1:11">
      <c r="A76" s="111">
        <f t="shared" si="0"/>
        <v>67</v>
      </c>
      <c r="B76" s="14"/>
      <c r="C76" s="14"/>
      <c r="D76" s="14"/>
      <c r="E76" s="14"/>
      <c r="F76" s="14"/>
    </row>
    <row r="77" spans="1:11">
      <c r="A77" s="111">
        <f t="shared" si="0"/>
        <v>68</v>
      </c>
      <c r="B77" s="14"/>
      <c r="C77" s="14"/>
      <c r="D77" s="14"/>
      <c r="E77" s="125" t="s">
        <v>205</v>
      </c>
      <c r="F77" s="14"/>
      <c r="I77" s="1"/>
    </row>
    <row r="78" spans="1:11">
      <c r="A78" s="111">
        <f t="shared" si="0"/>
        <v>69</v>
      </c>
      <c r="B78" s="14"/>
      <c r="C78" s="368" t="s">
        <v>272</v>
      </c>
      <c r="D78" s="63">
        <f>'16-PlantAdditions'!N37</f>
        <v>658584612.91659606</v>
      </c>
      <c r="E78" s="46" t="str">
        <f>"16-PlantAdditions, L "&amp;'16-PlantAdditions'!A37&amp;", C10"</f>
        <v>16-PlantAdditions, L 25, C10</v>
      </c>
      <c r="F78" s="14"/>
      <c r="K78" s="7"/>
    </row>
    <row r="79" spans="1:11">
      <c r="A79" s="111">
        <f t="shared" si="0"/>
        <v>70</v>
      </c>
      <c r="B79" s="14"/>
      <c r="C79" s="368" t="s">
        <v>273</v>
      </c>
      <c r="D79" s="971">
        <f>D73</f>
        <v>0.14285792889476095</v>
      </c>
      <c r="E79" s="46" t="str">
        <f>"Line "&amp;A73&amp;""</f>
        <v>Line 64</v>
      </c>
      <c r="F79" s="14"/>
      <c r="K79" s="733"/>
    </row>
    <row r="80" spans="1:11">
      <c r="A80" s="111">
        <f t="shared" si="0"/>
        <v>71</v>
      </c>
      <c r="B80" s="14"/>
      <c r="C80" s="368" t="s">
        <v>355</v>
      </c>
      <c r="D80" s="63">
        <f>D78*D79</f>
        <v>94084033.803222746</v>
      </c>
      <c r="E80" s="46" t="str">
        <f>"Line "&amp;A78&amp;" * Line "&amp;A79&amp;""</f>
        <v>Line 69 * Line 70</v>
      </c>
      <c r="F80" s="14"/>
      <c r="K80" s="7"/>
    </row>
    <row r="81" spans="1:11">
      <c r="A81" s="111">
        <f t="shared" si="0"/>
        <v>72</v>
      </c>
      <c r="B81" s="14"/>
      <c r="C81" s="14"/>
      <c r="D81" s="14"/>
      <c r="E81" s="14"/>
      <c r="F81" s="14"/>
      <c r="K81" s="7"/>
    </row>
    <row r="82" spans="1:11">
      <c r="A82" s="111">
        <f t="shared" si="0"/>
        <v>73</v>
      </c>
      <c r="B82" s="14"/>
      <c r="C82" s="368" t="s">
        <v>358</v>
      </c>
      <c r="D82" s="63">
        <f>'10-CWIP'!K79</f>
        <v>115461165.03224996</v>
      </c>
      <c r="E82" s="46" t="str">
        <f>"10-CWIP, L "&amp;'10-CWIP'!A79&amp;", C8"</f>
        <v>10-CWIP, L 54, C8</v>
      </c>
      <c r="F82" s="14"/>
      <c r="K82" s="7"/>
    </row>
    <row r="83" spans="1:11">
      <c r="A83" s="111">
        <f t="shared" si="0"/>
        <v>74</v>
      </c>
      <c r="B83" s="14"/>
      <c r="C83" s="368" t="s">
        <v>356</v>
      </c>
      <c r="D83" s="971">
        <f>D25</f>
        <v>0.12112874390909067</v>
      </c>
      <c r="E83" s="46" t="str">
        <f>"Line "&amp;A25&amp;""</f>
        <v>Line 16</v>
      </c>
      <c r="F83" s="14"/>
      <c r="K83" s="733"/>
    </row>
    <row r="84" spans="1:11">
      <c r="A84" s="111">
        <f t="shared" si="0"/>
        <v>75</v>
      </c>
      <c r="B84" s="14"/>
      <c r="C84" s="368" t="s">
        <v>357</v>
      </c>
      <c r="D84" s="63">
        <f>D82*D83</f>
        <v>13985665.89063666</v>
      </c>
      <c r="E84" s="46" t="str">
        <f>"Line "&amp;A82&amp;" * Line "&amp;A83&amp;""</f>
        <v>Line 73 * Line 74</v>
      </c>
      <c r="F84" s="14"/>
      <c r="K84" s="7"/>
    </row>
    <row r="85" spans="1:11">
      <c r="A85" s="111">
        <f t="shared" si="0"/>
        <v>76</v>
      </c>
      <c r="B85" s="14"/>
      <c r="C85" s="14"/>
      <c r="D85" s="14"/>
      <c r="E85" s="14"/>
      <c r="F85" s="14"/>
      <c r="K85" s="7"/>
    </row>
    <row r="86" spans="1:11">
      <c r="A86" s="111">
        <f t="shared" si="0"/>
        <v>77</v>
      </c>
      <c r="B86" s="14"/>
      <c r="C86" s="368" t="s">
        <v>1455</v>
      </c>
      <c r="D86" s="63">
        <f>D80+D84</f>
        <v>108069699.6938594</v>
      </c>
      <c r="E86" s="46" t="str">
        <f>"Line "&amp;A80&amp;" + Line "&amp;A84&amp;""</f>
        <v>Line 71 + Line 75</v>
      </c>
      <c r="F86" s="14"/>
      <c r="K86" s="7"/>
    </row>
    <row r="87" spans="1:11">
      <c r="A87" s="111">
        <f t="shared" si="0"/>
        <v>78</v>
      </c>
      <c r="B87" s="14"/>
      <c r="C87" s="14"/>
      <c r="D87" s="14"/>
      <c r="E87" s="14"/>
      <c r="F87" s="14"/>
      <c r="K87" s="7"/>
    </row>
    <row r="88" spans="1:11">
      <c r="A88" s="111">
        <f t="shared" ref="A88:A91" si="1">A87+1</f>
        <v>79</v>
      </c>
      <c r="B88" s="14"/>
      <c r="C88" s="368" t="s">
        <v>1456</v>
      </c>
      <c r="D88" s="63">
        <f>'28-FFU'!D22*D86</f>
        <v>994857.23447176151</v>
      </c>
      <c r="E88" s="114" t="str">
        <f>"Line "&amp;A86&amp;" * FF (from 28-FFU, L "&amp;'28-FFU'!A22&amp;")"</f>
        <v>Line 77 * FF (from 28-FFU, L 5)</v>
      </c>
      <c r="F88" s="14"/>
      <c r="K88" s="7"/>
    </row>
    <row r="89" spans="1:11">
      <c r="A89" s="111">
        <f t="shared" si="1"/>
        <v>80</v>
      </c>
      <c r="B89" s="14"/>
      <c r="C89" s="79" t="s">
        <v>1457</v>
      </c>
      <c r="D89" s="63">
        <f>'28-FFU'!E22*D86</f>
        <v>260188.6089829359</v>
      </c>
      <c r="E89" s="114" t="str">
        <f>"Line "&amp;A86&amp;" * U (from 28-FFU, L "&amp;'28-FFU'!A22&amp;")"</f>
        <v>Line 77 * U (from 28-FFU, L 5)</v>
      </c>
      <c r="F89" s="14"/>
      <c r="K89" s="7"/>
    </row>
    <row r="90" spans="1:11">
      <c r="A90" s="111">
        <f t="shared" si="1"/>
        <v>81</v>
      </c>
      <c r="B90" s="14"/>
      <c r="C90" s="14"/>
      <c r="D90" s="63"/>
      <c r="E90" s="14"/>
      <c r="F90" s="14"/>
      <c r="K90" s="7"/>
    </row>
    <row r="91" spans="1:11">
      <c r="A91" s="111">
        <f t="shared" si="1"/>
        <v>82</v>
      </c>
      <c r="B91" s="14"/>
      <c r="C91" s="79" t="s">
        <v>359</v>
      </c>
      <c r="D91" s="63">
        <f>D86+D88+D89</f>
        <v>109324745.5373141</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&amp;RExhibit SCE-4
TO2018 Formula Rate Spreadsheet</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7"/>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1699</v>
      </c>
      <c r="B1" s="234"/>
      <c r="C1" s="234"/>
      <c r="D1" s="234"/>
      <c r="E1" s="234"/>
      <c r="F1" s="234"/>
      <c r="G1" s="234"/>
      <c r="H1" s="234"/>
      <c r="I1" s="234"/>
      <c r="J1" s="234"/>
      <c r="K1" s="234"/>
      <c r="L1" s="234"/>
    </row>
    <row r="2" spans="1:12">
      <c r="A2" s="234"/>
      <c r="B2" s="234"/>
      <c r="C2" s="234"/>
      <c r="D2" s="234"/>
      <c r="E2" s="234"/>
      <c r="F2" s="234"/>
      <c r="G2" s="234"/>
      <c r="H2" s="234"/>
      <c r="I2" s="234"/>
      <c r="J2" s="234"/>
      <c r="K2" s="234"/>
      <c r="L2" s="234"/>
    </row>
    <row r="3" spans="1:12">
      <c r="A3" s="234"/>
      <c r="B3" s="1" t="s">
        <v>496</v>
      </c>
      <c r="C3" s="234"/>
      <c r="D3" s="234"/>
      <c r="E3" s="234"/>
      <c r="F3" s="234"/>
      <c r="G3" s="234"/>
      <c r="H3" s="234"/>
      <c r="I3" s="234"/>
      <c r="J3" s="234"/>
      <c r="K3" s="234"/>
      <c r="L3" s="234"/>
    </row>
    <row r="4" spans="1:12">
      <c r="A4" s="234"/>
      <c r="B4" s="507" t="s">
        <v>2333</v>
      </c>
      <c r="C4" s="234"/>
      <c r="D4" s="234"/>
      <c r="E4" s="234"/>
      <c r="F4" s="234"/>
      <c r="G4" s="234"/>
      <c r="H4" s="234"/>
      <c r="I4" s="234"/>
      <c r="J4" s="234"/>
      <c r="K4" s="234"/>
      <c r="L4" s="234"/>
    </row>
    <row r="5" spans="1:12">
      <c r="A5" s="234"/>
      <c r="B5" s="13" t="s">
        <v>1502</v>
      </c>
      <c r="C5" s="234"/>
      <c r="D5" s="234"/>
      <c r="E5" s="234"/>
      <c r="F5" s="234"/>
      <c r="G5" s="234"/>
      <c r="H5" s="234"/>
      <c r="I5" s="234"/>
      <c r="J5" s="234"/>
      <c r="K5" s="234"/>
      <c r="L5" s="234"/>
    </row>
    <row r="6" spans="1:12">
      <c r="A6" s="234"/>
      <c r="B6" s="507" t="s">
        <v>1063</v>
      </c>
      <c r="C6" s="234"/>
      <c r="D6" s="234"/>
      <c r="E6" s="234"/>
      <c r="F6" s="234"/>
      <c r="G6" s="234"/>
      <c r="H6" s="234"/>
      <c r="I6" s="234"/>
      <c r="J6" s="234"/>
      <c r="K6" s="234"/>
      <c r="L6" s="234"/>
    </row>
    <row r="7" spans="1:12">
      <c r="A7" s="234"/>
      <c r="B7" s="507" t="str">
        <f>"d) Include previous Annual Update Cumulative Excess or Shortfall in Prior Year (from Previous Annual Update Line "&amp;A36&amp;")"</f>
        <v>d) Include previous Annual Update Cumulative Excess or Shortfall in Prior Year (from Previous Annual Update Line 23)</v>
      </c>
      <c r="C7" s="234"/>
      <c r="D7" s="234"/>
      <c r="E7" s="234"/>
      <c r="F7" s="234"/>
      <c r="G7" s="234"/>
      <c r="H7" s="234"/>
      <c r="I7" s="234"/>
      <c r="J7" s="234"/>
      <c r="K7" s="234"/>
      <c r="L7" s="234"/>
    </row>
    <row r="8" spans="1:12">
      <c r="A8" s="234"/>
      <c r="B8" s="1221" t="str">
        <f>"and any One-Time Adjustments in Column 4 (Lines "&amp;A24&amp;" and "&amp;A25&amp;" respectively)."</f>
        <v>and any One-Time Adjustments in Column 4 (Lines 11 and 12 respectively).</v>
      </c>
      <c r="C8" s="234"/>
      <c r="D8" s="234"/>
      <c r="E8" s="234"/>
      <c r="F8" s="234"/>
      <c r="G8" s="234"/>
      <c r="H8" s="234"/>
      <c r="I8" s="234"/>
      <c r="J8" s="234"/>
      <c r="K8" s="234"/>
      <c r="L8" s="234"/>
    </row>
    <row r="9" spans="1:12">
      <c r="A9" s="234"/>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4"/>
      <c r="D9" s="234"/>
      <c r="E9" s="234"/>
      <c r="F9" s="234"/>
      <c r="G9" s="234"/>
      <c r="H9" s="234"/>
      <c r="I9" s="234"/>
      <c r="J9" s="234"/>
      <c r="K9" s="234"/>
      <c r="L9" s="234"/>
    </row>
    <row r="10" spans="1:12">
      <c r="A10" s="234"/>
      <c r="B10" s="234"/>
      <c r="C10" s="234"/>
      <c r="D10" s="234"/>
      <c r="E10" s="234"/>
      <c r="F10" s="234"/>
      <c r="G10" s="234"/>
      <c r="H10" s="234"/>
      <c r="I10" s="234"/>
      <c r="J10" s="234"/>
      <c r="K10" s="234"/>
      <c r="L10" s="234"/>
    </row>
    <row r="11" spans="1:12">
      <c r="A11" s="2"/>
      <c r="B11" s="83" t="s">
        <v>1503</v>
      </c>
      <c r="C11" s="234"/>
      <c r="D11" s="235"/>
      <c r="E11" s="236"/>
      <c r="F11" s="234"/>
      <c r="G11" s="234"/>
      <c r="H11" s="234"/>
      <c r="I11" s="234"/>
      <c r="J11" s="234"/>
      <c r="K11" s="101"/>
      <c r="L11" s="234"/>
    </row>
    <row r="12" spans="1:12" s="14" customFormat="1">
      <c r="A12" s="111"/>
      <c r="B12" s="1044" t="s">
        <v>2334</v>
      </c>
      <c r="C12" s="243"/>
      <c r="D12" s="986"/>
      <c r="E12" s="238"/>
      <c r="F12" s="243"/>
      <c r="G12" s="243"/>
      <c r="H12" s="243"/>
      <c r="I12" s="243"/>
      <c r="J12" s="243"/>
      <c r="K12" s="243"/>
      <c r="L12" s="243"/>
    </row>
    <row r="13" spans="1:12">
      <c r="A13" s="53" t="s">
        <v>322</v>
      </c>
      <c r="B13" s="234"/>
      <c r="C13" s="83"/>
      <c r="D13" s="235"/>
      <c r="E13" s="236"/>
      <c r="F13" s="3"/>
      <c r="G13" s="234"/>
      <c r="H13" s="234"/>
      <c r="I13" s="234"/>
      <c r="J13" s="234"/>
      <c r="K13" s="234"/>
      <c r="L13" s="234"/>
    </row>
    <row r="14" spans="1:12">
      <c r="A14" s="2">
        <f>A7+1</f>
        <v>1</v>
      </c>
      <c r="B14" s="234"/>
      <c r="C14" s="234"/>
      <c r="D14" s="528" t="s">
        <v>1501</v>
      </c>
      <c r="E14" s="236">
        <f>'4-TUTRR'!E72</f>
        <v>1062934400.166449</v>
      </c>
      <c r="F14" s="529" t="s">
        <v>1802</v>
      </c>
      <c r="G14" s="243"/>
      <c r="H14" s="234" t="str">
        <f>"Line "&amp;'4-TUTRR'!A72&amp;""</f>
        <v>Line 46</v>
      </c>
      <c r="I14" s="234"/>
      <c r="J14" s="234"/>
      <c r="K14" s="234"/>
      <c r="L14" s="234"/>
    </row>
    <row r="15" spans="1:12">
      <c r="A15" s="2">
        <f>A14+1</f>
        <v>2</v>
      </c>
      <c r="B15" s="83"/>
      <c r="C15" s="234"/>
      <c r="D15" s="234"/>
      <c r="E15" s="234"/>
      <c r="F15" s="234"/>
      <c r="G15" s="234"/>
      <c r="H15" s="236"/>
      <c r="I15" s="234"/>
      <c r="J15" s="234"/>
      <c r="K15" s="234"/>
      <c r="L15" s="234"/>
    </row>
    <row r="16" spans="1:12">
      <c r="A16" s="2">
        <f t="shared" ref="A16:A50" si="0">A15+1</f>
        <v>3</v>
      </c>
      <c r="B16" s="234"/>
      <c r="C16" s="234"/>
      <c r="D16" s="84" t="s">
        <v>363</v>
      </c>
      <c r="E16" s="84" t="s">
        <v>347</v>
      </c>
      <c r="F16" s="84" t="s">
        <v>348</v>
      </c>
      <c r="G16" s="84" t="s">
        <v>349</v>
      </c>
      <c r="H16" s="84" t="s">
        <v>350</v>
      </c>
      <c r="I16" s="84" t="s">
        <v>351</v>
      </c>
      <c r="J16" s="84" t="s">
        <v>352</v>
      </c>
      <c r="K16" s="84" t="s">
        <v>544</v>
      </c>
      <c r="L16" s="84" t="s">
        <v>961</v>
      </c>
    </row>
    <row r="17" spans="1:12">
      <c r="A17" s="2">
        <f t="shared" si="0"/>
        <v>4</v>
      </c>
      <c r="B17" s="234"/>
      <c r="C17" s="235" t="s">
        <v>962</v>
      </c>
      <c r="D17" s="84"/>
      <c r="E17" s="87" t="s">
        <v>211</v>
      </c>
      <c r="F17" s="87" t="s">
        <v>284</v>
      </c>
      <c r="G17" s="87" t="s">
        <v>963</v>
      </c>
      <c r="H17" s="96" t="s">
        <v>533</v>
      </c>
      <c r="I17" s="87" t="s">
        <v>964</v>
      </c>
      <c r="J17" s="87" t="s">
        <v>531</v>
      </c>
      <c r="K17" s="87" t="s">
        <v>532</v>
      </c>
      <c r="L17" s="96" t="s">
        <v>965</v>
      </c>
    </row>
    <row r="18" spans="1:12">
      <c r="A18" s="2">
        <f t="shared" si="0"/>
        <v>5</v>
      </c>
      <c r="B18" s="234"/>
      <c r="C18" s="234"/>
      <c r="D18" s="84"/>
      <c r="G18" s="4" t="s">
        <v>2335</v>
      </c>
      <c r="I18" s="84"/>
      <c r="J18" s="2" t="s">
        <v>204</v>
      </c>
      <c r="K18" s="84"/>
      <c r="L18" s="84"/>
    </row>
    <row r="19" spans="1:12">
      <c r="A19" s="2">
        <f t="shared" si="0"/>
        <v>6</v>
      </c>
      <c r="B19" s="234"/>
      <c r="C19" s="234"/>
      <c r="D19" s="84"/>
      <c r="G19" s="481" t="s">
        <v>2336</v>
      </c>
      <c r="I19" s="234"/>
      <c r="J19" s="2" t="s">
        <v>30</v>
      </c>
      <c r="K19" s="234"/>
      <c r="L19" s="2" t="s">
        <v>204</v>
      </c>
    </row>
    <row r="20" spans="1:12">
      <c r="A20" s="2">
        <f t="shared" si="0"/>
        <v>7</v>
      </c>
      <c r="B20" s="234"/>
      <c r="C20" s="234"/>
      <c r="D20" s="84"/>
      <c r="F20" s="2" t="s">
        <v>510</v>
      </c>
      <c r="G20" s="600" t="s">
        <v>2337</v>
      </c>
      <c r="H20" s="2" t="s">
        <v>19</v>
      </c>
      <c r="I20" s="234"/>
      <c r="J20" s="2" t="s">
        <v>31</v>
      </c>
      <c r="K20" s="234"/>
      <c r="L20" s="2" t="s">
        <v>30</v>
      </c>
    </row>
    <row r="21" spans="1:12">
      <c r="A21" s="2">
        <f t="shared" si="0"/>
        <v>8</v>
      </c>
      <c r="B21" s="234"/>
      <c r="C21" s="234"/>
      <c r="D21" s="2"/>
      <c r="E21" s="2" t="s">
        <v>19</v>
      </c>
      <c r="F21" s="2" t="s">
        <v>529</v>
      </c>
      <c r="G21" s="600" t="s">
        <v>2338</v>
      </c>
      <c r="H21" s="2" t="s">
        <v>30</v>
      </c>
      <c r="I21" s="2" t="s">
        <v>19</v>
      </c>
      <c r="J21" s="2" t="s">
        <v>22</v>
      </c>
      <c r="K21" s="237" t="s">
        <v>23</v>
      </c>
      <c r="L21" s="2" t="s">
        <v>31</v>
      </c>
    </row>
    <row r="22" spans="1:12">
      <c r="A22" s="2">
        <f t="shared" si="0"/>
        <v>9</v>
      </c>
      <c r="B22" s="234"/>
      <c r="C22" s="234"/>
      <c r="D22" s="2"/>
      <c r="E22" s="2" t="s">
        <v>281</v>
      </c>
      <c r="F22" s="2" t="s">
        <v>309</v>
      </c>
      <c r="G22" s="600" t="s">
        <v>966</v>
      </c>
      <c r="H22" s="2" t="s">
        <v>31</v>
      </c>
      <c r="I22" s="2" t="s">
        <v>23</v>
      </c>
      <c r="J22" s="2" t="s">
        <v>1064</v>
      </c>
      <c r="K22" s="2" t="s">
        <v>1065</v>
      </c>
      <c r="L22" s="2" t="s">
        <v>22</v>
      </c>
    </row>
    <row r="23" spans="1:12" s="14" customFormat="1">
      <c r="A23" s="111">
        <f t="shared" si="0"/>
        <v>10</v>
      </c>
      <c r="B23" s="243"/>
      <c r="C23" s="29" t="s">
        <v>192</v>
      </c>
      <c r="D23" s="29" t="s">
        <v>193</v>
      </c>
      <c r="E23" s="125" t="s">
        <v>967</v>
      </c>
      <c r="F23" s="125" t="s">
        <v>21</v>
      </c>
      <c r="G23" s="125" t="s">
        <v>2339</v>
      </c>
      <c r="H23" s="125" t="s">
        <v>22</v>
      </c>
      <c r="I23" s="125" t="s">
        <v>13</v>
      </c>
      <c r="J23" s="125" t="s">
        <v>1066</v>
      </c>
      <c r="K23" s="125" t="s">
        <v>192</v>
      </c>
      <c r="L23" s="125" t="s">
        <v>968</v>
      </c>
    </row>
    <row r="24" spans="1:12" s="1112" customFormat="1">
      <c r="A24" s="600">
        <f>A23+1</f>
        <v>11</v>
      </c>
      <c r="B24" s="234"/>
      <c r="C24" s="538" t="s">
        <v>180</v>
      </c>
      <c r="D24" s="148">
        <v>2015</v>
      </c>
      <c r="E24" s="242" t="s">
        <v>76</v>
      </c>
      <c r="F24" s="242" t="s">
        <v>76</v>
      </c>
      <c r="G24" s="1151">
        <v>89464304</v>
      </c>
      <c r="H24" s="236">
        <f>G24</f>
        <v>89464304</v>
      </c>
      <c r="I24" s="242" t="s">
        <v>76</v>
      </c>
      <c r="J24" s="241">
        <f>H24</f>
        <v>89464304</v>
      </c>
      <c r="K24" s="242" t="s">
        <v>76</v>
      </c>
      <c r="L24" s="1212">
        <f>J24</f>
        <v>89464304</v>
      </c>
    </row>
    <row r="25" spans="1:12">
      <c r="A25" s="600">
        <f t="shared" ref="A25:A36" si="1">A24+1</f>
        <v>12</v>
      </c>
      <c r="B25" s="234"/>
      <c r="C25" s="20" t="s">
        <v>181</v>
      </c>
      <c r="D25" s="148">
        <v>2016</v>
      </c>
      <c r="E25" s="247">
        <f>$E$14/12</f>
        <v>88577866.680537418</v>
      </c>
      <c r="F25" s="238">
        <f>C77</f>
        <v>83819249.099999994</v>
      </c>
      <c r="G25" s="1151">
        <v>-77804</v>
      </c>
      <c r="H25" s="236">
        <f>E25-F25+G25</f>
        <v>4680813.5805374235</v>
      </c>
      <c r="I25" s="240">
        <v>2.7000000000000001E-3</v>
      </c>
      <c r="J25" s="241">
        <f>L24+H25</f>
        <v>94145117.580537423</v>
      </c>
      <c r="K25" s="241">
        <f>((L24+J25)/2)*I25</f>
        <v>247872.71913372556</v>
      </c>
      <c r="L25" s="241">
        <f>J25+K25</f>
        <v>94392990.299671143</v>
      </c>
    </row>
    <row r="26" spans="1:12">
      <c r="A26" s="600">
        <f t="shared" si="1"/>
        <v>13</v>
      </c>
      <c r="B26" s="234"/>
      <c r="C26" s="21" t="s">
        <v>182</v>
      </c>
      <c r="D26" s="148">
        <v>2016</v>
      </c>
      <c r="E26" s="247">
        <f t="shared" ref="E26:E36" si="2">$E$14/12</f>
        <v>88577866.680537418</v>
      </c>
      <c r="F26" s="238">
        <f t="shared" ref="F26:F36" si="3">C78</f>
        <v>78411546.890000001</v>
      </c>
      <c r="G26" s="370"/>
      <c r="H26" s="236">
        <f t="shared" ref="H26:H35" si="4">E26-F26+G26</f>
        <v>10166319.790537417</v>
      </c>
      <c r="I26" s="240">
        <v>2.7000000000000001E-3</v>
      </c>
      <c r="J26" s="241">
        <f>L25+H26</f>
        <v>104559310.09020856</v>
      </c>
      <c r="K26" s="241">
        <f>((L25+J26)/2)*I26</f>
        <v>268585.60552633763</v>
      </c>
      <c r="L26" s="241">
        <f t="shared" ref="L26:L36" si="5">J26+K26</f>
        <v>104827895.6957349</v>
      </c>
    </row>
    <row r="27" spans="1:12">
      <c r="A27" s="600">
        <f t="shared" si="1"/>
        <v>14</v>
      </c>
      <c r="B27" s="234"/>
      <c r="C27" s="21" t="s">
        <v>195</v>
      </c>
      <c r="D27" s="148">
        <v>2016</v>
      </c>
      <c r="E27" s="247">
        <f t="shared" si="2"/>
        <v>88577866.680537418</v>
      </c>
      <c r="F27" s="238">
        <f t="shared" si="3"/>
        <v>78407870.230000004</v>
      </c>
      <c r="G27" s="370"/>
      <c r="H27" s="236">
        <f t="shared" si="4"/>
        <v>10169996.450537413</v>
      </c>
      <c r="I27" s="240">
        <v>2.7000000000000001E-3</v>
      </c>
      <c r="J27" s="241">
        <f t="shared" ref="J27:J36" si="6">L26+H27</f>
        <v>114997892.14627232</v>
      </c>
      <c r="K27" s="241">
        <f t="shared" ref="K27:K36" si="7">((L26+J27)/2)*I27</f>
        <v>296764.81358670979</v>
      </c>
      <c r="L27" s="241">
        <f t="shared" si="5"/>
        <v>115294656.95985903</v>
      </c>
    </row>
    <row r="28" spans="1:12">
      <c r="A28" s="600">
        <f t="shared" si="1"/>
        <v>15</v>
      </c>
      <c r="B28" s="234"/>
      <c r="C28" s="20" t="s">
        <v>183</v>
      </c>
      <c r="D28" s="148">
        <v>2016</v>
      </c>
      <c r="E28" s="247">
        <f t="shared" si="2"/>
        <v>88577866.680537418</v>
      </c>
      <c r="F28" s="238">
        <f t="shared" si="3"/>
        <v>78101864.120000005</v>
      </c>
      <c r="G28" s="370"/>
      <c r="H28" s="236">
        <f t="shared" si="4"/>
        <v>10476002.560537413</v>
      </c>
      <c r="I28" s="240">
        <v>2.8999999999999998E-3</v>
      </c>
      <c r="J28" s="241">
        <f t="shared" si="6"/>
        <v>125770659.52039644</v>
      </c>
      <c r="K28" s="241">
        <f t="shared" si="7"/>
        <v>349544.70889637043</v>
      </c>
      <c r="L28" s="241">
        <f t="shared" si="5"/>
        <v>126120204.22929281</v>
      </c>
    </row>
    <row r="29" spans="1:12">
      <c r="A29" s="600">
        <f t="shared" si="1"/>
        <v>16</v>
      </c>
      <c r="B29" s="234"/>
      <c r="C29" s="21" t="s">
        <v>184</v>
      </c>
      <c r="D29" s="148">
        <v>2016</v>
      </c>
      <c r="E29" s="247">
        <f t="shared" si="2"/>
        <v>88577866.680537418</v>
      </c>
      <c r="F29" s="238">
        <f t="shared" si="3"/>
        <v>82781917.969999999</v>
      </c>
      <c r="G29" s="370"/>
      <c r="H29" s="236">
        <f t="shared" si="4"/>
        <v>5795948.7105374187</v>
      </c>
      <c r="I29" s="240">
        <v>2.8999999999999998E-3</v>
      </c>
      <c r="J29" s="241">
        <f t="shared" si="6"/>
        <v>131916152.93983023</v>
      </c>
      <c r="K29" s="241">
        <f t="shared" si="7"/>
        <v>374152.71789522842</v>
      </c>
      <c r="L29" s="241">
        <f t="shared" si="5"/>
        <v>132290305.65772545</v>
      </c>
    </row>
    <row r="30" spans="1:12">
      <c r="A30" s="600">
        <f t="shared" si="1"/>
        <v>17</v>
      </c>
      <c r="B30" s="234"/>
      <c r="C30" s="21" t="s">
        <v>185</v>
      </c>
      <c r="D30" s="148">
        <v>2016</v>
      </c>
      <c r="E30" s="247">
        <f t="shared" si="2"/>
        <v>88577866.680537418</v>
      </c>
      <c r="F30" s="238">
        <f t="shared" si="3"/>
        <v>99171344.200000003</v>
      </c>
      <c r="G30" s="370"/>
      <c r="H30" s="236">
        <f t="shared" si="4"/>
        <v>-10593477.519462585</v>
      </c>
      <c r="I30" s="240">
        <v>2.8999999999999998E-3</v>
      </c>
      <c r="J30" s="241">
        <f t="shared" si="6"/>
        <v>121696828.13826287</v>
      </c>
      <c r="K30" s="241">
        <f t="shared" si="7"/>
        <v>368281.34400418302</v>
      </c>
      <c r="L30" s="241">
        <f t="shared" si="5"/>
        <v>122065109.48226705</v>
      </c>
    </row>
    <row r="31" spans="1:12">
      <c r="A31" s="600">
        <f t="shared" si="1"/>
        <v>18</v>
      </c>
      <c r="B31" s="234"/>
      <c r="C31" s="20" t="s">
        <v>186</v>
      </c>
      <c r="D31" s="148">
        <v>2016</v>
      </c>
      <c r="E31" s="247">
        <f t="shared" si="2"/>
        <v>88577866.680537418</v>
      </c>
      <c r="F31" s="238">
        <f t="shared" si="3"/>
        <v>109857522.84</v>
      </c>
      <c r="G31" s="370"/>
      <c r="H31" s="236">
        <f t="shared" si="4"/>
        <v>-21279656.159462586</v>
      </c>
      <c r="I31" s="240">
        <v>2.8999999999999998E-3</v>
      </c>
      <c r="J31" s="241">
        <f t="shared" si="6"/>
        <v>100785453.32280447</v>
      </c>
      <c r="K31" s="241">
        <f t="shared" si="7"/>
        <v>323133.31606735371</v>
      </c>
      <c r="L31" s="241">
        <f t="shared" si="5"/>
        <v>101108586.63887182</v>
      </c>
    </row>
    <row r="32" spans="1:12">
      <c r="A32" s="600">
        <f t="shared" si="1"/>
        <v>19</v>
      </c>
      <c r="B32" s="234"/>
      <c r="C32" s="21" t="s">
        <v>187</v>
      </c>
      <c r="D32" s="148">
        <v>2016</v>
      </c>
      <c r="E32" s="247">
        <f t="shared" si="2"/>
        <v>88577866.680537418</v>
      </c>
      <c r="F32" s="238">
        <f t="shared" si="3"/>
        <v>110365061.18000001</v>
      </c>
      <c r="G32" s="370"/>
      <c r="H32" s="236">
        <f t="shared" si="4"/>
        <v>-21787194.49946259</v>
      </c>
      <c r="I32" s="240">
        <v>2.8999999999999998E-3</v>
      </c>
      <c r="J32" s="241">
        <f t="shared" si="6"/>
        <v>79321392.139409229</v>
      </c>
      <c r="K32" s="241">
        <f t="shared" si="7"/>
        <v>261623.46922850749</v>
      </c>
      <c r="L32" s="241">
        <f t="shared" si="5"/>
        <v>79583015.608637735</v>
      </c>
    </row>
    <row r="33" spans="1:12">
      <c r="A33" s="600">
        <f t="shared" si="1"/>
        <v>20</v>
      </c>
      <c r="B33" s="234"/>
      <c r="C33" s="21" t="s">
        <v>188</v>
      </c>
      <c r="D33" s="148">
        <v>2016</v>
      </c>
      <c r="E33" s="247">
        <f t="shared" si="2"/>
        <v>88577866.680537418</v>
      </c>
      <c r="F33" s="238">
        <f t="shared" si="3"/>
        <v>92876533.890000001</v>
      </c>
      <c r="G33" s="370"/>
      <c r="H33" s="236">
        <f t="shared" si="4"/>
        <v>-4298667.2094625831</v>
      </c>
      <c r="I33" s="240">
        <v>2.8999999999999998E-3</v>
      </c>
      <c r="J33" s="241">
        <f t="shared" si="6"/>
        <v>75284348.399175152</v>
      </c>
      <c r="K33" s="241">
        <f t="shared" si="7"/>
        <v>224557.67781132867</v>
      </c>
      <c r="L33" s="241">
        <f t="shared" si="5"/>
        <v>75508906.076986477</v>
      </c>
    </row>
    <row r="34" spans="1:12">
      <c r="A34" s="600">
        <f t="shared" si="1"/>
        <v>21</v>
      </c>
      <c r="B34" s="234"/>
      <c r="C34" s="20" t="s">
        <v>191</v>
      </c>
      <c r="D34" s="148">
        <v>2016</v>
      </c>
      <c r="E34" s="247">
        <f t="shared" si="2"/>
        <v>88577866.680537418</v>
      </c>
      <c r="F34" s="238">
        <f t="shared" si="3"/>
        <v>85822082.459999993</v>
      </c>
      <c r="G34" s="370"/>
      <c r="H34" s="236">
        <f t="shared" si="4"/>
        <v>2755784.2205374241</v>
      </c>
      <c r="I34" s="240">
        <v>2.8999999999999998E-3</v>
      </c>
      <c r="J34" s="241">
        <f t="shared" si="6"/>
        <v>78264690.297523901</v>
      </c>
      <c r="K34" s="241">
        <f t="shared" si="7"/>
        <v>222971.71474304004</v>
      </c>
      <c r="L34" s="241">
        <f t="shared" si="5"/>
        <v>78487662.012266934</v>
      </c>
    </row>
    <row r="35" spans="1:12">
      <c r="A35" s="600">
        <f t="shared" si="1"/>
        <v>22</v>
      </c>
      <c r="B35" s="234"/>
      <c r="C35" s="20" t="s">
        <v>190</v>
      </c>
      <c r="D35" s="148">
        <v>2016</v>
      </c>
      <c r="E35" s="247">
        <f t="shared" si="2"/>
        <v>88577866.680537418</v>
      </c>
      <c r="F35" s="238">
        <f t="shared" si="3"/>
        <v>77456670.530000001</v>
      </c>
      <c r="G35" s="370"/>
      <c r="H35" s="236">
        <f t="shared" si="4"/>
        <v>11121196.150537416</v>
      </c>
      <c r="I35" s="240">
        <v>2.8999999999999998E-3</v>
      </c>
      <c r="J35" s="241">
        <f t="shared" si="6"/>
        <v>89608858.16280435</v>
      </c>
      <c r="K35" s="241">
        <f t="shared" si="7"/>
        <v>243739.95425385336</v>
      </c>
      <c r="L35" s="241">
        <f t="shared" si="5"/>
        <v>89852598.117058203</v>
      </c>
    </row>
    <row r="36" spans="1:12">
      <c r="A36" s="600">
        <f t="shared" si="1"/>
        <v>23</v>
      </c>
      <c r="B36" s="234"/>
      <c r="C36" s="21" t="s">
        <v>180</v>
      </c>
      <c r="D36" s="148">
        <v>2016</v>
      </c>
      <c r="E36" s="247">
        <f t="shared" si="2"/>
        <v>88577866.680537418</v>
      </c>
      <c r="F36" s="238">
        <f t="shared" si="3"/>
        <v>82656320.829999998</v>
      </c>
      <c r="G36" s="370">
        <f>-39484975</f>
        <v>-39484975</v>
      </c>
      <c r="H36" s="236">
        <f>E36-F36+G36</f>
        <v>-33563429.149462581</v>
      </c>
      <c r="I36" s="240">
        <v>2.8999999999999998E-3</v>
      </c>
      <c r="J36" s="241">
        <f t="shared" si="6"/>
        <v>56289168.967595622</v>
      </c>
      <c r="K36" s="241">
        <f t="shared" si="7"/>
        <v>211905.56227274804</v>
      </c>
      <c r="L36" s="241">
        <f t="shared" si="5"/>
        <v>56501074.529868372</v>
      </c>
    </row>
    <row r="37" spans="1:12">
      <c r="A37" s="111"/>
      <c r="B37" s="234"/>
      <c r="C37" s="21"/>
      <c r="D37" s="24"/>
      <c r="E37" s="234"/>
      <c r="F37" s="247"/>
      <c r="G37" s="244"/>
      <c r="H37" s="384"/>
      <c r="I37" s="234"/>
      <c r="J37" s="234"/>
      <c r="K37" s="234"/>
      <c r="L37" s="234"/>
    </row>
    <row r="38" spans="1:12" s="14" customFormat="1">
      <c r="A38" s="111">
        <f>A36+1</f>
        <v>24</v>
      </c>
      <c r="B38" s="44" t="s">
        <v>497</v>
      </c>
      <c r="C38" s="21"/>
      <c r="D38" s="24"/>
      <c r="E38" s="243"/>
      <c r="F38" s="502"/>
      <c r="G38" s="244"/>
      <c r="H38" s="1010"/>
      <c r="I38" s="243"/>
      <c r="J38" s="243"/>
      <c r="K38" s="243"/>
      <c r="L38" s="243"/>
    </row>
    <row r="39" spans="1:12">
      <c r="A39" s="111">
        <f t="shared" si="0"/>
        <v>25</v>
      </c>
      <c r="B39" s="1"/>
      <c r="C39" s="21"/>
      <c r="D39" s="24"/>
      <c r="E39" s="234"/>
      <c r="F39" s="535" t="s">
        <v>232</v>
      </c>
      <c r="G39" s="244"/>
      <c r="H39" s="247"/>
      <c r="I39" s="234"/>
      <c r="J39" s="234"/>
      <c r="K39" s="234"/>
      <c r="L39" s="234"/>
    </row>
    <row r="40" spans="1:12">
      <c r="A40" s="111">
        <f t="shared" si="0"/>
        <v>26</v>
      </c>
      <c r="B40" s="234"/>
      <c r="C40" s="21"/>
      <c r="D40" s="235" t="s">
        <v>1069</v>
      </c>
      <c r="E40" s="236">
        <f>L36</f>
        <v>56501074.529868372</v>
      </c>
      <c r="F40" s="502" t="str">
        <f>"Line "&amp;A36&amp;", Column 9"</f>
        <v>Line 23, Column 9</v>
      </c>
      <c r="G40" s="244"/>
      <c r="H40" s="247"/>
      <c r="I40" s="234"/>
      <c r="J40" s="234"/>
      <c r="K40" s="234"/>
      <c r="L40" s="234"/>
    </row>
    <row r="41" spans="1:12" s="1112" customFormat="1">
      <c r="A41" s="111">
        <f t="shared" si="0"/>
        <v>27</v>
      </c>
      <c r="B41" s="234"/>
      <c r="C41" s="21"/>
      <c r="D41" s="501" t="s">
        <v>2340</v>
      </c>
      <c r="E41" s="1213">
        <v>94152863</v>
      </c>
      <c r="F41" s="502" t="str">
        <f>"Previous Annual Update Schedule 3, Line "&amp;A44&amp;""</f>
        <v>Previous Annual Update Schedule 3, Line 30</v>
      </c>
      <c r="G41" s="244"/>
      <c r="H41" s="247"/>
      <c r="J41" s="235" t="s">
        <v>2860</v>
      </c>
      <c r="K41" s="1115" t="s">
        <v>2861</v>
      </c>
      <c r="L41" s="1115"/>
    </row>
    <row r="42" spans="1:12" s="1112" customFormat="1">
      <c r="A42" s="111">
        <f t="shared" si="0"/>
        <v>28</v>
      </c>
      <c r="B42" s="234"/>
      <c r="C42" s="21"/>
      <c r="D42" s="501" t="s">
        <v>2341</v>
      </c>
      <c r="E42" s="1287">
        <f>E40-E41</f>
        <v>-37651788.470131628</v>
      </c>
      <c r="F42" s="502" t="str">
        <f>"Line "&amp;A40&amp;" - Line "&amp;A41&amp;""</f>
        <v>Line 26 - Line 27</v>
      </c>
      <c r="G42" s="244"/>
      <c r="H42" s="247"/>
      <c r="J42" s="502"/>
      <c r="K42" s="1115" t="s">
        <v>2862</v>
      </c>
      <c r="L42" s="1115"/>
    </row>
    <row r="43" spans="1:12" s="1112" customFormat="1" ht="15">
      <c r="A43" s="111">
        <f t="shared" si="0"/>
        <v>29</v>
      </c>
      <c r="B43" s="234"/>
      <c r="C43" s="21"/>
      <c r="D43" s="501" t="s">
        <v>2342</v>
      </c>
      <c r="E43" s="1286">
        <f>E42*I36*18</f>
        <v>-1965423.3581408709</v>
      </c>
      <c r="F43" s="502" t="str">
        <f>"Line "&amp;A42&amp;" * (Line "&amp;A36&amp;", Column 6) * 18 months"</f>
        <v>Line 28 * (Line 23, Column 6) * 18 months</v>
      </c>
      <c r="G43" s="244"/>
      <c r="H43" s="247"/>
      <c r="I43" s="502"/>
      <c r="J43" s="234"/>
      <c r="K43" s="234"/>
      <c r="L43" s="234"/>
    </row>
    <row r="44" spans="1:12" s="14" customFormat="1">
      <c r="A44" s="111">
        <f t="shared" si="0"/>
        <v>30</v>
      </c>
      <c r="B44" s="243"/>
      <c r="C44" s="21"/>
      <c r="D44" s="85" t="s">
        <v>32</v>
      </c>
      <c r="E44" s="238">
        <f>E42+E43</f>
        <v>-39617211.828272499</v>
      </c>
      <c r="F44" s="1214" t="str">
        <f>"Line "&amp;A42&amp;" + Line "&amp;A43&amp;".  Positive amount is to be collected by SCE (included in Base TRR as a positive amount)."</f>
        <v>Line 28 + Line 29.  Positive amount is to be collected by SCE (included in Base TRR as a positive amount).</v>
      </c>
      <c r="G44" s="244"/>
      <c r="H44" s="1010"/>
      <c r="I44" s="243"/>
      <c r="J44" s="243"/>
      <c r="K44" s="243"/>
      <c r="L44" s="243"/>
    </row>
    <row r="45" spans="1:12">
      <c r="A45" s="111">
        <f t="shared" si="0"/>
        <v>31</v>
      </c>
      <c r="B45" s="234"/>
      <c r="C45" s="234"/>
      <c r="D45" s="234"/>
      <c r="E45" s="234"/>
      <c r="F45" s="534" t="s">
        <v>1549</v>
      </c>
      <c r="G45" s="234"/>
      <c r="H45" s="234"/>
      <c r="I45" s="234"/>
      <c r="J45" s="234"/>
      <c r="K45" s="234"/>
      <c r="L45" s="234"/>
    </row>
    <row r="46" spans="1:12">
      <c r="A46" s="111">
        <f t="shared" si="0"/>
        <v>32</v>
      </c>
      <c r="B46" s="1" t="s">
        <v>970</v>
      </c>
      <c r="C46" s="234"/>
      <c r="D46" s="234"/>
      <c r="E46" s="234"/>
      <c r="F46" s="249"/>
      <c r="G46" s="234"/>
      <c r="H46" s="234"/>
      <c r="I46" s="234"/>
      <c r="J46" s="234"/>
      <c r="K46" s="234"/>
      <c r="L46" s="234"/>
    </row>
    <row r="47" spans="1:12">
      <c r="A47" s="111">
        <f t="shared" si="0"/>
        <v>33</v>
      </c>
      <c r="B47" s="13" t="s">
        <v>371</v>
      </c>
      <c r="C47" s="234"/>
      <c r="D47" s="234"/>
      <c r="E47" s="234"/>
      <c r="F47" s="234"/>
      <c r="G47" s="234"/>
      <c r="H47" s="234"/>
      <c r="I47" s="234"/>
      <c r="J47" s="234"/>
      <c r="K47" s="234"/>
      <c r="L47" s="234"/>
    </row>
    <row r="48" spans="1:12">
      <c r="A48" s="111">
        <f t="shared" si="0"/>
        <v>34</v>
      </c>
      <c r="B48" s="13" t="s">
        <v>372</v>
      </c>
      <c r="C48" s="234"/>
      <c r="D48" s="234"/>
      <c r="E48" s="234"/>
      <c r="F48" s="234"/>
      <c r="G48" s="234"/>
      <c r="H48" s="234"/>
      <c r="I48" s="234"/>
      <c r="J48" s="234"/>
      <c r="K48" s="234"/>
      <c r="L48" s="234"/>
    </row>
    <row r="49" spans="1:12">
      <c r="A49" s="111">
        <f t="shared" si="0"/>
        <v>35</v>
      </c>
      <c r="B49" s="13" t="s">
        <v>373</v>
      </c>
      <c r="C49" s="234"/>
      <c r="D49" s="234"/>
      <c r="E49" s="234"/>
      <c r="F49" s="234"/>
      <c r="G49" s="234"/>
      <c r="H49" s="234"/>
      <c r="I49" s="234"/>
      <c r="J49" s="234"/>
      <c r="K49" s="234"/>
      <c r="L49" s="234"/>
    </row>
    <row r="50" spans="1:12">
      <c r="A50" s="111">
        <f t="shared" si="0"/>
        <v>36</v>
      </c>
      <c r="B50" s="234"/>
      <c r="C50" s="234"/>
      <c r="D50" s="234"/>
      <c r="E50" s="234"/>
      <c r="F50" s="234"/>
      <c r="G50" s="234"/>
      <c r="H50" s="234"/>
      <c r="I50" s="234"/>
      <c r="J50" s="234"/>
      <c r="K50" s="234"/>
      <c r="L50" s="234"/>
    </row>
    <row r="51" spans="1:12">
      <c r="A51" s="111">
        <f t="shared" ref="A51:A91" si="8">A50+1</f>
        <v>37</v>
      </c>
      <c r="B51" s="1" t="s">
        <v>1217</v>
      </c>
      <c r="C51" s="234"/>
      <c r="D51" s="234"/>
      <c r="E51" s="234"/>
      <c r="F51" s="234"/>
      <c r="G51" s="234"/>
      <c r="H51" s="234"/>
      <c r="I51" s="234"/>
      <c r="J51" s="234"/>
      <c r="K51" s="234"/>
      <c r="L51" s="234"/>
    </row>
    <row r="52" spans="1:12">
      <c r="A52" s="111">
        <f t="shared" si="8"/>
        <v>38</v>
      </c>
      <c r="B52" s="234"/>
      <c r="C52" s="234"/>
      <c r="D52" s="237" t="s">
        <v>1170</v>
      </c>
      <c r="E52" s="234"/>
      <c r="G52" s="234"/>
      <c r="H52" s="234"/>
      <c r="I52" s="234"/>
      <c r="J52" s="234"/>
      <c r="K52" s="234"/>
      <c r="L52" s="234"/>
    </row>
    <row r="53" spans="1:12">
      <c r="A53" s="111">
        <f t="shared" si="8"/>
        <v>39</v>
      </c>
      <c r="B53" s="234"/>
      <c r="C53" s="25" t="s">
        <v>192</v>
      </c>
      <c r="D53" s="3" t="s">
        <v>1070</v>
      </c>
      <c r="E53" s="3" t="s">
        <v>238</v>
      </c>
      <c r="G53" s="243"/>
      <c r="H53" s="243"/>
      <c r="I53" s="243"/>
      <c r="J53" s="243"/>
      <c r="K53" s="243"/>
      <c r="L53" s="243"/>
    </row>
    <row r="54" spans="1:12">
      <c r="A54" s="111">
        <f t="shared" si="8"/>
        <v>40</v>
      </c>
      <c r="B54" s="234"/>
      <c r="C54" s="20" t="s">
        <v>181</v>
      </c>
      <c r="D54" s="126">
        <v>6.3763211440757639E-2</v>
      </c>
      <c r="E54" s="13" t="s">
        <v>1223</v>
      </c>
      <c r="G54" s="243"/>
      <c r="H54" s="243"/>
      <c r="I54" s="243"/>
      <c r="J54" s="243"/>
      <c r="K54" s="243"/>
      <c r="L54" s="243"/>
    </row>
    <row r="55" spans="1:12">
      <c r="A55" s="111">
        <f t="shared" si="8"/>
        <v>41</v>
      </c>
      <c r="B55" s="234"/>
      <c r="C55" s="21" t="s">
        <v>182</v>
      </c>
      <c r="D55" s="126">
        <v>5.6553289888256801E-2</v>
      </c>
      <c r="G55" s="243"/>
      <c r="H55" s="243"/>
      <c r="I55" s="243"/>
      <c r="J55" s="243"/>
      <c r="K55" s="243"/>
      <c r="L55" s="243"/>
    </row>
    <row r="56" spans="1:12">
      <c r="A56" s="111">
        <f t="shared" si="8"/>
        <v>42</v>
      </c>
      <c r="B56" s="234"/>
      <c r="C56" s="21" t="s">
        <v>195</v>
      </c>
      <c r="D56" s="126">
        <v>7.1828142218240867E-2</v>
      </c>
      <c r="E56" s="13"/>
      <c r="G56" s="243"/>
      <c r="H56" s="243"/>
      <c r="I56" s="243"/>
      <c r="J56" s="243"/>
      <c r="K56" s="243"/>
      <c r="L56" s="243"/>
    </row>
    <row r="57" spans="1:12">
      <c r="A57" s="111">
        <f t="shared" si="8"/>
        <v>43</v>
      </c>
      <c r="B57" s="234"/>
      <c r="C57" s="20" t="s">
        <v>183</v>
      </c>
      <c r="D57" s="126">
        <v>8.2236801934806855E-2</v>
      </c>
      <c r="E57" s="149"/>
      <c r="G57" s="243"/>
      <c r="H57" s="243"/>
      <c r="I57" s="243"/>
      <c r="J57" s="243"/>
      <c r="K57" s="243"/>
      <c r="L57" s="243"/>
    </row>
    <row r="58" spans="1:12">
      <c r="A58" s="111">
        <f t="shared" si="8"/>
        <v>44</v>
      </c>
      <c r="B58" s="234"/>
      <c r="C58" s="21" t="s">
        <v>184</v>
      </c>
      <c r="D58" s="126">
        <v>8.01837425905748E-2</v>
      </c>
      <c r="E58" s="250"/>
      <c r="G58" s="243"/>
      <c r="H58" s="243"/>
      <c r="I58" s="243"/>
      <c r="J58" s="243"/>
      <c r="K58" s="243"/>
      <c r="L58" s="243"/>
    </row>
    <row r="59" spans="1:12">
      <c r="A59" s="111">
        <f t="shared" si="8"/>
        <v>45</v>
      </c>
      <c r="B59" s="234"/>
      <c r="C59" s="21" t="s">
        <v>185</v>
      </c>
      <c r="D59" s="126">
        <v>8.9450501877561497E-2</v>
      </c>
      <c r="E59" s="250"/>
      <c r="G59" s="243"/>
      <c r="H59" s="243"/>
      <c r="I59" s="243"/>
      <c r="J59" s="243"/>
      <c r="K59" s="243"/>
      <c r="L59" s="243"/>
    </row>
    <row r="60" spans="1:12">
      <c r="A60" s="111">
        <f t="shared" si="8"/>
        <v>46</v>
      </c>
      <c r="B60" s="234"/>
      <c r="C60" s="20" t="s">
        <v>186</v>
      </c>
      <c r="D60" s="126">
        <v>9.8908415854749826E-2</v>
      </c>
      <c r="E60" s="250"/>
      <c r="G60" s="243"/>
      <c r="H60" s="243"/>
      <c r="I60" s="243"/>
      <c r="J60" s="243"/>
      <c r="K60" s="243"/>
      <c r="L60" s="243"/>
    </row>
    <row r="61" spans="1:12">
      <c r="A61" s="111">
        <f t="shared" si="8"/>
        <v>47</v>
      </c>
      <c r="B61" s="234"/>
      <c r="C61" s="21" t="s">
        <v>187</v>
      </c>
      <c r="D61" s="126">
        <v>0.10141004323318151</v>
      </c>
      <c r="E61" s="250"/>
      <c r="G61" s="243"/>
      <c r="H61" s="243"/>
      <c r="I61" s="243"/>
      <c r="J61" s="243"/>
      <c r="K61" s="243"/>
      <c r="L61" s="243"/>
    </row>
    <row r="62" spans="1:12">
      <c r="A62" s="111">
        <f t="shared" si="8"/>
        <v>48</v>
      </c>
      <c r="B62" s="234"/>
      <c r="C62" s="21" t="s">
        <v>188</v>
      </c>
      <c r="D62" s="126">
        <v>0.10217900008822713</v>
      </c>
      <c r="E62" s="250"/>
      <c r="G62" s="243"/>
      <c r="H62" s="243"/>
      <c r="I62" s="243"/>
      <c r="J62" s="243"/>
      <c r="K62" s="243"/>
      <c r="L62" s="243"/>
    </row>
    <row r="63" spans="1:12">
      <c r="A63" s="111">
        <f t="shared" si="8"/>
        <v>49</v>
      </c>
      <c r="B63" s="234"/>
      <c r="C63" s="20" t="s">
        <v>191</v>
      </c>
      <c r="D63" s="126">
        <v>9.1787269171678454E-2</v>
      </c>
      <c r="E63" s="250"/>
      <c r="G63" s="243"/>
      <c r="H63" s="243"/>
      <c r="I63" s="243"/>
      <c r="J63" s="243"/>
      <c r="K63" s="243"/>
      <c r="L63" s="243"/>
    </row>
    <row r="64" spans="1:12">
      <c r="A64" s="111">
        <f t="shared" si="8"/>
        <v>50</v>
      </c>
      <c r="B64" s="234"/>
      <c r="C64" s="20" t="s">
        <v>190</v>
      </c>
      <c r="D64" s="126">
        <v>7.5296938318149625E-2</v>
      </c>
      <c r="E64" s="250"/>
      <c r="G64" s="234"/>
      <c r="H64" s="234"/>
      <c r="I64" s="234"/>
      <c r="J64" s="234"/>
      <c r="K64" s="234"/>
      <c r="L64" s="234"/>
    </row>
    <row r="65" spans="1:16">
      <c r="A65" s="111">
        <f t="shared" si="8"/>
        <v>51</v>
      </c>
      <c r="B65" s="234"/>
      <c r="C65" s="21" t="s">
        <v>180</v>
      </c>
      <c r="D65" s="385">
        <v>8.640264338381512E-2</v>
      </c>
      <c r="E65" s="153"/>
      <c r="G65" s="234"/>
      <c r="H65" s="234"/>
      <c r="I65" s="234"/>
      <c r="J65" s="234"/>
      <c r="K65" s="234"/>
      <c r="L65" s="234"/>
    </row>
    <row r="66" spans="1:16">
      <c r="A66" s="111">
        <f t="shared" si="8"/>
        <v>52</v>
      </c>
      <c r="B66" s="234"/>
      <c r="C66" s="34" t="s">
        <v>4</v>
      </c>
      <c r="D66" s="413">
        <f>SUM(D54:D65)</f>
        <v>1.0000000000000002</v>
      </c>
      <c r="E66" s="234"/>
      <c r="G66" s="234"/>
      <c r="H66" s="234"/>
      <c r="I66" s="234"/>
      <c r="J66" s="234"/>
      <c r="K66" s="234"/>
      <c r="L66" s="234"/>
    </row>
    <row r="67" spans="1:16" s="14" customFormat="1">
      <c r="A67" s="111">
        <f t="shared" si="8"/>
        <v>53</v>
      </c>
      <c r="B67" s="243"/>
      <c r="C67" s="243"/>
      <c r="D67" s="243"/>
      <c r="E67" s="243"/>
      <c r="F67" s="111"/>
      <c r="G67" s="243"/>
      <c r="H67" s="243"/>
      <c r="I67" s="243"/>
      <c r="J67" s="243"/>
      <c r="K67" s="243"/>
      <c r="L67" s="243"/>
    </row>
    <row r="68" spans="1:16">
      <c r="A68" s="111">
        <f t="shared" si="8"/>
        <v>54</v>
      </c>
      <c r="B68" s="1" t="s">
        <v>2343</v>
      </c>
      <c r="C68" s="234"/>
      <c r="D68" s="234"/>
      <c r="E68" s="234"/>
      <c r="F68" s="2"/>
      <c r="G68" s="234"/>
      <c r="H68" s="234"/>
      <c r="I68" s="234"/>
      <c r="J68" s="234"/>
      <c r="K68" s="234"/>
      <c r="L68" s="234"/>
    </row>
    <row r="69" spans="1:16">
      <c r="A69" s="111">
        <f t="shared" si="8"/>
        <v>55</v>
      </c>
      <c r="B69" s="234"/>
      <c r="C69" s="234"/>
      <c r="D69" s="234"/>
      <c r="E69" s="234"/>
      <c r="F69" s="2"/>
      <c r="G69" s="234"/>
      <c r="H69" s="234"/>
      <c r="I69" s="234"/>
      <c r="J69" s="234"/>
      <c r="K69" s="234"/>
      <c r="L69" s="234"/>
    </row>
    <row r="70" spans="1:16">
      <c r="A70" s="111">
        <f t="shared" si="8"/>
        <v>56</v>
      </c>
      <c r="B70" s="234"/>
      <c r="C70" s="84" t="s">
        <v>363</v>
      </c>
      <c r="D70" s="84" t="s">
        <v>347</v>
      </c>
      <c r="E70" s="84" t="s">
        <v>348</v>
      </c>
      <c r="F70" s="84" t="s">
        <v>349</v>
      </c>
      <c r="G70" s="84" t="s">
        <v>350</v>
      </c>
      <c r="H70" s="84" t="s">
        <v>351</v>
      </c>
      <c r="I70" s="84" t="s">
        <v>352</v>
      </c>
      <c r="J70" s="234"/>
    </row>
    <row r="71" spans="1:16">
      <c r="A71" s="111">
        <f t="shared" si="8"/>
        <v>57</v>
      </c>
      <c r="B71" s="234"/>
      <c r="C71" s="504" t="s">
        <v>1067</v>
      </c>
      <c r="D71" s="504" t="s">
        <v>1068</v>
      </c>
      <c r="E71" s="84"/>
      <c r="F71" s="84"/>
      <c r="G71" s="84"/>
      <c r="H71" s="84"/>
      <c r="I71" s="87" t="s">
        <v>535</v>
      </c>
      <c r="J71" s="234"/>
      <c r="K71" s="234"/>
      <c r="L71" s="234"/>
    </row>
    <row r="72" spans="1:16">
      <c r="A72" s="111">
        <f t="shared" si="8"/>
        <v>58</v>
      </c>
      <c r="B72" s="234"/>
      <c r="C72" s="234"/>
      <c r="D72" s="234"/>
      <c r="E72" s="234"/>
      <c r="F72" s="2"/>
      <c r="G72" s="234"/>
      <c r="H72" s="234"/>
      <c r="I72" s="234"/>
      <c r="J72" s="234"/>
      <c r="K72" s="416"/>
      <c r="L72" s="234"/>
    </row>
    <row r="73" spans="1:16">
      <c r="A73" s="111">
        <f t="shared" si="8"/>
        <v>59</v>
      </c>
      <c r="B73" s="234"/>
      <c r="C73" s="2" t="s">
        <v>510</v>
      </c>
      <c r="D73" s="234"/>
      <c r="E73" s="234"/>
      <c r="F73" s="2"/>
      <c r="G73" s="234"/>
      <c r="H73" s="234"/>
      <c r="I73" s="2" t="s">
        <v>19</v>
      </c>
      <c r="J73" s="234"/>
      <c r="K73" s="521"/>
      <c r="L73" s="234"/>
    </row>
    <row r="74" spans="1:16">
      <c r="A74" s="111">
        <f t="shared" si="8"/>
        <v>60</v>
      </c>
      <c r="B74" s="237" t="s">
        <v>407</v>
      </c>
      <c r="C74" s="2" t="s">
        <v>529</v>
      </c>
      <c r="D74" s="234"/>
      <c r="E74" s="234"/>
      <c r="F74" s="84"/>
      <c r="G74" s="234"/>
      <c r="H74" s="234"/>
      <c r="I74" s="2" t="s">
        <v>196</v>
      </c>
      <c r="J74" s="234"/>
    </row>
    <row r="75" spans="1:16" ht="15">
      <c r="A75" s="111">
        <f t="shared" si="8"/>
        <v>61</v>
      </c>
      <c r="B75" s="237" t="s">
        <v>193</v>
      </c>
      <c r="C75" s="2" t="s">
        <v>309</v>
      </c>
      <c r="D75" s="2" t="s">
        <v>361</v>
      </c>
      <c r="E75" s="2"/>
      <c r="F75" s="2"/>
      <c r="G75" s="2" t="s">
        <v>527</v>
      </c>
      <c r="H75" s="2"/>
      <c r="I75" s="2" t="s">
        <v>20</v>
      </c>
      <c r="J75" s="234"/>
      <c r="P75" s="245"/>
    </row>
    <row r="76" spans="1:16" ht="15">
      <c r="A76" s="111">
        <f t="shared" si="8"/>
        <v>62</v>
      </c>
      <c r="B76" s="3" t="s">
        <v>192</v>
      </c>
      <c r="C76" s="3" t="s">
        <v>21</v>
      </c>
      <c r="D76" s="3" t="s">
        <v>309</v>
      </c>
      <c r="E76" s="3" t="s">
        <v>308</v>
      </c>
      <c r="F76" s="3" t="s">
        <v>526</v>
      </c>
      <c r="G76" s="3" t="s">
        <v>528</v>
      </c>
      <c r="H76" s="3" t="s">
        <v>361</v>
      </c>
      <c r="I76" s="3" t="s">
        <v>77</v>
      </c>
      <c r="J76" s="234"/>
      <c r="K76" s="246"/>
      <c r="L76" s="246"/>
      <c r="M76" s="246"/>
      <c r="N76" s="246"/>
      <c r="O76" s="246"/>
      <c r="P76" s="246"/>
    </row>
    <row r="77" spans="1:16">
      <c r="A77" s="111">
        <f t="shared" si="8"/>
        <v>63</v>
      </c>
      <c r="B77" s="251" t="s">
        <v>64</v>
      </c>
      <c r="C77" s="248">
        <v>83819249.099999994</v>
      </c>
      <c r="D77" s="248">
        <v>6811238.1299999999</v>
      </c>
      <c r="E77" s="248">
        <v>383831931.53999996</v>
      </c>
      <c r="F77" s="248">
        <v>279105622.86000001</v>
      </c>
      <c r="G77" s="248">
        <v>60318414.850000001</v>
      </c>
      <c r="H77" s="1120">
        <v>19896742.030000001</v>
      </c>
      <c r="I77" s="236">
        <f>SUM(C77:H77)</f>
        <v>833783198.50999999</v>
      </c>
      <c r="J77" s="234"/>
      <c r="K77" s="52"/>
      <c r="M77" s="7"/>
      <c r="N77" s="7"/>
      <c r="O77" s="7"/>
      <c r="P77" s="7"/>
    </row>
    <row r="78" spans="1:16">
      <c r="A78" s="111">
        <f t="shared" si="8"/>
        <v>64</v>
      </c>
      <c r="B78" s="251" t="s">
        <v>65</v>
      </c>
      <c r="C78" s="248">
        <v>78411546.890000001</v>
      </c>
      <c r="D78" s="248">
        <v>5616754.96</v>
      </c>
      <c r="E78" s="248">
        <v>354097563.15999997</v>
      </c>
      <c r="F78" s="248">
        <v>259758966.22999999</v>
      </c>
      <c r="G78" s="248">
        <v>44144014.07</v>
      </c>
      <c r="H78" s="248">
        <v>22012051.629999999</v>
      </c>
      <c r="I78" s="236">
        <f t="shared" ref="I78:I87" si="9">SUM(C78:H78)</f>
        <v>764040896.94000006</v>
      </c>
      <c r="J78" s="234"/>
      <c r="K78" s="52"/>
      <c r="M78" s="7"/>
      <c r="N78" s="7"/>
      <c r="O78" s="7"/>
      <c r="P78" s="7"/>
    </row>
    <row r="79" spans="1:16">
      <c r="A79" s="111">
        <f t="shared" si="8"/>
        <v>65</v>
      </c>
      <c r="B79" s="251" t="s">
        <v>66</v>
      </c>
      <c r="C79" s="248">
        <v>78407870.230000004</v>
      </c>
      <c r="D79" s="248">
        <v>6071447.3400000008</v>
      </c>
      <c r="E79" s="248">
        <v>352090529.03000003</v>
      </c>
      <c r="F79" s="248">
        <v>272973749.65000004</v>
      </c>
      <c r="G79" s="248">
        <v>41519717.280000001</v>
      </c>
      <c r="H79" s="248">
        <v>21804700.98</v>
      </c>
      <c r="I79" s="236">
        <f t="shared" si="9"/>
        <v>772868014.50999999</v>
      </c>
      <c r="J79" s="234"/>
      <c r="K79" s="52"/>
      <c r="M79" s="7"/>
      <c r="N79" s="7"/>
      <c r="O79" s="7"/>
      <c r="P79" s="7"/>
    </row>
    <row r="80" spans="1:16">
      <c r="A80" s="111">
        <f t="shared" si="8"/>
        <v>66</v>
      </c>
      <c r="B80" s="251" t="s">
        <v>67</v>
      </c>
      <c r="C80" s="248">
        <v>78101864.120000005</v>
      </c>
      <c r="D80" s="248">
        <v>5883196.0700000003</v>
      </c>
      <c r="E80" s="248">
        <v>192849912.25</v>
      </c>
      <c r="F80" s="248">
        <v>264947917.14000002</v>
      </c>
      <c r="G80" s="248">
        <v>40353365.93</v>
      </c>
      <c r="H80" s="248">
        <v>21576997.940000001</v>
      </c>
      <c r="I80" s="236">
        <f t="shared" si="9"/>
        <v>603713253.45000005</v>
      </c>
      <c r="J80" s="234"/>
      <c r="K80" s="52"/>
      <c r="M80" s="7"/>
      <c r="N80" s="7"/>
      <c r="O80" s="7"/>
      <c r="P80" s="7"/>
    </row>
    <row r="81" spans="1:16">
      <c r="A81" s="111">
        <f t="shared" si="8"/>
        <v>67</v>
      </c>
      <c r="B81" s="87" t="s">
        <v>184</v>
      </c>
      <c r="C81" s="248">
        <v>82781917.969999999</v>
      </c>
      <c r="D81" s="248">
        <v>6184822.0700000003</v>
      </c>
      <c r="E81" s="248">
        <v>353507802.69</v>
      </c>
      <c r="F81" s="248">
        <v>277910681.63</v>
      </c>
      <c r="G81" s="248">
        <v>45864062.880000003</v>
      </c>
      <c r="H81" s="248">
        <v>22300327.110000003</v>
      </c>
      <c r="I81" s="236">
        <f t="shared" si="9"/>
        <v>788549614.35000002</v>
      </c>
      <c r="J81" s="234"/>
      <c r="K81" s="52"/>
      <c r="M81" s="7"/>
      <c r="N81" s="7"/>
      <c r="O81" s="7"/>
      <c r="P81" s="7"/>
    </row>
    <row r="82" spans="1:16">
      <c r="A82" s="111">
        <f t="shared" si="8"/>
        <v>68</v>
      </c>
      <c r="B82" s="251" t="s">
        <v>68</v>
      </c>
      <c r="C82" s="248">
        <v>99171344.200000003</v>
      </c>
      <c r="D82" s="248">
        <v>-3145703.3499999996</v>
      </c>
      <c r="E82" s="248">
        <v>431448084.27999997</v>
      </c>
      <c r="F82" s="248">
        <v>544814544.22000003</v>
      </c>
      <c r="G82" s="248">
        <v>57011875.109999999</v>
      </c>
      <c r="H82" s="248">
        <v>27650219.110000003</v>
      </c>
      <c r="I82" s="236">
        <f t="shared" si="9"/>
        <v>1156950363.5699999</v>
      </c>
      <c r="J82" s="234"/>
      <c r="K82" s="52"/>
      <c r="M82" s="7"/>
      <c r="N82" s="7"/>
      <c r="O82" s="7"/>
      <c r="P82" s="7"/>
    </row>
    <row r="83" spans="1:16">
      <c r="A83" s="111">
        <f t="shared" si="8"/>
        <v>69</v>
      </c>
      <c r="B83" s="251" t="s">
        <v>69</v>
      </c>
      <c r="C83" s="248">
        <v>109857522.84</v>
      </c>
      <c r="D83" s="248">
        <v>-3673061.66</v>
      </c>
      <c r="E83" s="248">
        <v>452866372.38</v>
      </c>
      <c r="F83" s="248">
        <v>597674238.55999994</v>
      </c>
      <c r="G83" s="248">
        <v>86758687.890000001</v>
      </c>
      <c r="H83" s="248">
        <v>30904780.579999998</v>
      </c>
      <c r="I83" s="236">
        <f t="shared" si="9"/>
        <v>1274388540.5899999</v>
      </c>
      <c r="J83" s="234"/>
      <c r="K83" s="52"/>
      <c r="M83" s="7"/>
      <c r="N83" s="7"/>
      <c r="O83" s="7"/>
      <c r="P83" s="7"/>
    </row>
    <row r="84" spans="1:16">
      <c r="A84" s="111">
        <f t="shared" si="8"/>
        <v>70</v>
      </c>
      <c r="B84" s="251" t="s">
        <v>70</v>
      </c>
      <c r="C84" s="248">
        <v>110365061.18000001</v>
      </c>
      <c r="D84" s="248">
        <v>-3591852.3000000003</v>
      </c>
      <c r="E84" s="248">
        <v>486955392.59999996</v>
      </c>
      <c r="F84" s="248">
        <v>604298111.70999992</v>
      </c>
      <c r="G84" s="248">
        <v>110206499.81</v>
      </c>
      <c r="H84" s="248">
        <v>30975482.559999995</v>
      </c>
      <c r="I84" s="236">
        <f t="shared" si="9"/>
        <v>1339208695.5599999</v>
      </c>
      <c r="J84" s="234"/>
      <c r="K84" s="52"/>
      <c r="M84" s="7"/>
      <c r="N84" s="7"/>
      <c r="O84" s="7"/>
      <c r="P84" s="7"/>
    </row>
    <row r="85" spans="1:16">
      <c r="A85" s="111">
        <f t="shared" si="8"/>
        <v>71</v>
      </c>
      <c r="B85" s="251" t="s">
        <v>71</v>
      </c>
      <c r="C85" s="248">
        <v>92876533.890000001</v>
      </c>
      <c r="D85" s="248">
        <v>-3063996.48</v>
      </c>
      <c r="E85" s="248">
        <v>381830112.25</v>
      </c>
      <c r="F85" s="248">
        <v>495235552.40999997</v>
      </c>
      <c r="G85" s="248">
        <v>60980332.960000001</v>
      </c>
      <c r="H85" s="248">
        <v>25699567.849999998</v>
      </c>
      <c r="I85" s="236">
        <f t="shared" si="9"/>
        <v>1053558102.88</v>
      </c>
      <c r="J85" s="234"/>
      <c r="K85" s="52"/>
      <c r="M85" s="7"/>
      <c r="N85" s="7"/>
      <c r="O85" s="7"/>
      <c r="P85" s="7"/>
    </row>
    <row r="86" spans="1:16">
      <c r="A86" s="111">
        <f t="shared" si="8"/>
        <v>72</v>
      </c>
      <c r="B86" s="251" t="s">
        <v>72</v>
      </c>
      <c r="C86" s="248">
        <v>85822082.459999993</v>
      </c>
      <c r="D86" s="248">
        <v>-2772449.86</v>
      </c>
      <c r="E86" s="248">
        <v>145428527.92000002</v>
      </c>
      <c r="F86" s="248">
        <v>303295334.43000001</v>
      </c>
      <c r="G86" s="248">
        <v>57102910.209999993</v>
      </c>
      <c r="H86" s="248">
        <v>23195857.030000001</v>
      </c>
      <c r="I86" s="236">
        <f t="shared" si="9"/>
        <v>612072262.19000006</v>
      </c>
      <c r="J86" s="234"/>
      <c r="K86" s="52"/>
      <c r="M86" s="7"/>
      <c r="N86" s="7"/>
      <c r="O86" s="7"/>
      <c r="P86" s="7"/>
    </row>
    <row r="87" spans="1:16">
      <c r="A87" s="111">
        <f t="shared" si="8"/>
        <v>73</v>
      </c>
      <c r="B87" s="251" t="s">
        <v>73</v>
      </c>
      <c r="C87" s="248">
        <v>77456670.530000001</v>
      </c>
      <c r="D87" s="248">
        <v>-2615199.2499999995</v>
      </c>
      <c r="E87" s="248">
        <v>303450614.12</v>
      </c>
      <c r="F87" s="248">
        <v>264085092.67000002</v>
      </c>
      <c r="G87" s="248">
        <v>51695771.18</v>
      </c>
      <c r="H87" s="248">
        <v>21276717.469999999</v>
      </c>
      <c r="I87" s="236">
        <f t="shared" si="9"/>
        <v>715349666.71999991</v>
      </c>
      <c r="J87" s="234"/>
      <c r="K87" s="52"/>
      <c r="M87" s="7"/>
      <c r="N87" s="7"/>
      <c r="O87" s="7"/>
      <c r="P87" s="7"/>
    </row>
    <row r="88" spans="1:16">
      <c r="A88" s="111">
        <f t="shared" si="8"/>
        <v>74</v>
      </c>
      <c r="B88" s="251" t="s">
        <v>74</v>
      </c>
      <c r="C88" s="108">
        <v>82656320.829999998</v>
      </c>
      <c r="D88" s="108">
        <v>-2690297.9200000004</v>
      </c>
      <c r="E88" s="108">
        <v>376516168.75999999</v>
      </c>
      <c r="F88" s="108">
        <v>281781779.74000007</v>
      </c>
      <c r="G88" s="108">
        <v>58153449.329999998</v>
      </c>
      <c r="H88" s="108">
        <v>22468963.469999999</v>
      </c>
      <c r="I88" s="91">
        <f>SUM(C88:H88)</f>
        <v>818886384.21000016</v>
      </c>
      <c r="J88" s="234"/>
      <c r="K88" s="52"/>
      <c r="M88" s="7"/>
      <c r="N88" s="7"/>
      <c r="O88" s="7"/>
      <c r="P88" s="91"/>
    </row>
    <row r="89" spans="1:16">
      <c r="A89" s="111">
        <f t="shared" si="8"/>
        <v>75</v>
      </c>
      <c r="B89" s="87" t="s">
        <v>197</v>
      </c>
      <c r="C89" s="236">
        <f t="shared" ref="C89:I89" si="10">SUM(C77:C88)</f>
        <v>1059727984.24</v>
      </c>
      <c r="D89" s="236">
        <f t="shared" si="10"/>
        <v>9014897.7499999981</v>
      </c>
      <c r="E89" s="236">
        <f t="shared" si="10"/>
        <v>4214873010.9799995</v>
      </c>
      <c r="F89" s="236">
        <f t="shared" si="10"/>
        <v>4445881591.25</v>
      </c>
      <c r="G89" s="236">
        <f t="shared" si="10"/>
        <v>714109101.5</v>
      </c>
      <c r="H89" s="236">
        <f t="shared" si="10"/>
        <v>289762407.75999999</v>
      </c>
      <c r="I89" s="236">
        <f t="shared" si="10"/>
        <v>10733368993.48</v>
      </c>
      <c r="J89" s="234"/>
      <c r="P89" s="7"/>
    </row>
    <row r="90" spans="1:16">
      <c r="A90" s="111">
        <f t="shared" si="8"/>
        <v>76</v>
      </c>
      <c r="B90" s="234"/>
      <c r="C90" s="234"/>
      <c r="D90" s="234"/>
      <c r="E90" s="234"/>
      <c r="F90" s="234"/>
      <c r="G90" s="234"/>
      <c r="H90" s="94"/>
      <c r="I90" s="234"/>
      <c r="J90" s="234"/>
      <c r="K90" s="234"/>
      <c r="L90" s="234"/>
    </row>
    <row r="91" spans="1:16">
      <c r="A91" s="111">
        <f t="shared" si="8"/>
        <v>77</v>
      </c>
      <c r="B91" s="234"/>
      <c r="C91" s="234"/>
      <c r="D91" s="234"/>
      <c r="E91" s="234"/>
      <c r="F91" s="234"/>
      <c r="G91" s="234"/>
      <c r="H91" s="94" t="s">
        <v>530</v>
      </c>
      <c r="I91" s="1120">
        <v>10733368993</v>
      </c>
      <c r="J91" s="234"/>
      <c r="K91" s="234"/>
      <c r="L91" s="234"/>
    </row>
    <row r="92" spans="1:16">
      <c r="A92" s="234"/>
      <c r="B92" s="234"/>
      <c r="C92" s="234"/>
      <c r="D92" s="234"/>
      <c r="E92" s="234"/>
      <c r="F92" s="234"/>
      <c r="G92" s="234"/>
      <c r="H92" s="234"/>
      <c r="I92" s="234"/>
      <c r="J92" s="234"/>
      <c r="K92" s="234"/>
      <c r="L92" s="234"/>
    </row>
    <row r="93" spans="1:16">
      <c r="A93" s="2"/>
      <c r="B93" s="44" t="s">
        <v>382</v>
      </c>
      <c r="C93" s="243"/>
      <c r="D93" s="243"/>
      <c r="E93" s="243"/>
      <c r="F93" s="243"/>
      <c r="G93" s="243"/>
      <c r="H93" s="243"/>
      <c r="I93" s="238"/>
      <c r="J93" s="243"/>
      <c r="K93" s="243"/>
      <c r="L93" s="234"/>
    </row>
    <row r="94" spans="1:16">
      <c r="A94" s="2"/>
      <c r="B94" s="502" t="str">
        <f>"1) Enter applicable years on Column 1, Lines "&amp;A24&amp;"-"&amp;A36&amp;" (Prior Year and December of the year previous to the Prior Year)."</f>
        <v>1) Enter applicable years on Column 1, Lines 11-23 (Prior Year and December of the year previous to the Prior Year).</v>
      </c>
      <c r="C94" s="243"/>
      <c r="D94" s="243"/>
      <c r="E94" s="243"/>
      <c r="F94" s="243"/>
      <c r="G94" s="243"/>
      <c r="H94" s="243"/>
      <c r="I94" s="243"/>
      <c r="J94" s="243"/>
      <c r="K94" s="243"/>
      <c r="L94" s="234"/>
    </row>
    <row r="95" spans="1:16">
      <c r="A95" s="2"/>
      <c r="B95" s="502" t="str">
        <f>"2) Enter Previous Annual Update True Up Adjustment (if any) on Line "&amp;A41&amp;"."</f>
        <v>2) Enter Previous Annual Update True Up Adjustment (if any) on Line 27.</v>
      </c>
      <c r="C95" s="243"/>
      <c r="D95" s="243"/>
      <c r="E95" s="243"/>
      <c r="F95" s="243"/>
      <c r="G95" s="243"/>
      <c r="H95" s="243"/>
      <c r="I95" s="243"/>
      <c r="J95" s="243"/>
      <c r="K95" s="243"/>
      <c r="L95" s="234"/>
    </row>
    <row r="96" spans="1:16">
      <c r="A96" s="2"/>
      <c r="B96" s="1216" t="s">
        <v>2344</v>
      </c>
      <c r="C96" s="243"/>
      <c r="D96" s="243"/>
      <c r="E96" s="243"/>
      <c r="F96" s="243"/>
      <c r="G96" s="243"/>
      <c r="H96" s="243"/>
      <c r="I96" s="243"/>
      <c r="J96" s="243"/>
      <c r="K96" s="243"/>
      <c r="L96" s="234"/>
    </row>
    <row r="97" spans="1:12">
      <c r="A97" s="2"/>
      <c r="B97" s="502" t="s">
        <v>971</v>
      </c>
      <c r="C97" s="243"/>
      <c r="D97" s="243"/>
      <c r="E97" s="243"/>
      <c r="F97" s="243"/>
      <c r="G97" s="243"/>
      <c r="H97" s="243"/>
      <c r="I97" s="243"/>
      <c r="J97" s="243"/>
      <c r="K97" s="243"/>
      <c r="L97" s="234"/>
    </row>
    <row r="98" spans="1:12">
      <c r="A98" s="2"/>
      <c r="B98" s="972" t="str">
        <f>"18 C.F.R. §35.19a on lines "&amp;A25&amp;" to "&amp;A36&amp;", Column 6."</f>
        <v>18 C.F.R. §35.19a on lines 12 to 23, Column 6.</v>
      </c>
      <c r="C98" s="243"/>
      <c r="D98" s="243"/>
      <c r="E98" s="243"/>
      <c r="F98" s="243"/>
      <c r="G98" s="243"/>
      <c r="H98" s="243"/>
      <c r="I98" s="243"/>
      <c r="J98" s="243"/>
      <c r="K98" s="243"/>
      <c r="L98" s="234"/>
    </row>
    <row r="99" spans="1:12">
      <c r="A99" s="2"/>
      <c r="B99" s="502" t="s">
        <v>2345</v>
      </c>
      <c r="C99" s="243"/>
      <c r="D99" s="243"/>
      <c r="E99" s="243"/>
      <c r="F99" s="243"/>
      <c r="G99" s="243"/>
      <c r="H99" s="243"/>
      <c r="I99" s="243"/>
      <c r="J99" s="243"/>
      <c r="K99" s="243"/>
      <c r="L99" s="234"/>
    </row>
    <row r="100" spans="1:12">
      <c r="A100" s="2"/>
      <c r="B100" s="479" t="s">
        <v>1732</v>
      </c>
      <c r="C100" s="243"/>
      <c r="D100" s="243"/>
      <c r="E100" s="243"/>
      <c r="F100" s="243"/>
      <c r="G100" s="243"/>
      <c r="H100" s="243"/>
      <c r="I100" s="243"/>
      <c r="J100" s="243"/>
      <c r="K100" s="243"/>
      <c r="L100" s="234"/>
    </row>
    <row r="101" spans="1:12">
      <c r="A101" s="600"/>
      <c r="B101" s="974" t="s">
        <v>2346</v>
      </c>
      <c r="C101" s="243"/>
      <c r="D101" s="243"/>
      <c r="E101" s="243"/>
      <c r="F101" s="243"/>
      <c r="G101" s="243"/>
      <c r="H101" s="243"/>
      <c r="I101" s="243"/>
      <c r="J101" s="243"/>
      <c r="K101" s="243"/>
    </row>
    <row r="102" spans="1:12">
      <c r="A102" s="600"/>
      <c r="B102" s="1217" t="s">
        <v>2347</v>
      </c>
      <c r="C102" s="243"/>
      <c r="D102" s="243"/>
      <c r="E102" s="243"/>
      <c r="F102" s="243"/>
      <c r="G102" s="243"/>
      <c r="H102" s="243"/>
      <c r="I102" s="243"/>
      <c r="J102" s="243"/>
      <c r="K102" s="243"/>
      <c r="L102" s="234"/>
    </row>
    <row r="103" spans="1:12">
      <c r="A103" s="600"/>
      <c r="B103" s="1217"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43"/>
      <c r="E103" s="243"/>
      <c r="F103" s="243"/>
      <c r="G103" s="243"/>
      <c r="H103" s="243"/>
      <c r="I103" s="243"/>
      <c r="J103" s="243"/>
      <c r="K103" s="243"/>
      <c r="L103" s="234"/>
    </row>
    <row r="104" spans="1:12">
      <c r="A104" s="2"/>
      <c r="B104" s="974" t="s">
        <v>2348</v>
      </c>
      <c r="C104" s="243"/>
      <c r="D104" s="243"/>
      <c r="E104" s="243"/>
      <c r="F104" s="243"/>
      <c r="G104" s="243"/>
      <c r="H104" s="243"/>
      <c r="I104" s="243"/>
      <c r="J104" s="243"/>
      <c r="K104" s="243"/>
      <c r="L104" s="234"/>
    </row>
    <row r="105" spans="1:12">
      <c r="A105" s="2"/>
      <c r="B105" s="974" t="s">
        <v>2349</v>
      </c>
      <c r="C105" s="243"/>
      <c r="D105" s="243"/>
      <c r="E105" s="243"/>
      <c r="F105" s="243"/>
      <c r="G105" s="243"/>
      <c r="H105" s="243"/>
      <c r="I105" s="243"/>
      <c r="J105" s="243"/>
      <c r="K105" s="243"/>
      <c r="L105" s="234"/>
    </row>
    <row r="106" spans="1:12">
      <c r="A106" s="2"/>
      <c r="B106" s="502" t="str">
        <f>"5) Fill in matrix of all retail revenues from Prior Year in table on lines "&amp;A77&amp;" to "&amp;A88&amp;"."</f>
        <v>5) Fill in matrix of all retail revenues from Prior Year in table on lines 63 to 74.</v>
      </c>
      <c r="C106" s="243"/>
      <c r="D106" s="243"/>
      <c r="E106" s="243"/>
      <c r="F106" s="243"/>
      <c r="G106" s="243"/>
      <c r="H106" s="243"/>
      <c r="I106" s="243"/>
      <c r="J106" s="243"/>
      <c r="K106" s="243"/>
      <c r="L106" s="234"/>
    </row>
    <row r="107" spans="1:12">
      <c r="A107" s="2"/>
      <c r="B107" s="502" t="str">
        <f>"6) Enter Total Sales to Ultimate Consumers on line "&amp;A91&amp;" and verify that it equals the total on line "&amp;A89&amp;"."</f>
        <v>6) Enter Total Sales to Ultimate Consumers on line 77 and verify that it equals the total on line 75.</v>
      </c>
      <c r="C107" s="243"/>
      <c r="D107" s="243"/>
      <c r="E107" s="243"/>
      <c r="F107" s="243"/>
      <c r="G107" s="243"/>
      <c r="H107" s="243"/>
      <c r="I107" s="243"/>
      <c r="J107" s="243"/>
      <c r="K107" s="243"/>
      <c r="L107" s="234"/>
    </row>
    <row r="108" spans="1:12">
      <c r="A108" s="2"/>
      <c r="B108" s="502" t="s">
        <v>2350</v>
      </c>
      <c r="C108" s="243"/>
      <c r="D108" s="243"/>
      <c r="E108" s="243"/>
      <c r="F108" s="243"/>
      <c r="G108" s="243"/>
      <c r="H108" s="243"/>
      <c r="I108" s="243"/>
      <c r="J108" s="243"/>
      <c r="K108" s="243"/>
      <c r="L108" s="234"/>
    </row>
    <row r="109" spans="1:12" s="14" customFormat="1">
      <c r="A109" s="111"/>
      <c r="B109" s="972" t="s">
        <v>1071</v>
      </c>
      <c r="C109" s="243"/>
      <c r="D109" s="243"/>
      <c r="E109" s="243"/>
      <c r="F109" s="243"/>
      <c r="G109" s="243"/>
      <c r="H109" s="243"/>
      <c r="I109" s="243"/>
      <c r="J109" s="243"/>
      <c r="K109" s="243"/>
      <c r="L109" s="243"/>
    </row>
    <row r="110" spans="1:12">
      <c r="A110" s="2"/>
      <c r="B110" s="960" t="s">
        <v>232</v>
      </c>
      <c r="C110" s="243"/>
      <c r="D110" s="243"/>
      <c r="E110" s="243"/>
      <c r="F110" s="243"/>
      <c r="G110" s="243"/>
      <c r="H110" s="243"/>
      <c r="I110" s="243"/>
      <c r="J110" s="243"/>
      <c r="K110" s="243"/>
      <c r="L110" s="234"/>
    </row>
    <row r="111" spans="1:12">
      <c r="A111" s="2"/>
      <c r="B111" s="507" t="s">
        <v>1504</v>
      </c>
      <c r="C111" s="243"/>
      <c r="D111" s="243"/>
      <c r="E111" s="243"/>
      <c r="F111" s="243"/>
      <c r="G111" s="243"/>
      <c r="H111" s="243"/>
      <c r="I111" s="243"/>
      <c r="J111" s="243"/>
      <c r="K111" s="243"/>
      <c r="L111" s="234"/>
    </row>
    <row r="112" spans="1:12">
      <c r="A112" s="2"/>
      <c r="B112" s="1218" t="s">
        <v>1505</v>
      </c>
      <c r="C112" s="243"/>
      <c r="D112" s="243"/>
      <c r="E112" s="243"/>
      <c r="F112" s="243"/>
      <c r="G112" s="243"/>
      <c r="H112" s="243"/>
      <c r="I112" s="243"/>
      <c r="J112" s="243"/>
      <c r="K112" s="243"/>
      <c r="L112" s="234"/>
    </row>
    <row r="113" spans="1:12">
      <c r="A113" s="2"/>
      <c r="B113" s="1216"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43"/>
      <c r="D113" s="243"/>
      <c r="E113" s="243"/>
      <c r="F113" s="243"/>
      <c r="G113" s="243"/>
      <c r="H113" s="243"/>
      <c r="I113" s="243"/>
      <c r="J113" s="243"/>
      <c r="K113" s="243"/>
      <c r="L113" s="234"/>
    </row>
    <row r="114" spans="1:12">
      <c r="A114" s="533"/>
      <c r="B114" s="1216" t="str">
        <f>"Only enter in the Prior Year, Lines "&amp;A25&amp;" to "&amp;A36&amp;", or portion of year formula was in effect in case of Partial Year True Up."</f>
        <v>Only enter in the Prior Year, Lines 12 to 23, or portion of year formula was in effect in case of Partial Year True Up.</v>
      </c>
      <c r="C114" s="243"/>
      <c r="D114" s="243"/>
      <c r="E114" s="243"/>
      <c r="F114" s="243"/>
      <c r="G114" s="243"/>
      <c r="H114" s="243"/>
      <c r="I114" s="243"/>
      <c r="J114" s="243"/>
      <c r="K114" s="243"/>
      <c r="L114" s="234"/>
    </row>
    <row r="115" spans="1:12">
      <c r="A115" s="600"/>
      <c r="B115" s="1216" t="s">
        <v>1847</v>
      </c>
      <c r="C115" s="243"/>
      <c r="D115" s="243"/>
      <c r="E115" s="243"/>
      <c r="F115" s="243"/>
      <c r="G115" s="243"/>
      <c r="H115" s="243"/>
      <c r="I115" s="243"/>
      <c r="J115" s="243"/>
      <c r="K115" s="243"/>
      <c r="L115" s="234"/>
    </row>
    <row r="116" spans="1:12">
      <c r="A116" s="2"/>
      <c r="B116" s="1218" t="s">
        <v>1072</v>
      </c>
      <c r="C116" s="243"/>
      <c r="D116" s="243"/>
      <c r="E116" s="243"/>
      <c r="F116" s="243"/>
      <c r="G116" s="243"/>
      <c r="H116" s="243"/>
      <c r="I116" s="243"/>
      <c r="J116" s="243"/>
      <c r="K116" s="243"/>
      <c r="L116" s="234"/>
    </row>
    <row r="117" spans="1:12">
      <c r="A117" s="2"/>
      <c r="B117" s="1216" t="str">
        <f>"as shown on Lines "&amp;A77&amp;" to "&amp;A88&amp;", Column 1."</f>
        <v>as shown on Lines 63 to 74, Column 1.</v>
      </c>
      <c r="C117" s="243"/>
      <c r="D117" s="243"/>
      <c r="E117" s="243"/>
      <c r="F117" s="243"/>
      <c r="G117" s="243"/>
      <c r="H117" s="243"/>
      <c r="I117" s="243"/>
      <c r="J117" s="243"/>
      <c r="K117" s="243"/>
      <c r="L117" s="234"/>
    </row>
    <row r="118" spans="1:12">
      <c r="A118" s="2"/>
      <c r="B118" s="1218" t="s">
        <v>2594</v>
      </c>
      <c r="C118" s="243"/>
      <c r="D118" s="243"/>
      <c r="E118" s="243"/>
      <c r="F118" s="243"/>
      <c r="G118" s="243"/>
      <c r="H118" s="243"/>
      <c r="I118" s="243"/>
      <c r="J118" s="243"/>
      <c r="K118" s="243"/>
      <c r="L118" s="234"/>
    </row>
    <row r="119" spans="1:12">
      <c r="A119" s="2"/>
      <c r="B119" s="1218" t="s">
        <v>1632</v>
      </c>
      <c r="C119" s="243"/>
      <c r="D119" s="243"/>
      <c r="E119" s="243"/>
      <c r="F119" s="243"/>
      <c r="G119" s="243"/>
      <c r="H119" s="243"/>
      <c r="I119" s="243"/>
      <c r="J119" s="243"/>
      <c r="K119" s="243"/>
      <c r="L119" s="234"/>
    </row>
    <row r="120" spans="1:12">
      <c r="A120" s="2"/>
      <c r="B120" s="502" t="s">
        <v>2351</v>
      </c>
      <c r="C120" s="243"/>
      <c r="D120" s="243"/>
      <c r="E120" s="243"/>
      <c r="F120" s="243"/>
      <c r="G120" s="243"/>
      <c r="H120" s="243"/>
      <c r="I120" s="243"/>
      <c r="J120" s="243"/>
      <c r="K120" s="243"/>
      <c r="L120" s="234"/>
    </row>
    <row r="121" spans="1:12">
      <c r="A121" s="600"/>
      <c r="B121" s="972" t="s">
        <v>2352</v>
      </c>
      <c r="C121" s="243"/>
      <c r="D121" s="243"/>
      <c r="E121" s="243"/>
      <c r="F121" s="243"/>
      <c r="G121" s="243"/>
      <c r="H121" s="243"/>
      <c r="I121" s="243"/>
      <c r="J121" s="243"/>
      <c r="K121" s="243"/>
      <c r="L121" s="234"/>
    </row>
    <row r="122" spans="1:12">
      <c r="A122" s="600"/>
      <c r="B122" s="502" t="s">
        <v>1073</v>
      </c>
      <c r="C122" s="243"/>
      <c r="D122" s="243"/>
      <c r="E122" s="243"/>
      <c r="F122" s="243"/>
      <c r="G122" s="243"/>
      <c r="H122" s="243"/>
      <c r="I122" s="243"/>
      <c r="J122" s="243"/>
      <c r="K122" s="243"/>
      <c r="L122" s="243"/>
    </row>
    <row r="123" spans="1:12">
      <c r="A123" s="2"/>
      <c r="B123" s="973" t="s">
        <v>2353</v>
      </c>
      <c r="C123" s="243"/>
      <c r="D123" s="243"/>
      <c r="E123" s="243"/>
      <c r="F123" s="243"/>
      <c r="G123" s="243"/>
      <c r="H123" s="243"/>
      <c r="I123" s="243"/>
      <c r="J123" s="243"/>
      <c r="K123" s="243"/>
      <c r="L123" s="243"/>
    </row>
    <row r="124" spans="1:12">
      <c r="A124" s="2"/>
      <c r="B124" s="502" t="s">
        <v>2354</v>
      </c>
      <c r="C124" s="243"/>
      <c r="D124" s="243"/>
      <c r="E124" s="243"/>
      <c r="F124" s="243"/>
      <c r="G124" s="243"/>
      <c r="H124" s="243"/>
      <c r="I124" s="243"/>
      <c r="J124" s="243"/>
      <c r="K124" s="243"/>
      <c r="L124" s="234"/>
    </row>
    <row r="125" spans="1:12">
      <c r="A125" s="2"/>
      <c r="B125" s="502" t="s">
        <v>2355</v>
      </c>
      <c r="C125" s="243"/>
      <c r="D125" s="243"/>
      <c r="E125" s="243"/>
      <c r="F125" s="243"/>
      <c r="G125" s="243"/>
      <c r="H125" s="243"/>
      <c r="I125" s="243"/>
      <c r="J125" s="243"/>
      <c r="K125" s="243"/>
      <c r="L125" s="234"/>
    </row>
    <row r="126" spans="1:12">
      <c r="A126" s="2"/>
      <c r="B126" s="972" t="s">
        <v>534</v>
      </c>
      <c r="C126" s="243"/>
      <c r="D126" s="243"/>
      <c r="E126" s="243"/>
      <c r="F126" s="243"/>
      <c r="G126" s="243"/>
      <c r="H126" s="243"/>
      <c r="I126" s="243"/>
      <c r="J126" s="243"/>
      <c r="K126" s="243"/>
      <c r="L126" s="234"/>
    </row>
    <row r="127" spans="1:12">
      <c r="A127" s="2"/>
      <c r="B127" s="972" t="s">
        <v>1900</v>
      </c>
      <c r="C127" s="243"/>
      <c r="D127" s="243"/>
      <c r="E127" s="243"/>
      <c r="F127" s="243"/>
      <c r="G127" s="243"/>
      <c r="H127" s="243"/>
      <c r="I127" s="243"/>
      <c r="J127" s="243"/>
      <c r="K127" s="243"/>
      <c r="L127" s="234"/>
    </row>
    <row r="128" spans="1:12">
      <c r="A128" s="2"/>
      <c r="B128" s="972" t="s">
        <v>1901</v>
      </c>
      <c r="C128" s="243"/>
      <c r="D128" s="243"/>
      <c r="E128" s="243"/>
      <c r="F128" s="243"/>
      <c r="G128" s="243"/>
      <c r="H128" s="243"/>
      <c r="I128" s="243"/>
      <c r="J128" s="243"/>
      <c r="K128" s="243"/>
      <c r="L128" s="234"/>
    </row>
    <row r="129" spans="1:12">
      <c r="A129" s="2"/>
      <c r="B129" s="502" t="s">
        <v>2356</v>
      </c>
      <c r="C129" s="243"/>
      <c r="D129" s="243"/>
      <c r="E129" s="243"/>
      <c r="F129" s="243"/>
      <c r="G129" s="243"/>
      <c r="H129" s="243"/>
      <c r="I129" s="243"/>
      <c r="J129" s="243"/>
      <c r="K129" s="243"/>
      <c r="L129" s="234"/>
    </row>
    <row r="130" spans="1:12">
      <c r="A130" s="2"/>
      <c r="B130" s="972" t="s">
        <v>2070</v>
      </c>
      <c r="C130" s="243"/>
      <c r="D130" s="243"/>
      <c r="E130" s="243"/>
      <c r="F130" s="243"/>
      <c r="G130" s="243"/>
      <c r="H130" s="243"/>
      <c r="I130" s="243"/>
      <c r="J130" s="243"/>
      <c r="K130" s="243"/>
      <c r="L130" s="234"/>
    </row>
    <row r="131" spans="1:12">
      <c r="A131" s="2"/>
      <c r="B131" s="972" t="s">
        <v>2069</v>
      </c>
      <c r="C131" s="243"/>
      <c r="D131" s="243"/>
      <c r="E131" s="243"/>
      <c r="F131" s="243"/>
      <c r="G131" s="243"/>
      <c r="H131" s="243"/>
      <c r="I131" s="243"/>
      <c r="J131" s="243"/>
      <c r="K131" s="243"/>
      <c r="L131" s="234"/>
    </row>
    <row r="132" spans="1:12">
      <c r="A132" s="234"/>
      <c r="B132" s="972" t="s">
        <v>2068</v>
      </c>
      <c r="C132" s="243"/>
      <c r="D132" s="243"/>
      <c r="E132" s="243"/>
      <c r="F132" s="243"/>
      <c r="G132" s="243"/>
      <c r="H132" s="243"/>
      <c r="I132" s="243"/>
      <c r="J132" s="243"/>
      <c r="K132" s="243"/>
      <c r="L132" s="234"/>
    </row>
    <row r="133" spans="1:12">
      <c r="A133" s="234"/>
      <c r="B133" s="972" t="s">
        <v>972</v>
      </c>
      <c r="C133" s="243"/>
      <c r="D133" s="243"/>
      <c r="E133" s="243"/>
      <c r="F133" s="243"/>
      <c r="G133" s="243"/>
      <c r="H133" s="243"/>
      <c r="I133" s="243"/>
      <c r="J133" s="243"/>
      <c r="K133" s="243"/>
      <c r="L133" s="234"/>
    </row>
    <row r="134" spans="1:12">
      <c r="A134" s="234"/>
      <c r="B134" s="46"/>
      <c r="C134" s="243"/>
      <c r="D134" s="243"/>
      <c r="E134" s="243"/>
      <c r="F134" s="243"/>
      <c r="G134" s="243"/>
      <c r="H134" s="243"/>
      <c r="I134" s="243"/>
      <c r="J134" s="243"/>
      <c r="K134" s="243"/>
      <c r="L134" s="234"/>
    </row>
    <row r="135" spans="1:12">
      <c r="A135" s="234"/>
      <c r="B135" s="381"/>
      <c r="C135" s="243"/>
      <c r="D135" s="243"/>
      <c r="E135" s="243"/>
      <c r="F135" s="243"/>
      <c r="G135" s="243"/>
      <c r="H135" s="243"/>
      <c r="I135" s="243"/>
      <c r="J135" s="243"/>
      <c r="K135" s="243"/>
      <c r="L135" s="234"/>
    </row>
    <row r="136" spans="1:12">
      <c r="A136" s="234"/>
      <c r="B136" s="972"/>
      <c r="C136" s="243"/>
      <c r="D136" s="243"/>
      <c r="E136" s="243"/>
      <c r="F136" s="243"/>
      <c r="G136" s="243"/>
      <c r="H136" s="243"/>
      <c r="I136" s="243"/>
      <c r="J136" s="243"/>
      <c r="K136" s="243"/>
      <c r="L136" s="234"/>
    </row>
    <row r="137" spans="1:12">
      <c r="A137" s="234"/>
      <c r="B137" s="972"/>
      <c r="C137" s="243"/>
      <c r="D137" s="243"/>
      <c r="E137" s="243"/>
      <c r="F137" s="243"/>
      <c r="G137" s="243"/>
      <c r="H137" s="243"/>
      <c r="I137" s="243"/>
      <c r="J137" s="243"/>
      <c r="K137" s="243"/>
      <c r="L137" s="234"/>
    </row>
    <row r="138" spans="1:12">
      <c r="A138" s="234"/>
      <c r="B138" s="46"/>
      <c r="C138" s="243"/>
      <c r="D138" s="243"/>
      <c r="E138" s="243"/>
      <c r="F138" s="243"/>
      <c r="G138" s="243"/>
      <c r="H138" s="243"/>
      <c r="I138" s="243"/>
      <c r="J138" s="243"/>
      <c r="K138" s="243"/>
      <c r="L138" s="234"/>
    </row>
    <row r="139" spans="1:12">
      <c r="A139" s="234"/>
      <c r="B139" s="972"/>
      <c r="C139" s="243"/>
      <c r="D139" s="243"/>
      <c r="E139" s="243"/>
      <c r="F139" s="243"/>
      <c r="G139" s="243"/>
      <c r="H139" s="243"/>
      <c r="I139" s="243"/>
      <c r="J139" s="243"/>
      <c r="K139" s="243"/>
      <c r="L139" s="234"/>
    </row>
    <row r="140" spans="1:12">
      <c r="A140" s="234"/>
      <c r="B140" s="972"/>
      <c r="C140" s="243"/>
      <c r="D140" s="243"/>
      <c r="E140" s="243"/>
      <c r="F140" s="243"/>
      <c r="G140" s="243"/>
      <c r="H140" s="243"/>
      <c r="I140" s="243"/>
      <c r="J140" s="243"/>
      <c r="K140" s="243"/>
      <c r="L140" s="234"/>
    </row>
    <row r="141" spans="1:12">
      <c r="A141" s="234"/>
      <c r="B141" s="972"/>
      <c r="C141" s="243"/>
      <c r="D141" s="243"/>
      <c r="E141" s="243"/>
      <c r="F141" s="243"/>
      <c r="G141" s="243"/>
      <c r="H141" s="243"/>
      <c r="I141" s="243"/>
      <c r="J141" s="243"/>
      <c r="K141" s="243"/>
      <c r="L141" s="234"/>
    </row>
    <row r="142" spans="1:12">
      <c r="A142" s="234"/>
      <c r="B142" s="381"/>
      <c r="C142" s="243"/>
      <c r="D142" s="243"/>
      <c r="E142" s="243"/>
      <c r="F142" s="243"/>
      <c r="G142" s="243"/>
      <c r="H142" s="243"/>
      <c r="I142" s="243"/>
      <c r="J142" s="243"/>
      <c r="K142" s="243"/>
      <c r="L142" s="234"/>
    </row>
    <row r="143" spans="1:12">
      <c r="A143" s="234"/>
      <c r="C143" s="234"/>
      <c r="D143" s="234"/>
      <c r="E143" s="234"/>
      <c r="F143" s="234"/>
      <c r="G143" s="234"/>
      <c r="H143" s="234"/>
      <c r="I143" s="234"/>
      <c r="J143" s="234"/>
      <c r="K143" s="234"/>
      <c r="L143" s="234"/>
    </row>
    <row r="144" spans="1:12">
      <c r="A144" s="234"/>
      <c r="B144" s="234"/>
      <c r="C144" s="234"/>
      <c r="D144" s="234"/>
      <c r="E144" s="234"/>
      <c r="F144" s="234"/>
      <c r="G144" s="234"/>
      <c r="H144" s="234"/>
      <c r="I144" s="234"/>
      <c r="J144" s="234"/>
      <c r="K144" s="234"/>
      <c r="L144" s="234"/>
    </row>
    <row r="145" spans="1:12">
      <c r="A145" s="234"/>
      <c r="B145" s="234"/>
      <c r="C145" s="234"/>
      <c r="D145" s="234"/>
      <c r="E145" s="234"/>
      <c r="F145" s="234"/>
      <c r="G145" s="234"/>
      <c r="H145" s="234"/>
      <c r="I145" s="234"/>
      <c r="J145" s="234"/>
      <c r="K145" s="234"/>
      <c r="L145" s="234"/>
    </row>
    <row r="146" spans="1:12">
      <c r="A146" s="234"/>
      <c r="B146" s="234"/>
      <c r="C146" s="234"/>
      <c r="D146" s="234"/>
      <c r="E146" s="234"/>
      <c r="F146" s="234"/>
      <c r="G146" s="234"/>
      <c r="H146" s="234"/>
      <c r="I146" s="234"/>
      <c r="J146" s="234"/>
      <c r="K146" s="234"/>
      <c r="L146" s="234"/>
    </row>
    <row r="147" spans="1:12">
      <c r="A147" s="234"/>
      <c r="B147" s="234"/>
      <c r="C147" s="234"/>
      <c r="D147" s="234"/>
      <c r="E147" s="234"/>
      <c r="F147" s="234"/>
      <c r="G147" s="234"/>
      <c r="H147" s="234"/>
      <c r="I147" s="234"/>
      <c r="J147" s="234"/>
      <c r="K147" s="234"/>
      <c r="L147" s="234"/>
    </row>
    <row r="148" spans="1:12">
      <c r="A148" s="234"/>
      <c r="B148" s="234"/>
      <c r="C148" s="234"/>
      <c r="D148" s="234"/>
      <c r="E148" s="234"/>
      <c r="F148" s="234"/>
      <c r="G148" s="234"/>
      <c r="H148" s="234"/>
      <c r="I148" s="234"/>
      <c r="J148" s="234"/>
      <c r="K148" s="234"/>
      <c r="L148" s="234"/>
    </row>
    <row r="149" spans="1:12">
      <c r="A149" s="234"/>
      <c r="B149" s="234"/>
      <c r="C149" s="234"/>
      <c r="D149" s="234"/>
      <c r="E149" s="234"/>
      <c r="F149" s="234"/>
      <c r="G149" s="234"/>
      <c r="H149" s="234"/>
      <c r="I149" s="234"/>
      <c r="J149" s="234"/>
      <c r="K149" s="234"/>
      <c r="L149" s="234"/>
    </row>
    <row r="150" spans="1:12">
      <c r="A150" s="234"/>
      <c r="B150" s="234"/>
      <c r="C150" s="234"/>
      <c r="D150" s="234"/>
      <c r="E150" s="234"/>
      <c r="F150" s="234"/>
      <c r="G150" s="234"/>
      <c r="H150" s="234"/>
      <c r="I150" s="234"/>
      <c r="J150" s="234"/>
      <c r="K150" s="234"/>
      <c r="L150" s="234"/>
    </row>
    <row r="151" spans="1:12">
      <c r="A151" s="234"/>
      <c r="B151" s="234"/>
      <c r="C151" s="234"/>
      <c r="D151" s="234"/>
      <c r="E151" s="234"/>
      <c r="F151" s="234"/>
      <c r="G151" s="234"/>
      <c r="H151" s="234"/>
      <c r="I151" s="234"/>
      <c r="J151" s="234"/>
      <c r="K151" s="234"/>
      <c r="L151" s="234"/>
    </row>
    <row r="152" spans="1:12">
      <c r="A152" s="234"/>
      <c r="B152" s="234"/>
      <c r="C152" s="234"/>
      <c r="D152" s="234"/>
      <c r="E152" s="234"/>
      <c r="F152" s="234"/>
      <c r="G152" s="234"/>
      <c r="H152" s="234"/>
      <c r="I152" s="234"/>
      <c r="J152" s="234"/>
      <c r="K152" s="234"/>
      <c r="L152" s="234"/>
    </row>
    <row r="153" spans="1:12">
      <c r="A153" s="234"/>
      <c r="B153" s="234"/>
      <c r="C153" s="234"/>
      <c r="D153" s="234"/>
      <c r="E153" s="234"/>
      <c r="F153" s="234"/>
      <c r="G153" s="234"/>
      <c r="H153" s="234"/>
      <c r="I153" s="234"/>
      <c r="J153" s="234"/>
      <c r="K153" s="234"/>
      <c r="L153" s="234"/>
    </row>
    <row r="154" spans="1:12">
      <c r="A154" s="234"/>
      <c r="B154" s="234"/>
      <c r="C154" s="234"/>
      <c r="D154" s="234"/>
      <c r="E154" s="234"/>
      <c r="F154" s="234"/>
      <c r="G154" s="234"/>
      <c r="H154" s="234"/>
      <c r="I154" s="234"/>
      <c r="J154" s="234"/>
      <c r="K154" s="234"/>
      <c r="L154" s="234"/>
    </row>
    <row r="155" spans="1:12">
      <c r="A155" s="234"/>
      <c r="B155" s="234"/>
      <c r="C155" s="234"/>
      <c r="D155" s="234"/>
      <c r="E155" s="234"/>
      <c r="F155" s="234"/>
      <c r="G155" s="234"/>
      <c r="H155" s="234"/>
      <c r="I155" s="234"/>
      <c r="J155" s="234"/>
      <c r="K155" s="234"/>
      <c r="L155" s="234"/>
    </row>
    <row r="156" spans="1:12">
      <c r="A156" s="234"/>
      <c r="B156" s="234"/>
      <c r="C156" s="234"/>
      <c r="D156" s="234"/>
      <c r="E156" s="234"/>
      <c r="F156" s="234"/>
      <c r="G156" s="234"/>
      <c r="H156" s="234"/>
      <c r="I156" s="234"/>
      <c r="J156" s="234"/>
      <c r="K156" s="234"/>
      <c r="L156" s="234"/>
    </row>
    <row r="157" spans="1:12">
      <c r="A157" s="234"/>
      <c r="B157" s="234"/>
      <c r="C157" s="234"/>
      <c r="D157" s="234"/>
      <c r="E157" s="234"/>
      <c r="F157" s="234"/>
      <c r="G157" s="234"/>
      <c r="H157" s="234"/>
      <c r="I157" s="234"/>
      <c r="J157" s="234"/>
      <c r="K157" s="234"/>
      <c r="L157" s="234"/>
    </row>
    <row r="158" spans="1:12">
      <c r="A158" s="234"/>
      <c r="B158" s="234"/>
      <c r="C158" s="234"/>
      <c r="D158" s="234"/>
      <c r="E158" s="234"/>
      <c r="F158" s="234"/>
      <c r="G158" s="234"/>
      <c r="H158" s="234"/>
      <c r="I158" s="234"/>
      <c r="J158" s="234"/>
      <c r="K158" s="234"/>
      <c r="L158" s="234"/>
    </row>
    <row r="159" spans="1:12">
      <c r="A159" s="234"/>
      <c r="B159" s="234"/>
      <c r="C159" s="234"/>
      <c r="D159" s="234"/>
      <c r="E159" s="234"/>
      <c r="F159" s="234"/>
      <c r="G159" s="234"/>
      <c r="H159" s="234"/>
      <c r="I159" s="234"/>
      <c r="J159" s="234"/>
      <c r="K159" s="234"/>
      <c r="L159" s="234"/>
    </row>
    <row r="160" spans="1:12">
      <c r="A160" s="234"/>
      <c r="B160" s="234"/>
      <c r="C160" s="234"/>
      <c r="D160" s="234"/>
      <c r="E160" s="234"/>
      <c r="F160" s="234"/>
      <c r="G160" s="234"/>
      <c r="H160" s="234"/>
      <c r="I160" s="234"/>
      <c r="J160" s="234"/>
      <c r="K160" s="234"/>
      <c r="L160" s="234"/>
    </row>
    <row r="161" spans="1:12">
      <c r="A161" s="234"/>
      <c r="B161" s="234"/>
      <c r="C161" s="234"/>
      <c r="D161" s="234"/>
      <c r="E161" s="234"/>
      <c r="F161" s="234"/>
      <c r="G161" s="234"/>
      <c r="H161" s="234"/>
      <c r="I161" s="234"/>
      <c r="J161" s="234"/>
      <c r="K161" s="234"/>
      <c r="L161" s="234"/>
    </row>
    <row r="162" spans="1:12">
      <c r="A162" s="234"/>
      <c r="B162" s="234"/>
      <c r="C162" s="234"/>
      <c r="D162" s="234"/>
      <c r="E162" s="234"/>
      <c r="F162" s="234"/>
      <c r="G162" s="234"/>
      <c r="H162" s="234"/>
      <c r="I162" s="234"/>
      <c r="J162" s="234"/>
      <c r="K162" s="234"/>
      <c r="L162" s="234"/>
    </row>
    <row r="163" spans="1:12">
      <c r="A163" s="234"/>
      <c r="B163" s="234"/>
      <c r="C163" s="234"/>
      <c r="D163" s="234"/>
      <c r="E163" s="234"/>
      <c r="F163" s="234"/>
      <c r="G163" s="234"/>
      <c r="H163" s="234"/>
      <c r="I163" s="234"/>
      <c r="J163" s="234"/>
      <c r="K163" s="234"/>
      <c r="L163" s="234"/>
    </row>
    <row r="164" spans="1:12">
      <c r="A164" s="234"/>
      <c r="B164" s="234"/>
      <c r="C164" s="234"/>
      <c r="D164" s="234"/>
      <c r="E164" s="234"/>
      <c r="F164" s="234"/>
      <c r="G164" s="234"/>
      <c r="H164" s="234"/>
      <c r="I164" s="234"/>
      <c r="J164" s="234"/>
      <c r="K164" s="234"/>
      <c r="L164" s="234"/>
    </row>
    <row r="165" spans="1:12">
      <c r="A165" s="234"/>
      <c r="B165" s="234"/>
      <c r="C165" s="234"/>
      <c r="D165" s="234"/>
      <c r="E165" s="234"/>
      <c r="F165" s="234"/>
      <c r="G165" s="234"/>
      <c r="H165" s="234"/>
      <c r="I165" s="234"/>
      <c r="J165" s="234"/>
      <c r="K165" s="234"/>
      <c r="L165" s="234"/>
    </row>
    <row r="166" spans="1:12">
      <c r="A166" s="234"/>
      <c r="B166" s="234"/>
      <c r="C166" s="234"/>
      <c r="D166" s="234"/>
      <c r="E166" s="234"/>
      <c r="F166" s="234"/>
      <c r="G166" s="234"/>
      <c r="H166" s="234"/>
      <c r="I166" s="234"/>
      <c r="J166" s="234"/>
      <c r="K166" s="234"/>
      <c r="L166" s="234"/>
    </row>
    <row r="167" spans="1:12">
      <c r="A167" s="234"/>
      <c r="B167" s="234"/>
      <c r="C167" s="234"/>
      <c r="D167" s="234"/>
      <c r="E167" s="234"/>
      <c r="F167" s="234"/>
      <c r="G167" s="234"/>
      <c r="H167" s="234"/>
      <c r="I167" s="234"/>
      <c r="J167" s="234"/>
      <c r="K167" s="234"/>
      <c r="L167" s="234"/>
    </row>
  </sheetData>
  <pageMargins left="0.7" right="0.7" top="0.75" bottom="0.75" header="0.3" footer="0.3"/>
  <pageSetup scale="72" orientation="landscape" cellComments="asDisplayed" r:id="rId1"/>
  <headerFooter>
    <oddHeader>&amp;CSchedule 3
True Up Adjustment
&amp;RExhibit SCE-4
TO2018 Formula Rate Spreadsheet</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1"/>
  <sheetViews>
    <sheetView zoomScaleNormal="100" workbookViewId="0">
      <selection activeCell="C14" sqref="C14"/>
    </sheetView>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1698</v>
      </c>
    </row>
    <row r="2" spans="1:14">
      <c r="H2" s="14"/>
    </row>
    <row r="3" spans="1:14">
      <c r="B3" s="83" t="s">
        <v>1498</v>
      </c>
      <c r="L3" s="600"/>
      <c r="M3" s="1112"/>
      <c r="N3" s="1112"/>
    </row>
    <row r="4" spans="1:14">
      <c r="B4" s="70"/>
      <c r="F4" s="2" t="s">
        <v>154</v>
      </c>
      <c r="G4" s="2"/>
      <c r="H4" s="2" t="s">
        <v>169</v>
      </c>
      <c r="L4" s="600"/>
      <c r="M4" s="1112"/>
      <c r="N4" s="600"/>
    </row>
    <row r="5" spans="1:14">
      <c r="A5" s="53" t="s">
        <v>322</v>
      </c>
      <c r="B5" s="16"/>
      <c r="C5" s="51" t="s">
        <v>152</v>
      </c>
      <c r="F5" s="3" t="s">
        <v>153</v>
      </c>
      <c r="G5" s="3" t="s">
        <v>168</v>
      </c>
      <c r="H5" s="3" t="s">
        <v>170</v>
      </c>
      <c r="J5" s="3" t="s">
        <v>175</v>
      </c>
      <c r="L5" s="3"/>
      <c r="M5" s="1112"/>
      <c r="N5" s="3"/>
    </row>
    <row r="6" spans="1:14">
      <c r="A6" s="111">
        <v>1</v>
      </c>
      <c r="B6" s="14"/>
      <c r="C6" s="110" t="s">
        <v>1056</v>
      </c>
      <c r="D6" s="14"/>
      <c r="E6" s="14"/>
      <c r="F6" s="14" t="s">
        <v>10</v>
      </c>
      <c r="G6" s="14"/>
      <c r="H6" s="110" t="str">
        <f>"6-PlantInService, Line "&amp;'6-PlantInService'!A42&amp;""</f>
        <v>6-PlantInService, Line 18</v>
      </c>
      <c r="I6" s="14"/>
      <c r="J6" s="63">
        <f>'6-PlantInService'!D42</f>
        <v>7902835351.999856</v>
      </c>
      <c r="L6" s="7"/>
      <c r="N6" s="7"/>
    </row>
    <row r="7" spans="1:14">
      <c r="A7" s="111">
        <f>A6+1</f>
        <v>2</v>
      </c>
      <c r="B7" s="14"/>
      <c r="C7" s="110" t="s">
        <v>1212</v>
      </c>
      <c r="D7" s="14"/>
      <c r="E7" s="14"/>
      <c r="F7" s="14" t="s">
        <v>155</v>
      </c>
      <c r="G7" s="14"/>
      <c r="H7" s="110" t="str">
        <f>"6-PlantInService, Line "&amp;'6-PlantInService'!A58&amp;""</f>
        <v>6-PlantInService, Line 24</v>
      </c>
      <c r="I7" s="14"/>
      <c r="J7" s="63">
        <f>'6-PlantInService'!F58</f>
        <v>275543181.9019863</v>
      </c>
      <c r="L7" s="7"/>
      <c r="N7" s="7"/>
    </row>
    <row r="8" spans="1:14">
      <c r="A8" s="111">
        <f>A7+1</f>
        <v>3</v>
      </c>
      <c r="B8" s="14"/>
      <c r="C8" s="110" t="s">
        <v>157</v>
      </c>
      <c r="D8" s="14"/>
      <c r="E8" s="14"/>
      <c r="F8" s="14" t="s">
        <v>155</v>
      </c>
      <c r="G8" s="14"/>
      <c r="H8" s="14" t="str">
        <f>"11-PHFU, Line "&amp;'11-PHFU'!A41&amp;""</f>
        <v>11-PHFU, Line 9</v>
      </c>
      <c r="I8" s="14"/>
      <c r="J8" s="63">
        <f>'11-PHFU'!D41</f>
        <v>9942155</v>
      </c>
      <c r="L8" s="7"/>
      <c r="N8" s="7"/>
    </row>
    <row r="9" spans="1:14">
      <c r="A9" s="111">
        <f>A8+1</f>
        <v>4</v>
      </c>
      <c r="B9" s="14"/>
      <c r="C9" s="110" t="s">
        <v>315</v>
      </c>
      <c r="D9" s="14"/>
      <c r="E9" s="14"/>
      <c r="F9" s="14" t="s">
        <v>155</v>
      </c>
      <c r="G9" s="14"/>
      <c r="H9" s="15" t="str">
        <f>"12-AbandonedPlant Line "&amp;'12-AbandonedPlant'!A21&amp;""</f>
        <v>12-AbandonedPlant Line 4</v>
      </c>
      <c r="I9" s="14"/>
      <c r="J9" s="63">
        <f>'12-AbandonedPlant'!G21</f>
        <v>18534524.5</v>
      </c>
      <c r="L9" s="7"/>
      <c r="N9" s="7"/>
    </row>
    <row r="10" spans="1:14">
      <c r="A10" s="111"/>
      <c r="B10" s="14"/>
      <c r="C10" s="110"/>
      <c r="D10" s="14"/>
      <c r="E10" s="14"/>
      <c r="F10" s="14"/>
      <c r="G10" s="14"/>
      <c r="H10" s="14"/>
      <c r="I10" s="14"/>
      <c r="J10" s="63"/>
      <c r="L10" s="7"/>
      <c r="N10" s="7"/>
    </row>
    <row r="11" spans="1:14">
      <c r="A11" s="111"/>
      <c r="B11" s="14"/>
      <c r="C11" s="45" t="s">
        <v>279</v>
      </c>
      <c r="D11" s="14"/>
      <c r="E11" s="14"/>
      <c r="F11" s="14"/>
      <c r="G11" s="14"/>
      <c r="H11" s="14"/>
      <c r="I11" s="14"/>
      <c r="J11" s="63"/>
      <c r="L11" s="7"/>
      <c r="N11" s="7"/>
    </row>
    <row r="12" spans="1:14">
      <c r="A12" s="111">
        <f>A9+1</f>
        <v>5</v>
      </c>
      <c r="B12" s="14"/>
      <c r="C12" s="46" t="s">
        <v>91</v>
      </c>
      <c r="D12" s="14"/>
      <c r="E12" s="14"/>
      <c r="F12" s="14" t="s">
        <v>10</v>
      </c>
      <c r="G12" s="14"/>
      <c r="H12" s="110" t="str">
        <f>"13-WorkCap, Line "&amp;'13-WorkCap'!A27&amp;""</f>
        <v>13-WorkCap, Line 17</v>
      </c>
      <c r="I12" s="14"/>
      <c r="J12" s="63">
        <f>'13-WorkCap'!F27</f>
        <v>15443917.919899762</v>
      </c>
      <c r="L12" s="7"/>
      <c r="N12" s="7"/>
    </row>
    <row r="13" spans="1:14">
      <c r="A13" s="111">
        <f>A12+1</f>
        <v>6</v>
      </c>
      <c r="B13" s="14"/>
      <c r="C13" s="114" t="s">
        <v>92</v>
      </c>
      <c r="D13" s="14"/>
      <c r="E13" s="14"/>
      <c r="F13" s="14" t="s">
        <v>10</v>
      </c>
      <c r="G13" s="14"/>
      <c r="H13" s="110" t="str">
        <f>"13-WorkCap, Line "&amp;'13-WorkCap'!A51&amp;""</f>
        <v>13-WorkCap, Line 33</v>
      </c>
      <c r="I13" s="14"/>
      <c r="J13" s="63">
        <f>'13-WorkCap'!F51</f>
        <v>5099704.2578928433</v>
      </c>
      <c r="L13" s="7"/>
      <c r="N13" s="7"/>
    </row>
    <row r="14" spans="1:14">
      <c r="A14" s="111">
        <f>A13+1</f>
        <v>7</v>
      </c>
      <c r="B14" s="14"/>
      <c r="C14" s="46" t="s">
        <v>172</v>
      </c>
      <c r="D14" s="14"/>
      <c r="E14" s="14"/>
      <c r="F14" s="505" t="s">
        <v>2871</v>
      </c>
      <c r="G14" s="14"/>
      <c r="H14" s="14" t="str">
        <f>"1-Base TRR Line "&amp;'1-BaseTRR'!A17&amp;""</f>
        <v>1-Base TRR Line 7</v>
      </c>
      <c r="I14" s="14"/>
      <c r="J14" s="102">
        <f>'1-BaseTRR'!K17</f>
        <v>16684622.181055523</v>
      </c>
      <c r="L14" s="91"/>
      <c r="N14" s="7"/>
    </row>
    <row r="15" spans="1:14">
      <c r="A15" s="111">
        <f>A14+1</f>
        <v>8</v>
      </c>
      <c r="B15" s="14"/>
      <c r="C15" s="46" t="s">
        <v>90</v>
      </c>
      <c r="D15" s="14"/>
      <c r="E15" s="14"/>
      <c r="F15" s="14"/>
      <c r="G15" s="14"/>
      <c r="H15" s="14" t="str">
        <f>"Line "&amp;A12&amp;" + Line "&amp;A13&amp;" + Line "&amp;A14&amp;""</f>
        <v>Line 5 + Line 6 + Line 7</v>
      </c>
      <c r="I15" s="14"/>
      <c r="J15" s="63">
        <f>SUM(J12:J14)</f>
        <v>37228244.358848125</v>
      </c>
      <c r="L15" s="7"/>
      <c r="N15" s="7"/>
    </row>
    <row r="16" spans="1:14">
      <c r="A16" s="111"/>
      <c r="B16" s="14"/>
      <c r="C16" s="46"/>
      <c r="D16" s="14"/>
      <c r="E16" s="14"/>
      <c r="F16" s="14"/>
      <c r="G16" s="14"/>
      <c r="H16" s="14"/>
      <c r="I16" s="14"/>
      <c r="J16" s="63"/>
      <c r="L16" s="7"/>
      <c r="N16" s="7"/>
    </row>
    <row r="17" spans="1:14">
      <c r="A17" s="111"/>
      <c r="B17" s="14"/>
      <c r="C17" s="977" t="s">
        <v>280</v>
      </c>
      <c r="D17" s="14"/>
      <c r="E17" s="14"/>
      <c r="F17" s="14"/>
      <c r="G17" s="14"/>
      <c r="H17" s="14"/>
      <c r="I17" s="14"/>
      <c r="J17" s="63"/>
      <c r="L17" s="7"/>
      <c r="N17" s="7"/>
    </row>
    <row r="18" spans="1:14">
      <c r="A18" s="111">
        <f>A15+1</f>
        <v>9</v>
      </c>
      <c r="B18" s="14"/>
      <c r="C18" s="502" t="s">
        <v>1669</v>
      </c>
      <c r="D18" s="14"/>
      <c r="E18" s="14"/>
      <c r="F18" s="14" t="s">
        <v>10</v>
      </c>
      <c r="G18" s="14" t="s">
        <v>151</v>
      </c>
      <c r="H18" s="110" t="str">
        <f>"8-AccDep, Line "&amp;'8-AccDep'!A25&amp;", Col. 12"</f>
        <v>8-AccDep, Line 14, Col. 12</v>
      </c>
      <c r="I18" s="14"/>
      <c r="J18" s="63">
        <f>-'8-AccDep'!N25</f>
        <v>-1382850549.0638092</v>
      </c>
      <c r="L18" s="7"/>
      <c r="N18" s="7"/>
    </row>
    <row r="19" spans="1:14">
      <c r="A19" s="111">
        <f>A18+1</f>
        <v>10</v>
      </c>
      <c r="B19" s="14"/>
      <c r="C19" s="502" t="s">
        <v>1670</v>
      </c>
      <c r="D19" s="14"/>
      <c r="E19" s="14"/>
      <c r="F19" s="14" t="s">
        <v>155</v>
      </c>
      <c r="G19" s="14" t="s">
        <v>151</v>
      </c>
      <c r="H19" s="110" t="str">
        <f>"8-AccDep, Line "&amp;'8-AccDep'!A35&amp;", Col. 5"</f>
        <v>8-AccDep, Line 17, Col. 5</v>
      </c>
      <c r="I19" s="14"/>
      <c r="J19" s="63">
        <f>-'8-AccDep'!G35</f>
        <v>0</v>
      </c>
      <c r="L19" s="7"/>
      <c r="N19" s="7"/>
    </row>
    <row r="20" spans="1:14">
      <c r="A20" s="111">
        <f>A19+1</f>
        <v>11</v>
      </c>
      <c r="B20" s="14"/>
      <c r="C20" s="46" t="s">
        <v>310</v>
      </c>
      <c r="D20" s="22"/>
      <c r="E20" s="14"/>
      <c r="F20" s="14" t="s">
        <v>155</v>
      </c>
      <c r="G20" s="14" t="s">
        <v>151</v>
      </c>
      <c r="H20" s="110" t="str">
        <f>"8-AccDep, Line "&amp;'8-AccDep'!A53&amp;""</f>
        <v>8-AccDep, Line 23</v>
      </c>
      <c r="I20" s="14"/>
      <c r="J20" s="102">
        <f>-'8-AccDep'!F53</f>
        <v>-119467536.96666607</v>
      </c>
      <c r="L20" s="7"/>
      <c r="N20" s="7"/>
    </row>
    <row r="21" spans="1:14">
      <c r="A21" s="111">
        <f>A20+1</f>
        <v>12</v>
      </c>
      <c r="B21" s="14"/>
      <c r="C21" s="978" t="s">
        <v>163</v>
      </c>
      <c r="D21" s="22"/>
      <c r="E21" s="14"/>
      <c r="F21" s="14"/>
      <c r="G21" s="14"/>
      <c r="H21" s="14" t="str">
        <f>"Line "&amp;A18&amp;" + Line "&amp;A19&amp;" + Line "&amp;A20&amp;""</f>
        <v>Line 9 + Line 10 + Line 11</v>
      </c>
      <c r="I21" s="14"/>
      <c r="J21" s="63">
        <f>SUM(J18:J20)</f>
        <v>-1502318086.0304751</v>
      </c>
      <c r="L21" s="7"/>
      <c r="N21" s="7"/>
    </row>
    <row r="22" spans="1:14">
      <c r="A22" s="111"/>
      <c r="B22" s="14"/>
      <c r="C22" s="15"/>
      <c r="D22" s="14"/>
      <c r="E22" s="14"/>
      <c r="F22" s="14"/>
      <c r="G22" s="14"/>
      <c r="H22" s="14"/>
      <c r="I22" s="14"/>
      <c r="J22" s="63"/>
      <c r="L22" s="7"/>
      <c r="N22" s="7"/>
    </row>
    <row r="23" spans="1:14">
      <c r="A23" s="111">
        <f>A21+1</f>
        <v>13</v>
      </c>
      <c r="B23" s="14"/>
      <c r="C23" s="966" t="s">
        <v>164</v>
      </c>
      <c r="D23" s="14"/>
      <c r="E23" s="14"/>
      <c r="F23" s="14" t="s">
        <v>155</v>
      </c>
      <c r="G23" s="14"/>
      <c r="H23" s="110" t="str">
        <f>"9-ADIT, Line "&amp;'9-ADIT'!A23&amp;""</f>
        <v>9-ADIT, Line 14</v>
      </c>
      <c r="I23" s="14"/>
      <c r="J23" s="63">
        <f>'9-ADIT'!D23</f>
        <v>-1384321609.812227</v>
      </c>
      <c r="L23" s="7"/>
      <c r="N23" s="7"/>
    </row>
    <row r="24" spans="1:14">
      <c r="A24" s="111">
        <f>A23+1</f>
        <v>14</v>
      </c>
      <c r="B24" s="14"/>
      <c r="C24" s="110" t="s">
        <v>242</v>
      </c>
      <c r="D24" s="14"/>
      <c r="E24" s="14"/>
      <c r="F24" s="14" t="s">
        <v>10</v>
      </c>
      <c r="G24" s="14"/>
      <c r="H24" s="110" t="str">
        <f>"14-IncentivePlant, L "&amp;'14-IncentivePlant'!A37&amp;", C2"</f>
        <v>14-IncentivePlant, L 12, C2</v>
      </c>
      <c r="I24" s="14"/>
      <c r="J24" s="63">
        <f>'14-IncentivePlant'!F37</f>
        <v>271933898.42538464</v>
      </c>
      <c r="L24" s="7"/>
      <c r="N24" s="7"/>
    </row>
    <row r="25" spans="1:14">
      <c r="A25" s="111">
        <f>A24+1</f>
        <v>15</v>
      </c>
      <c r="B25" s="14"/>
      <c r="C25" s="966" t="s">
        <v>55</v>
      </c>
      <c r="D25" s="14"/>
      <c r="E25" s="14"/>
      <c r="F25" s="14" t="s">
        <v>155</v>
      </c>
      <c r="G25" s="14" t="s">
        <v>151</v>
      </c>
      <c r="H25" s="110" t="str">
        <f>"22-NUCs, Line "&amp;'22-NUCs'!A15&amp;""</f>
        <v>22-NUCs, Line 7</v>
      </c>
      <c r="I25" s="14"/>
      <c r="J25" s="63">
        <f>-'22-NUCs'!E15</f>
        <v>-73457041.180000007</v>
      </c>
      <c r="L25" s="7"/>
      <c r="N25" s="7"/>
    </row>
    <row r="26" spans="1:14">
      <c r="A26" s="111">
        <f t="shared" ref="A26:A27" si="0">A25+1</f>
        <v>16</v>
      </c>
      <c r="B26" s="14"/>
      <c r="C26" s="968" t="s">
        <v>1996</v>
      </c>
      <c r="D26" s="14"/>
      <c r="E26" s="14"/>
      <c r="F26" s="14"/>
      <c r="G26" s="14"/>
      <c r="H26" s="15" t="str">
        <f>"34-UnfundedReserves, Line "&amp;'34-UnfundedReserves'!A10&amp;""</f>
        <v>34-UnfundedReserves, Line 7</v>
      </c>
      <c r="I26" s="14"/>
      <c r="J26" s="63">
        <f>'34-UnfundedReserves'!K10</f>
        <v>-12414249.259888921</v>
      </c>
      <c r="L26" s="7"/>
      <c r="N26" s="7"/>
    </row>
    <row r="27" spans="1:14">
      <c r="A27" s="111">
        <f t="shared" si="0"/>
        <v>17</v>
      </c>
      <c r="B27" s="14"/>
      <c r="C27" s="966" t="s">
        <v>367</v>
      </c>
      <c r="D27" s="14"/>
      <c r="E27" s="14"/>
      <c r="F27" s="14" t="s">
        <v>155</v>
      </c>
      <c r="G27" s="14"/>
      <c r="H27" s="110" t="str">
        <f>"23-RegAssets, Line "&amp;'23-RegAssets'!A18&amp;""</f>
        <v>23-RegAssets, Line 15</v>
      </c>
      <c r="I27" s="14"/>
      <c r="J27" s="63">
        <f>'23-RegAssets'!E18</f>
        <v>0</v>
      </c>
      <c r="L27" s="7"/>
      <c r="N27" s="7"/>
    </row>
    <row r="28" spans="1:14">
      <c r="A28" s="111"/>
      <c r="B28" s="14"/>
      <c r="C28" s="966"/>
      <c r="D28" s="14"/>
      <c r="E28" s="14"/>
      <c r="F28" s="14"/>
      <c r="G28" s="14"/>
      <c r="H28" s="14"/>
      <c r="I28" s="14"/>
      <c r="J28" s="14"/>
      <c r="L28" s="7"/>
      <c r="N28" s="7"/>
    </row>
    <row r="29" spans="1:14">
      <c r="A29" s="111">
        <f>A27+1</f>
        <v>18</v>
      </c>
      <c r="B29" s="14"/>
      <c r="C29" s="14" t="s">
        <v>173</v>
      </c>
      <c r="D29" s="14"/>
      <c r="E29" s="14"/>
      <c r="F29" s="14"/>
      <c r="G29" s="14"/>
      <c r="H29" s="14" t="str">
        <f>"L"&amp;A6&amp;"+L"&amp;A7&amp;"+L"&amp;A8&amp;"+L"&amp;A9&amp;"+L"&amp;A15&amp;"+L"&amp;A21&amp;"+"</f>
        <v>L1+L2+L3+L4+L8+L12+</v>
      </c>
      <c r="I29" s="14"/>
      <c r="J29" s="63">
        <f>J6+ J7+J8+J9+J15+J21+J23+J24+J25+J26+J27</f>
        <v>5543506369.9034834</v>
      </c>
      <c r="L29" s="7"/>
      <c r="N29" s="7"/>
    </row>
    <row r="30" spans="1:14">
      <c r="A30" s="111"/>
      <c r="B30" s="14"/>
      <c r="C30" s="14"/>
      <c r="D30" s="14"/>
      <c r="E30" s="14"/>
      <c r="F30" s="14"/>
      <c r="G30" s="14"/>
      <c r="H30" s="14" t="str">
        <f>"L"&amp;A23&amp;"+L"&amp;A24&amp;"+L"&amp;A25&amp;"+L"&amp;A26&amp;"+L"&amp;A27&amp;""</f>
        <v>L13+L14+L15+L16+L17</v>
      </c>
      <c r="I30" s="14"/>
      <c r="J30" s="63"/>
      <c r="L30" s="7"/>
      <c r="N30" s="7"/>
    </row>
    <row r="31" spans="1:14">
      <c r="A31" s="111"/>
      <c r="B31" s="44" t="s">
        <v>2219</v>
      </c>
      <c r="D31" s="14"/>
      <c r="E31" s="14"/>
      <c r="F31" s="14"/>
      <c r="G31" s="14"/>
      <c r="H31" s="14"/>
      <c r="I31" s="14"/>
      <c r="J31" s="63"/>
      <c r="L31" s="7"/>
      <c r="N31" s="7"/>
    </row>
    <row r="32" spans="1:14">
      <c r="A32" s="586" t="s">
        <v>322</v>
      </c>
      <c r="B32" s="14"/>
      <c r="C32" s="44"/>
      <c r="D32" s="14"/>
      <c r="E32" s="14"/>
      <c r="F32" s="14"/>
      <c r="G32" s="14"/>
      <c r="H32" s="14"/>
      <c r="I32" s="14"/>
      <c r="J32" s="63"/>
      <c r="L32" s="7"/>
      <c r="N32" s="7"/>
    </row>
    <row r="33" spans="1:14">
      <c r="A33" s="111">
        <f>A29+1</f>
        <v>19</v>
      </c>
      <c r="B33" s="505"/>
      <c r="C33" s="505" t="s">
        <v>53</v>
      </c>
      <c r="D33" s="505"/>
      <c r="E33" s="505"/>
      <c r="F33" s="505"/>
      <c r="G33" s="505" t="s">
        <v>1864</v>
      </c>
      <c r="H33" s="505" t="str">
        <f>"Instruction 1, Line "&amp;B97&amp;""</f>
        <v>Instruction 1, Line j</v>
      </c>
      <c r="I33" s="505"/>
      <c r="J33" s="423">
        <f>E97</f>
        <v>7.4861021899238031E-2</v>
      </c>
      <c r="L33" s="8"/>
      <c r="M33" s="8"/>
      <c r="N33" s="8"/>
    </row>
    <row r="34" spans="1:14">
      <c r="A34" s="2">
        <f>A33+1</f>
        <v>20</v>
      </c>
      <c r="C34" s="15" t="s">
        <v>54</v>
      </c>
      <c r="D34" s="15"/>
      <c r="E34" s="15"/>
      <c r="F34" s="15"/>
      <c r="G34" s="15"/>
      <c r="H34" t="str">
        <f>"Line "&amp;A29&amp;" * Line "&amp;A33&amp;""</f>
        <v>Line 18 * Line 19</v>
      </c>
      <c r="J34" s="47">
        <f>J29*J33</f>
        <v>414992551.75591022</v>
      </c>
      <c r="L34" s="7"/>
      <c r="N34" s="7"/>
    </row>
    <row r="35" spans="1:14">
      <c r="A35" s="2"/>
      <c r="B35" s="16"/>
      <c r="L35" s="7"/>
      <c r="N35" s="7"/>
    </row>
    <row r="36" spans="1:14">
      <c r="A36" s="2"/>
      <c r="B36" s="1" t="s">
        <v>2220</v>
      </c>
      <c r="L36" s="7"/>
      <c r="N36" s="7"/>
    </row>
    <row r="37" spans="1:14">
      <c r="A37" s="111"/>
      <c r="B37" s="114"/>
      <c r="C37" s="14"/>
      <c r="D37" s="14"/>
      <c r="E37" s="14"/>
      <c r="F37" s="14"/>
      <c r="G37" s="14"/>
      <c r="H37" s="14"/>
      <c r="I37" s="14"/>
      <c r="J37" s="14"/>
      <c r="L37" s="7"/>
      <c r="N37" s="7"/>
    </row>
    <row r="38" spans="1:14">
      <c r="A38" s="111">
        <f>A34+1</f>
        <v>21</v>
      </c>
      <c r="B38" s="14"/>
      <c r="C38" s="505" t="s">
        <v>2206</v>
      </c>
      <c r="D38" s="14"/>
      <c r="E38" s="14"/>
      <c r="F38" s="14"/>
      <c r="G38" s="14"/>
      <c r="H38" s="14"/>
      <c r="I38" s="14"/>
      <c r="J38" s="63">
        <f>(((J29*J42) + J45) *(J43/(1-J43)))+(J44/(1-J43))</f>
        <v>214940744.7950671</v>
      </c>
      <c r="L38" s="7"/>
      <c r="N38" s="7"/>
    </row>
    <row r="39" spans="1:14">
      <c r="A39" s="111"/>
      <c r="B39" s="14"/>
      <c r="C39" s="14"/>
      <c r="D39" s="14"/>
      <c r="E39" s="14"/>
      <c r="F39" s="14"/>
      <c r="G39" s="14"/>
      <c r="H39" s="14"/>
      <c r="I39" s="14"/>
      <c r="J39" s="15"/>
      <c r="L39" s="7"/>
      <c r="N39" s="7"/>
    </row>
    <row r="40" spans="1:14">
      <c r="A40" s="111"/>
      <c r="B40" s="14"/>
      <c r="C40" s="14"/>
      <c r="D40" s="14" t="s">
        <v>216</v>
      </c>
      <c r="E40" s="14"/>
      <c r="F40" s="14"/>
      <c r="G40" s="14"/>
      <c r="H40" s="14"/>
      <c r="I40" s="14"/>
      <c r="J40" s="14"/>
      <c r="L40" s="7"/>
      <c r="N40" s="7"/>
    </row>
    <row r="41" spans="1:14">
      <c r="A41" s="111">
        <f>A38+1</f>
        <v>22</v>
      </c>
      <c r="B41" s="14"/>
      <c r="C41" s="14"/>
      <c r="D41" s="114" t="s">
        <v>217</v>
      </c>
      <c r="E41" s="14"/>
      <c r="F41" s="14"/>
      <c r="G41" s="14"/>
      <c r="H41" s="14" t="str">
        <f>"Line "&amp;A29&amp;""</f>
        <v>Line 18</v>
      </c>
      <c r="I41" s="14"/>
      <c r="J41" s="63">
        <f>J29</f>
        <v>5543506369.9034834</v>
      </c>
      <c r="L41" s="7"/>
      <c r="N41" s="7"/>
    </row>
    <row r="42" spans="1:14">
      <c r="A42" s="111">
        <f>A41+1</f>
        <v>23</v>
      </c>
      <c r="B42" s="14"/>
      <c r="C42" s="14"/>
      <c r="D42" s="502" t="s">
        <v>1745</v>
      </c>
      <c r="E42" s="14"/>
      <c r="F42" s="14"/>
      <c r="G42" s="505" t="s">
        <v>1714</v>
      </c>
      <c r="H42" s="505" t="str">
        <f>"Instruction 1, Line "&amp;B102&amp;""</f>
        <v>Instruction 1, Line k</v>
      </c>
      <c r="I42" s="14"/>
      <c r="J42" s="48">
        <f>E102</f>
        <v>5.4867139682965131E-2</v>
      </c>
      <c r="L42" s="8"/>
      <c r="M42" s="8"/>
      <c r="N42" s="8"/>
    </row>
    <row r="43" spans="1:14">
      <c r="A43" s="111">
        <f>A42+1</f>
        <v>24</v>
      </c>
      <c r="B43" s="14"/>
      <c r="C43" s="14"/>
      <c r="D43" s="114" t="s">
        <v>218</v>
      </c>
      <c r="E43" s="14"/>
      <c r="F43" s="14"/>
      <c r="G43" s="14"/>
      <c r="H43" s="14" t="str">
        <f>"1-Base TRR L "&amp;'1-BaseTRR'!A102&amp;""</f>
        <v>1-Base TRR L 59</v>
      </c>
      <c r="I43" s="14"/>
      <c r="J43" s="67">
        <f>'1-BaseTRR'!K102</f>
        <v>0.40745999999999999</v>
      </c>
      <c r="L43" s="8"/>
      <c r="M43" s="8"/>
      <c r="N43" s="8"/>
    </row>
    <row r="44" spans="1:14">
      <c r="A44" s="111">
        <f>A43+1</f>
        <v>25</v>
      </c>
      <c r="B44" s="14"/>
      <c r="C44" s="14"/>
      <c r="D44" s="114" t="s">
        <v>219</v>
      </c>
      <c r="E44" s="14"/>
      <c r="F44" s="14"/>
      <c r="G44" s="14"/>
      <c r="H44" s="14" t="str">
        <f>"1-Base TRR L "&amp;'1-BaseTRR'!A108&amp;""</f>
        <v>1-Base TRR L 63</v>
      </c>
      <c r="I44" s="14"/>
      <c r="J44" s="63">
        <f>'1-BaseTRR'!K108</f>
        <v>2086200</v>
      </c>
      <c r="L44" s="7"/>
      <c r="N44" s="7"/>
    </row>
    <row r="45" spans="1:14">
      <c r="A45" s="111">
        <f>A44+1</f>
        <v>26</v>
      </c>
      <c r="B45" s="14"/>
      <c r="C45" s="14"/>
      <c r="D45" s="114" t="s">
        <v>1741</v>
      </c>
      <c r="E45" s="14"/>
      <c r="F45" s="14"/>
      <c r="G45" s="14"/>
      <c r="H45" s="14" t="str">
        <f>"1-Base TRR L "&amp;'1-BaseTRR'!A112&amp;""</f>
        <v>1-Base TRR L 65</v>
      </c>
      <c r="I45" s="14"/>
      <c r="J45" s="517">
        <f>'1-BaseTRR'!K119</f>
        <v>3296636</v>
      </c>
      <c r="L45" s="7"/>
      <c r="N45" s="7"/>
    </row>
    <row r="46" spans="1:14">
      <c r="A46" s="111"/>
      <c r="B46" s="114"/>
      <c r="C46" s="14"/>
      <c r="D46" s="14"/>
      <c r="E46" s="14"/>
      <c r="F46" s="14"/>
      <c r="G46" s="14"/>
      <c r="H46" s="14"/>
      <c r="I46" s="14"/>
      <c r="J46" s="14"/>
      <c r="L46" s="7"/>
      <c r="N46" s="7"/>
    </row>
    <row r="47" spans="1:14">
      <c r="A47" s="111"/>
      <c r="B47" s="44" t="s">
        <v>2221</v>
      </c>
      <c r="D47" s="14"/>
      <c r="E47" s="14"/>
      <c r="F47" s="14"/>
      <c r="G47" s="14"/>
      <c r="H47" s="14"/>
      <c r="I47" s="14"/>
      <c r="J47" s="14"/>
      <c r="L47" s="7"/>
      <c r="N47" s="7"/>
    </row>
    <row r="48" spans="1:14">
      <c r="A48" s="111">
        <f>A45+1</f>
        <v>27</v>
      </c>
      <c r="B48" s="114"/>
      <c r="C48" s="14" t="s">
        <v>101</v>
      </c>
      <c r="D48" s="14"/>
      <c r="E48" s="14"/>
      <c r="F48" s="14"/>
      <c r="G48" s="14"/>
      <c r="H48" s="14" t="str">
        <f>"1-Base TRR L "&amp;'1-BaseTRR'!A124&amp;""</f>
        <v>1-Base TRR L 66</v>
      </c>
      <c r="I48" s="14"/>
      <c r="J48" s="63">
        <f>'1-BaseTRR'!K124</f>
        <v>81050973.103365153</v>
      </c>
      <c r="L48" s="7"/>
      <c r="N48" s="7"/>
    </row>
    <row r="49" spans="1:14">
      <c r="A49" s="111">
        <f t="shared" ref="A49:A59" si="1">A48+1</f>
        <v>28</v>
      </c>
      <c r="B49" s="114"/>
      <c r="C49" s="15" t="s">
        <v>266</v>
      </c>
      <c r="D49" s="14"/>
      <c r="E49" s="14"/>
      <c r="F49" s="14"/>
      <c r="G49" s="14"/>
      <c r="H49" s="14" t="str">
        <f>"1-Base TRR L "&amp;'1-BaseTRR'!A125&amp;""</f>
        <v>1-Base TRR L 67</v>
      </c>
      <c r="I49" s="14"/>
      <c r="J49" s="63">
        <f>'1-BaseTRR'!K125</f>
        <v>52426004.345079042</v>
      </c>
      <c r="L49" s="7"/>
      <c r="N49" s="7"/>
    </row>
    <row r="50" spans="1:14">
      <c r="A50" s="111">
        <f>A49+1</f>
        <v>29</v>
      </c>
      <c r="B50" s="114"/>
      <c r="C50" s="14" t="s">
        <v>56</v>
      </c>
      <c r="D50" s="14"/>
      <c r="E50" s="14"/>
      <c r="F50" s="14"/>
      <c r="G50" s="14"/>
      <c r="H50" s="14" t="str">
        <f>"1-Base TRR L "&amp;'1-BaseTRR'!A126&amp;""</f>
        <v>1-Base TRR L 68</v>
      </c>
      <c r="I50" s="14"/>
      <c r="J50" s="63">
        <f>'1-BaseTRR'!K126</f>
        <v>2616282.5299999998</v>
      </c>
      <c r="L50" s="7"/>
      <c r="N50" s="7"/>
    </row>
    <row r="51" spans="1:14">
      <c r="A51" s="111">
        <f t="shared" si="1"/>
        <v>30</v>
      </c>
      <c r="B51" s="114"/>
      <c r="C51" s="15" t="s">
        <v>252</v>
      </c>
      <c r="D51" s="14"/>
      <c r="E51" s="14"/>
      <c r="F51" s="14"/>
      <c r="G51" s="14"/>
      <c r="H51" s="14" t="str">
        <f>"1-Base TRR L "&amp;'1-BaseTRR'!A127&amp;""</f>
        <v>1-Base TRR L 69</v>
      </c>
      <c r="I51" s="14"/>
      <c r="J51" s="63">
        <f>'1-BaseTRR'!K127</f>
        <v>230409241.70719674</v>
      </c>
      <c r="L51" s="7"/>
      <c r="N51" s="7"/>
    </row>
    <row r="52" spans="1:14">
      <c r="A52" s="111">
        <f t="shared" si="1"/>
        <v>31</v>
      </c>
      <c r="B52" s="114"/>
      <c r="C52" s="15" t="s">
        <v>294</v>
      </c>
      <c r="D52" s="14"/>
      <c r="E52" s="14"/>
      <c r="F52" s="14"/>
      <c r="G52" s="14"/>
      <c r="H52" s="14" t="str">
        <f>"1-Base TRR L "&amp;'1-BaseTRR'!A128&amp;""</f>
        <v>1-Base TRR L 70</v>
      </c>
      <c r="I52" s="14"/>
      <c r="J52" s="63">
        <f>'1-BaseTRR'!K128</f>
        <v>37069049</v>
      </c>
      <c r="L52" s="7"/>
      <c r="N52" s="7"/>
    </row>
    <row r="53" spans="1:14">
      <c r="A53" s="111">
        <f t="shared" si="1"/>
        <v>32</v>
      </c>
      <c r="B53" s="114"/>
      <c r="C53" s="15" t="s">
        <v>79</v>
      </c>
      <c r="D53" s="14"/>
      <c r="E53" s="14"/>
      <c r="F53" s="14"/>
      <c r="G53" s="14"/>
      <c r="H53" s="14" t="str">
        <f>"1-Base TRR L "&amp;'1-BaseTRR'!A129&amp;""</f>
        <v>1-Base TRR L 71</v>
      </c>
      <c r="I53" s="14"/>
      <c r="J53" s="63">
        <f>'1-BaseTRR'!K129</f>
        <v>58568951.724897571</v>
      </c>
      <c r="L53" s="7"/>
      <c r="N53" s="7"/>
    </row>
    <row r="54" spans="1:14">
      <c r="A54" s="111">
        <f t="shared" si="1"/>
        <v>33</v>
      </c>
      <c r="B54" s="114"/>
      <c r="C54" s="14" t="s">
        <v>11</v>
      </c>
      <c r="D54" s="14"/>
      <c r="E54" s="14"/>
      <c r="F54" s="14"/>
      <c r="G54" s="15"/>
      <c r="H54" s="14" t="str">
        <f>"1-Base TRR L "&amp;'1-BaseTRR'!A130&amp;""</f>
        <v>1-Base TRR L 72</v>
      </c>
      <c r="I54" s="14"/>
      <c r="J54" s="63">
        <f>'1-BaseTRR'!K130</f>
        <v>-77928964.627686992</v>
      </c>
      <c r="L54" s="7"/>
      <c r="N54" s="7"/>
    </row>
    <row r="55" spans="1:14">
      <c r="A55" s="111">
        <f t="shared" si="1"/>
        <v>34</v>
      </c>
      <c r="B55" s="114"/>
      <c r="C55" s="14" t="s">
        <v>87</v>
      </c>
      <c r="D55" s="14"/>
      <c r="E55" s="14"/>
      <c r="F55" s="14"/>
      <c r="G55" s="14"/>
      <c r="H55" s="14" t="str">
        <f>"Line "&amp;A34&amp;""</f>
        <v>Line 20</v>
      </c>
      <c r="I55" s="14"/>
      <c r="J55" s="63">
        <f>J34</f>
        <v>414992551.75591022</v>
      </c>
      <c r="L55" s="7"/>
      <c r="N55" s="7"/>
    </row>
    <row r="56" spans="1:14">
      <c r="A56" s="111">
        <f t="shared" si="1"/>
        <v>35</v>
      </c>
      <c r="B56" s="114"/>
      <c r="C56" s="14" t="s">
        <v>5</v>
      </c>
      <c r="D56" s="14"/>
      <c r="E56" s="14"/>
      <c r="F56" s="14"/>
      <c r="G56" s="14"/>
      <c r="H56" s="14" t="str">
        <f>"Line "&amp;A38&amp;""</f>
        <v>Line 21</v>
      </c>
      <c r="I56" s="14"/>
      <c r="J56" s="47">
        <f>J38</f>
        <v>214940744.7950671</v>
      </c>
      <c r="L56" s="7"/>
      <c r="N56" s="7"/>
    </row>
    <row r="57" spans="1:14">
      <c r="A57" s="111">
        <f t="shared" si="1"/>
        <v>36</v>
      </c>
      <c r="B57" s="114"/>
      <c r="C57" s="15" t="s">
        <v>362</v>
      </c>
      <c r="D57" s="14"/>
      <c r="E57" s="14"/>
      <c r="F57" s="14"/>
      <c r="G57" s="14"/>
      <c r="H57" s="14" t="str">
        <f>"1-Base TRR L "&amp;'1-BaseTRR'!A133&amp;""</f>
        <v>1-Base TRR L 75</v>
      </c>
      <c r="I57" s="14"/>
      <c r="J57" s="47">
        <f>'1-BaseTRR'!K133</f>
        <v>0</v>
      </c>
      <c r="L57" s="7"/>
      <c r="N57" s="7"/>
    </row>
    <row r="58" spans="1:14">
      <c r="A58" s="111">
        <f t="shared" si="1"/>
        <v>37</v>
      </c>
      <c r="B58" s="114"/>
      <c r="C58" s="616" t="s">
        <v>1730</v>
      </c>
      <c r="D58" s="736"/>
      <c r="E58" s="14"/>
      <c r="F58" s="14"/>
      <c r="G58" s="14"/>
      <c r="H58" s="14" t="str">
        <f>"1-Base TRR L "&amp;'1-BaseTRR'!A134&amp;""</f>
        <v>1-Base TRR L 76</v>
      </c>
      <c r="I58" s="14"/>
      <c r="J58" s="102">
        <f>'1-BaseTRR'!K134</f>
        <v>0</v>
      </c>
      <c r="L58" s="7"/>
      <c r="N58" s="7"/>
    </row>
    <row r="59" spans="1:14">
      <c r="A59" s="111">
        <f t="shared" si="1"/>
        <v>38</v>
      </c>
      <c r="B59" s="114"/>
      <c r="C59" s="505" t="s">
        <v>1499</v>
      </c>
      <c r="D59" s="14"/>
      <c r="E59" s="14"/>
      <c r="F59" s="14"/>
      <c r="G59" s="14"/>
      <c r="H59" s="14" t="str">
        <f>"Sum Line "&amp;A48&amp;" to Line "&amp;A58&amp;""</f>
        <v>Sum Line 27 to Line 37</v>
      </c>
      <c r="I59" s="14"/>
      <c r="J59" s="766">
        <f>SUM(J48:J58)</f>
        <v>1014144834.3338288</v>
      </c>
      <c r="L59" s="7"/>
      <c r="N59" s="7"/>
    </row>
    <row r="60" spans="1:14">
      <c r="A60" s="111"/>
      <c r="B60" s="114"/>
      <c r="C60" s="14"/>
      <c r="D60" s="14"/>
      <c r="E60" s="14"/>
      <c r="F60" s="14"/>
      <c r="G60" s="14"/>
      <c r="H60" s="14"/>
      <c r="I60" s="14"/>
      <c r="J60" s="63"/>
      <c r="L60" s="7"/>
      <c r="N60" s="7"/>
    </row>
    <row r="61" spans="1:14" ht="12.75" customHeight="1">
      <c r="A61" s="111">
        <f>A59+1</f>
        <v>39</v>
      </c>
      <c r="B61" s="114"/>
      <c r="C61" s="505" t="s">
        <v>1476</v>
      </c>
      <c r="D61" s="14"/>
      <c r="E61" s="14"/>
      <c r="F61" s="14"/>
      <c r="G61" s="14"/>
      <c r="H61" s="14" t="str">
        <f>"15-IncentiveAdder L "&amp;'15-IncentiveAdder'!A59&amp;""</f>
        <v>15-IncentiveAdder L 20</v>
      </c>
      <c r="I61" s="14"/>
      <c r="J61" s="63">
        <f>'15-IncentiveAdder'!G59</f>
        <v>36587100.652048692</v>
      </c>
      <c r="L61" s="7"/>
      <c r="N61" s="7"/>
    </row>
    <row r="62" spans="1:14">
      <c r="A62" s="111"/>
      <c r="B62" s="114"/>
      <c r="C62" s="15"/>
      <c r="D62" s="14"/>
      <c r="E62" s="14"/>
      <c r="F62" s="14"/>
      <c r="G62" s="14"/>
      <c r="H62" s="14"/>
      <c r="I62" s="14"/>
      <c r="J62" s="63"/>
      <c r="L62" s="7"/>
      <c r="N62" s="7"/>
    </row>
    <row r="63" spans="1:14">
      <c r="A63" s="111">
        <f>A61+1</f>
        <v>40</v>
      </c>
      <c r="B63" s="114"/>
      <c r="C63" s="505" t="s">
        <v>2212</v>
      </c>
      <c r="D63" s="14"/>
      <c r="E63" s="14"/>
      <c r="F63" s="14"/>
      <c r="G63" s="14"/>
      <c r="H63" s="14" t="str">
        <f>"Line "&amp;A59&amp;" + Line "&amp;A61&amp;""</f>
        <v>Line 38 + Line 39</v>
      </c>
      <c r="I63" s="14"/>
      <c r="J63" s="63">
        <f>J59+J61</f>
        <v>1050731934.9858775</v>
      </c>
      <c r="L63" s="7"/>
      <c r="N63" s="7"/>
    </row>
    <row r="64" spans="1:14">
      <c r="A64" s="111"/>
      <c r="B64" s="114"/>
      <c r="C64" s="15"/>
      <c r="D64" s="14"/>
      <c r="E64" s="14"/>
      <c r="F64" s="14"/>
      <c r="G64" s="14"/>
      <c r="H64" s="14"/>
      <c r="I64" s="14"/>
      <c r="J64" s="63"/>
    </row>
    <row r="65" spans="1:14">
      <c r="A65" s="111"/>
      <c r="B65" s="408" t="s">
        <v>2222</v>
      </c>
      <c r="C65" s="15"/>
      <c r="D65" s="14"/>
      <c r="E65" s="14"/>
      <c r="F65" s="14"/>
      <c r="G65" s="14"/>
      <c r="H65" s="14"/>
      <c r="I65" s="14"/>
      <c r="J65" s="63"/>
      <c r="N65" s="600"/>
    </row>
    <row r="66" spans="1:14">
      <c r="A66" s="53" t="s">
        <v>322</v>
      </c>
      <c r="B66" s="65"/>
      <c r="G66" s="51" t="s">
        <v>1145</v>
      </c>
      <c r="N66" s="3"/>
    </row>
    <row r="67" spans="1:14">
      <c r="A67" s="111">
        <f>A63+1</f>
        <v>41</v>
      </c>
      <c r="B67" s="966"/>
      <c r="C67" s="14"/>
      <c r="D67" s="969" t="s">
        <v>1500</v>
      </c>
      <c r="E67" s="63">
        <f>J63</f>
        <v>1050731934.9858775</v>
      </c>
      <c r="F67" s="14"/>
      <c r="G67" s="14" t="str">
        <f>"Line "&amp;A63&amp;""</f>
        <v>Line 40</v>
      </c>
      <c r="H67" s="14"/>
      <c r="I67" s="14"/>
      <c r="J67" s="14"/>
      <c r="L67" s="7"/>
      <c r="N67" s="7"/>
    </row>
    <row r="68" spans="1:14">
      <c r="A68" s="111">
        <f>A67+1</f>
        <v>42</v>
      </c>
      <c r="B68" s="966"/>
      <c r="C68" s="14"/>
      <c r="D68" s="368" t="s">
        <v>1144</v>
      </c>
      <c r="E68" s="971">
        <f>'28-FFU'!D22</f>
        <v>9.2057000000000007E-3</v>
      </c>
      <c r="F68" s="14"/>
      <c r="G68" s="14" t="str">
        <f>"28-FFU, L "&amp;'28-FFU'!A22&amp;""</f>
        <v>28-FFU, L 5</v>
      </c>
      <c r="H68" s="14"/>
      <c r="I68" s="14"/>
      <c r="J68" s="14"/>
      <c r="L68" s="8"/>
      <c r="N68" s="8"/>
    </row>
    <row r="69" spans="1:14">
      <c r="A69" s="111">
        <f>A68+1</f>
        <v>43</v>
      </c>
      <c r="B69" s="966"/>
      <c r="C69" s="14"/>
      <c r="D69" s="79" t="s">
        <v>233</v>
      </c>
      <c r="E69" s="63">
        <f>E67*'28-FFU'!D22</f>
        <v>9672722.973899493</v>
      </c>
      <c r="F69" s="14"/>
      <c r="G69" s="14" t="str">
        <f>"Line "&amp;A67&amp;" * Line "&amp;A68&amp;""</f>
        <v>Line 41 * Line 42</v>
      </c>
      <c r="H69" s="14"/>
      <c r="I69" s="14"/>
      <c r="J69" s="14"/>
      <c r="L69" s="7"/>
      <c r="N69" s="7"/>
    </row>
    <row r="70" spans="1:14">
      <c r="A70" s="111">
        <f>A69+1</f>
        <v>44</v>
      </c>
      <c r="B70" s="966"/>
      <c r="C70" s="14"/>
      <c r="D70" s="969" t="s">
        <v>1738</v>
      </c>
      <c r="E70" s="971">
        <f>'28-FFU'!E22</f>
        <v>2.4076000000000002E-3</v>
      </c>
      <c r="F70" s="14"/>
      <c r="G70" s="14" t="str">
        <f>"28-FFU, L "&amp;'28-FFU'!A22&amp;""</f>
        <v>28-FFU, L 5</v>
      </c>
      <c r="H70" s="14"/>
      <c r="I70" s="14"/>
      <c r="J70" s="14"/>
      <c r="L70" s="8"/>
      <c r="N70" s="8"/>
    </row>
    <row r="71" spans="1:14">
      <c r="A71" s="111">
        <f>A70+1</f>
        <v>45</v>
      </c>
      <c r="B71" s="966"/>
      <c r="C71" s="14"/>
      <c r="D71" s="969" t="s">
        <v>1457</v>
      </c>
      <c r="E71" s="63">
        <f>E67*'28-FFU'!E22</f>
        <v>2529742.2066719988</v>
      </c>
      <c r="F71" s="14"/>
      <c r="G71" s="14" t="str">
        <f>"Line "&amp;A69&amp;" * Line "&amp;A70&amp;""</f>
        <v>Line 43 * Line 44</v>
      </c>
      <c r="H71" s="14"/>
      <c r="I71" s="14"/>
      <c r="J71" s="14"/>
      <c r="L71" s="7"/>
      <c r="N71" s="7"/>
    </row>
    <row r="72" spans="1:14">
      <c r="A72" s="111">
        <f>A71+1</f>
        <v>46</v>
      </c>
      <c r="B72" s="966"/>
      <c r="C72" s="14"/>
      <c r="D72" s="969" t="s">
        <v>1501</v>
      </c>
      <c r="E72" s="63">
        <f>E67+E69+E71</f>
        <v>1062934400.166449</v>
      </c>
      <c r="F72" s="14"/>
      <c r="G72" s="14" t="str">
        <f>"L "&amp;A67&amp;" + L "&amp;A69&amp;" + L "&amp;A71&amp;""</f>
        <v>L 41 + L 43 + L 45</v>
      </c>
      <c r="H72" s="14"/>
      <c r="I72" s="14"/>
      <c r="J72" s="14"/>
      <c r="L72" s="7"/>
      <c r="N72" s="7"/>
    </row>
    <row r="73" spans="1:14">
      <c r="A73" s="14"/>
      <c r="B73" s="979" t="s">
        <v>382</v>
      </c>
      <c r="C73" s="14"/>
      <c r="D73" s="79"/>
      <c r="E73" s="63"/>
      <c r="F73" s="14"/>
      <c r="G73" s="14"/>
      <c r="H73" s="627"/>
      <c r="I73" s="14"/>
      <c r="J73" s="14"/>
    </row>
    <row r="74" spans="1:14">
      <c r="A74" s="111"/>
      <c r="B74" s="505" t="s">
        <v>2595</v>
      </c>
      <c r="C74" s="408"/>
      <c r="D74" s="79"/>
      <c r="E74" s="63"/>
      <c r="F74" s="14"/>
      <c r="G74" s="14"/>
      <c r="H74" s="14"/>
      <c r="I74" s="14"/>
      <c r="J74" s="14"/>
    </row>
    <row r="75" spans="1:14">
      <c r="A75" s="111"/>
      <c r="B75" s="505" t="s">
        <v>2381</v>
      </c>
      <c r="C75" s="408"/>
      <c r="D75" s="79"/>
      <c r="E75" s="63"/>
      <c r="F75" s="14"/>
      <c r="G75" s="14"/>
      <c r="H75" s="14"/>
      <c r="I75" s="14"/>
      <c r="J75" s="14"/>
    </row>
    <row r="76" spans="1:14">
      <c r="A76" s="111"/>
      <c r="B76" s="968" t="s">
        <v>1715</v>
      </c>
      <c r="C76" s="15"/>
      <c r="D76" s="79"/>
      <c r="E76" s="63"/>
      <c r="F76" s="14"/>
      <c r="G76" s="14"/>
      <c r="H76" s="14"/>
      <c r="I76" s="14"/>
      <c r="J76" s="14"/>
    </row>
    <row r="77" spans="1:14">
      <c r="A77" s="111"/>
      <c r="B77" s="968" t="s">
        <v>1770</v>
      </c>
      <c r="C77" s="14"/>
      <c r="D77" s="79"/>
      <c r="E77" s="63"/>
      <c r="F77" s="14"/>
      <c r="G77" s="14"/>
      <c r="H77" s="14"/>
      <c r="I77" s="14"/>
      <c r="J77" s="14"/>
    </row>
    <row r="78" spans="1:14">
      <c r="A78" s="111"/>
      <c r="B78" s="14"/>
      <c r="C78" s="14"/>
      <c r="D78" s="14"/>
      <c r="E78" s="14"/>
      <c r="F78" s="14"/>
      <c r="G78" s="14"/>
      <c r="H78" s="14"/>
      <c r="I78" s="14"/>
      <c r="J78" s="14"/>
    </row>
    <row r="79" spans="1:14">
      <c r="A79" s="111"/>
      <c r="B79" s="505" t="s">
        <v>1859</v>
      </c>
      <c r="C79" s="14"/>
      <c r="D79" s="14"/>
      <c r="E79" s="14"/>
      <c r="F79" s="14"/>
      <c r="G79" s="14"/>
      <c r="H79" s="14"/>
      <c r="I79" s="14"/>
      <c r="J79" s="14"/>
    </row>
    <row r="80" spans="1:14">
      <c r="A80" s="111"/>
      <c r="B80" s="505"/>
      <c r="C80" s="505" t="s">
        <v>1865</v>
      </c>
      <c r="D80" s="14"/>
      <c r="E80" s="14"/>
      <c r="F80" s="14"/>
      <c r="G80" s="14"/>
      <c r="H80" s="14"/>
      <c r="I80" s="14"/>
      <c r="J80" s="14"/>
    </row>
    <row r="81" spans="1:12">
      <c r="A81" s="111"/>
      <c r="B81" s="505"/>
      <c r="C81" s="14"/>
      <c r="D81" s="14"/>
      <c r="E81" s="14"/>
      <c r="F81" s="14"/>
      <c r="G81" s="14"/>
      <c r="H81" s="14"/>
      <c r="I81" s="14"/>
      <c r="J81" s="111" t="s">
        <v>1856</v>
      </c>
    </row>
    <row r="82" spans="1:12">
      <c r="A82" s="111"/>
      <c r="B82" s="14"/>
      <c r="C82" s="14"/>
      <c r="D82" s="14"/>
      <c r="E82" s="125" t="s">
        <v>1452</v>
      </c>
      <c r="F82" s="960" t="s">
        <v>1145</v>
      </c>
      <c r="G82" s="125" t="s">
        <v>234</v>
      </c>
      <c r="H82" s="125" t="s">
        <v>235</v>
      </c>
      <c r="I82" s="14"/>
      <c r="J82" s="125" t="s">
        <v>1855</v>
      </c>
    </row>
    <row r="83" spans="1:12">
      <c r="B83" s="981" t="s">
        <v>1700</v>
      </c>
      <c r="C83" s="505" t="s">
        <v>1854</v>
      </c>
      <c r="D83" s="14"/>
      <c r="E83" s="1288">
        <v>9.8000000000000004E-2</v>
      </c>
      <c r="F83" s="980" t="s">
        <v>1858</v>
      </c>
      <c r="G83" s="624" t="s">
        <v>2457</v>
      </c>
      <c r="H83" s="568" t="s">
        <v>2458</v>
      </c>
      <c r="I83" s="15"/>
      <c r="J83" s="116">
        <v>366</v>
      </c>
      <c r="K83" s="15"/>
      <c r="L83" s="15"/>
    </row>
    <row r="84" spans="1:12">
      <c r="B84" s="981" t="s">
        <v>1701</v>
      </c>
      <c r="C84" s="505" t="s">
        <v>1878</v>
      </c>
      <c r="D84" s="14"/>
      <c r="E84" s="1070">
        <v>9.8000000000000004E-2</v>
      </c>
      <c r="F84" s="980" t="s">
        <v>2596</v>
      </c>
      <c r="G84" s="624"/>
      <c r="H84" s="568"/>
      <c r="I84" s="15"/>
      <c r="J84" s="116"/>
      <c r="K84" s="15"/>
      <c r="L84" s="15"/>
    </row>
    <row r="85" spans="1:12">
      <c r="B85" s="981" t="s">
        <v>1702</v>
      </c>
      <c r="C85" s="505"/>
      <c r="D85" s="14"/>
      <c r="E85" s="982"/>
      <c r="F85" s="980"/>
      <c r="G85" s="569"/>
      <c r="H85" s="569"/>
      <c r="I85" s="969" t="s">
        <v>2023</v>
      </c>
      <c r="J85" s="15">
        <f>SUM(J83:J84)</f>
        <v>366</v>
      </c>
      <c r="K85" s="15"/>
      <c r="L85" s="15"/>
    </row>
    <row r="86" spans="1:12">
      <c r="A86" s="14"/>
      <c r="B86" s="981" t="s">
        <v>1703</v>
      </c>
      <c r="C86" s="505" t="s">
        <v>1867</v>
      </c>
      <c r="D86" s="14"/>
      <c r="E86" s="78">
        <f>((E83*J83) + (E84* J84)) / J85</f>
        <v>9.8000000000000004E-2</v>
      </c>
      <c r="F86" s="505" t="s">
        <v>2024</v>
      </c>
      <c r="G86" s="14"/>
      <c r="H86" s="15"/>
      <c r="I86" s="15"/>
      <c r="J86" s="15"/>
      <c r="K86" s="15"/>
      <c r="L86" s="15"/>
    </row>
    <row r="87" spans="1:12">
      <c r="A87" s="111"/>
      <c r="B87" s="505"/>
      <c r="C87" s="14"/>
      <c r="D87" s="14"/>
      <c r="E87" s="14"/>
      <c r="F87" s="14"/>
      <c r="G87" s="14"/>
      <c r="H87" s="15"/>
      <c r="I87" s="15"/>
      <c r="J87" s="15"/>
      <c r="K87" s="15"/>
      <c r="L87" s="15"/>
    </row>
    <row r="88" spans="1:12">
      <c r="A88" s="111"/>
      <c r="B88" s="505" t="s">
        <v>1857</v>
      </c>
      <c r="C88" s="14"/>
      <c r="D88" s="14"/>
      <c r="E88" s="14"/>
      <c r="F88" s="14"/>
      <c r="G88" s="14"/>
      <c r="H88" s="15"/>
      <c r="I88" s="15"/>
      <c r="J88" s="15"/>
      <c r="K88" s="15"/>
      <c r="L88" s="15"/>
    </row>
    <row r="89" spans="1:12">
      <c r="A89" s="111"/>
      <c r="B89" s="505"/>
      <c r="C89" s="14"/>
      <c r="D89" s="14"/>
      <c r="E89" s="960" t="s">
        <v>1145</v>
      </c>
      <c r="F89" s="14"/>
      <c r="G89" s="14"/>
      <c r="H89" s="15"/>
      <c r="I89" s="15"/>
      <c r="J89" s="15"/>
      <c r="K89" s="15"/>
      <c r="L89" s="15"/>
    </row>
    <row r="90" spans="1:12">
      <c r="A90" s="14"/>
      <c r="B90" s="981" t="s">
        <v>1704</v>
      </c>
      <c r="C90" s="505" t="s">
        <v>1880</v>
      </c>
      <c r="D90" s="14"/>
      <c r="E90" s="97" t="s">
        <v>2459</v>
      </c>
      <c r="F90" s="97"/>
      <c r="G90" s="97"/>
      <c r="H90" s="116"/>
      <c r="I90" s="116"/>
      <c r="J90" s="116"/>
      <c r="K90" s="15"/>
      <c r="L90" s="15"/>
    </row>
    <row r="91" spans="1:12">
      <c r="B91" s="981" t="s">
        <v>1705</v>
      </c>
      <c r="C91" s="505" t="s">
        <v>1879</v>
      </c>
      <c r="D91" s="14"/>
      <c r="E91" s="97" t="s">
        <v>2459</v>
      </c>
      <c r="F91" s="97"/>
      <c r="G91" s="97"/>
      <c r="H91" s="116"/>
      <c r="I91" s="116"/>
      <c r="J91" s="116"/>
      <c r="K91" s="15"/>
      <c r="L91" s="15"/>
    </row>
    <row r="92" spans="1:12">
      <c r="B92" s="14"/>
      <c r="C92" s="505"/>
      <c r="D92" s="14"/>
      <c r="E92" s="569"/>
      <c r="F92" s="14"/>
      <c r="G92" s="14"/>
      <c r="H92" s="14"/>
      <c r="I92" s="15"/>
      <c r="J92" s="15"/>
      <c r="K92" s="15"/>
      <c r="L92" s="15"/>
    </row>
    <row r="93" spans="1:12">
      <c r="B93" s="14"/>
      <c r="C93" s="14"/>
      <c r="D93" s="14"/>
      <c r="E93" s="125" t="s">
        <v>1452</v>
      </c>
      <c r="F93" s="960" t="s">
        <v>1145</v>
      </c>
      <c r="G93" s="14"/>
      <c r="H93" s="15"/>
      <c r="I93" s="15"/>
      <c r="J93" s="14"/>
    </row>
    <row r="94" spans="1:12">
      <c r="B94" s="981" t="s">
        <v>1707</v>
      </c>
      <c r="C94" s="505" t="s">
        <v>1868</v>
      </c>
      <c r="D94" s="15"/>
      <c r="E94" s="67">
        <f>'1-BaseTRR'!K88</f>
        <v>1.9993882216272896E-2</v>
      </c>
      <c r="F94" s="14" t="str">
        <f>"1-Base TRR L "&amp;'1-BaseTRR'!A88&amp;""</f>
        <v>1-Base TRR L 51</v>
      </c>
      <c r="G94" s="14"/>
      <c r="H94" s="15"/>
      <c r="I94" s="15"/>
      <c r="J94" s="14"/>
    </row>
    <row r="95" spans="1:12">
      <c r="B95" s="981" t="s">
        <v>1860</v>
      </c>
      <c r="C95" s="505" t="s">
        <v>1869</v>
      </c>
      <c r="D95" s="14"/>
      <c r="E95" s="67">
        <f>'1-BaseTRR'!K89</f>
        <v>5.2858892908932828E-3</v>
      </c>
      <c r="F95" s="14" t="str">
        <f>"1-Base TRR L "&amp;'1-BaseTRR'!A89&amp;""</f>
        <v>1-Base TRR L 52</v>
      </c>
      <c r="G95" s="14"/>
      <c r="H95" s="15"/>
      <c r="I95" s="15"/>
      <c r="J95" s="14"/>
    </row>
    <row r="96" spans="1:12">
      <c r="B96" s="981" t="s">
        <v>1861</v>
      </c>
      <c r="C96" s="505" t="s">
        <v>1870</v>
      </c>
      <c r="D96" s="14"/>
      <c r="E96" s="49">
        <f>('1-BaseTRR'!K80) * E86</f>
        <v>4.9581250392071848E-2</v>
      </c>
      <c r="F96" s="14" t="str">
        <f>"1-Base TRR L "&amp;'1-BaseTRR'!A80&amp;" * Line d"</f>
        <v>1-Base TRR L 47 * Line d</v>
      </c>
      <c r="G96" s="15"/>
      <c r="H96" s="15"/>
      <c r="I96" s="14"/>
      <c r="J96" s="14"/>
    </row>
    <row r="97" spans="1:10">
      <c r="A97" s="14"/>
      <c r="B97" s="111" t="s">
        <v>1862</v>
      </c>
      <c r="C97" s="46" t="s">
        <v>53</v>
      </c>
      <c r="D97" s="14"/>
      <c r="E97" s="48">
        <f>SUM(E94:E96)</f>
        <v>7.4861021899238031E-2</v>
      </c>
      <c r="F97" s="63" t="str">
        <f>"Sum of Lines "&amp;B94&amp;" to "&amp;B96&amp;""</f>
        <v>Sum of Lines g to i</v>
      </c>
      <c r="G97" s="106"/>
      <c r="H97" s="14"/>
      <c r="I97" s="14"/>
      <c r="J97" s="983"/>
    </row>
    <row r="98" spans="1:10">
      <c r="A98" s="111"/>
      <c r="B98" s="14"/>
      <c r="C98" s="21"/>
      <c r="D98" s="24"/>
      <c r="E98" s="63"/>
      <c r="F98" s="63"/>
      <c r="G98" s="106"/>
      <c r="H98" s="63"/>
      <c r="I98" s="14"/>
      <c r="J98" s="983"/>
    </row>
    <row r="99" spans="1:10">
      <c r="A99" s="111"/>
      <c r="B99" s="505" t="s">
        <v>1863</v>
      </c>
      <c r="C99" s="14"/>
      <c r="D99" s="14"/>
      <c r="E99" s="14"/>
      <c r="F99" s="14"/>
      <c r="G99" s="14"/>
      <c r="H99" s="14"/>
      <c r="I99" s="14"/>
      <c r="J99" s="14"/>
    </row>
    <row r="100" spans="1:10">
      <c r="A100" s="111"/>
      <c r="B100" s="14"/>
      <c r="C100" s="14"/>
      <c r="D100" s="14"/>
      <c r="E100" s="14"/>
      <c r="F100" s="14"/>
      <c r="G100" s="14"/>
      <c r="H100" s="14"/>
      <c r="I100" s="14"/>
      <c r="J100" s="14"/>
    </row>
    <row r="101" spans="1:10">
      <c r="A101" s="111"/>
      <c r="B101" s="14"/>
      <c r="C101" s="14"/>
      <c r="D101" s="14"/>
      <c r="E101" s="125" t="s">
        <v>1452</v>
      </c>
      <c r="F101" s="960" t="s">
        <v>1145</v>
      </c>
      <c r="G101" s="14"/>
      <c r="H101" s="14"/>
      <c r="I101" s="14"/>
      <c r="J101" s="14"/>
    </row>
    <row r="102" spans="1:10">
      <c r="A102" s="14"/>
      <c r="B102" s="981" t="s">
        <v>2213</v>
      </c>
      <c r="C102" s="14"/>
      <c r="D102" s="14"/>
      <c r="E102" s="67">
        <f>E95+E96</f>
        <v>5.4867139682965131E-2</v>
      </c>
      <c r="F102" s="63" t="str">
        <f>"Sum of Lines "&amp;B95&amp;" to "&amp;B96&amp;""</f>
        <v>Sum of Lines h to i</v>
      </c>
      <c r="G102" s="14"/>
      <c r="H102" s="14"/>
      <c r="I102" s="14"/>
      <c r="J102" s="14"/>
    </row>
    <row r="103" spans="1:10">
      <c r="A103" s="111"/>
      <c r="B103" s="14"/>
      <c r="C103" s="14"/>
      <c r="D103" s="14"/>
      <c r="E103" s="67"/>
      <c r="F103" s="63"/>
      <c r="G103" s="14"/>
      <c r="H103" s="14"/>
      <c r="I103" s="14"/>
      <c r="J103" s="14"/>
    </row>
    <row r="104" spans="1:10">
      <c r="A104" s="111"/>
      <c r="B104" s="968"/>
      <c r="C104" s="14"/>
      <c r="D104" s="14"/>
      <c r="E104" s="106"/>
      <c r="F104" s="106"/>
      <c r="G104" s="106"/>
      <c r="H104" s="63"/>
      <c r="I104" s="14"/>
      <c r="J104" s="14"/>
    </row>
    <row r="105" spans="1:10">
      <c r="A105" s="111"/>
      <c r="B105" s="980"/>
      <c r="C105" s="14"/>
      <c r="D105" s="14"/>
      <c r="E105" s="14"/>
      <c r="F105" s="14"/>
      <c r="G105" s="14"/>
      <c r="H105" s="14"/>
      <c r="I105" s="14"/>
      <c r="J105" s="14"/>
    </row>
    <row r="106" spans="1:10">
      <c r="A106" s="2"/>
      <c r="B106" s="980"/>
      <c r="C106" s="14"/>
      <c r="D106" s="111"/>
      <c r="E106" s="111"/>
      <c r="F106" s="111"/>
      <c r="G106" s="111"/>
      <c r="H106" s="111"/>
      <c r="I106" s="14"/>
      <c r="J106" s="14"/>
    </row>
    <row r="107" spans="1:10">
      <c r="A107" s="2"/>
      <c r="B107" s="968"/>
      <c r="C107" s="14"/>
      <c r="D107" s="111"/>
      <c r="E107" s="111"/>
      <c r="F107" s="111"/>
      <c r="G107" s="111"/>
      <c r="H107" s="111"/>
      <c r="I107" s="14"/>
      <c r="J107" s="14"/>
    </row>
    <row r="108" spans="1:10">
      <c r="A108" s="2"/>
      <c r="B108" s="14"/>
      <c r="C108" s="29"/>
      <c r="D108" s="29"/>
      <c r="E108" s="125"/>
      <c r="F108" s="125"/>
      <c r="G108" s="125"/>
      <c r="H108" s="125"/>
      <c r="I108" s="14"/>
      <c r="J108" s="14"/>
    </row>
    <row r="109" spans="1:10">
      <c r="A109" s="2"/>
    </row>
    <row r="110" spans="1:10">
      <c r="A110" s="2"/>
    </row>
    <row r="111" spans="1:10">
      <c r="A111" s="2"/>
    </row>
    <row r="112" spans="1:10">
      <c r="A112" s="2"/>
      <c r="C112" s="21"/>
      <c r="E112" s="63"/>
      <c r="F112" s="63"/>
      <c r="H112" s="7"/>
      <c r="J112" s="82"/>
    </row>
    <row r="113" spans="1:10">
      <c r="A113" s="2"/>
      <c r="C113" s="21"/>
      <c r="E113" s="63"/>
      <c r="F113" s="63"/>
      <c r="H113" s="7"/>
      <c r="J113" s="82"/>
    </row>
    <row r="114" spans="1:10">
      <c r="A114" s="53"/>
      <c r="C114" s="21"/>
      <c r="E114" s="63"/>
      <c r="F114" s="63"/>
      <c r="H114" s="7"/>
      <c r="J114" s="82"/>
    </row>
    <row r="115" spans="1:10">
      <c r="A115" s="2"/>
      <c r="D115" s="34"/>
      <c r="E115" s="63"/>
      <c r="F115" s="63"/>
      <c r="G115" s="12"/>
      <c r="H115" s="7"/>
      <c r="J115" s="82"/>
    </row>
    <row r="116" spans="1:10">
      <c r="A116" s="2"/>
      <c r="C116" s="21"/>
      <c r="D116" s="94"/>
      <c r="E116" s="91"/>
      <c r="F116" s="7"/>
      <c r="G116" s="12"/>
      <c r="H116" s="7"/>
      <c r="J116" s="82"/>
    </row>
    <row r="117" spans="1:10">
      <c r="A117" s="2"/>
      <c r="C117" s="21"/>
      <c r="D117" s="94"/>
      <c r="E117" s="7"/>
      <c r="F117" s="7"/>
      <c r="G117" s="12"/>
      <c r="H117" s="7"/>
      <c r="J117" s="82"/>
    </row>
    <row r="118" spans="1:10">
      <c r="A118" s="2"/>
    </row>
    <row r="119" spans="1:10">
      <c r="A119" s="2"/>
      <c r="B119" s="1"/>
    </row>
    <row r="120" spans="1:10">
      <c r="A120" s="2"/>
    </row>
    <row r="121" spans="1:10">
      <c r="A121" s="2"/>
    </row>
    <row r="122" spans="1:10">
      <c r="A122" s="2"/>
      <c r="F122" s="2"/>
    </row>
    <row r="123" spans="1:10">
      <c r="A123" s="2"/>
      <c r="F123" s="2"/>
    </row>
    <row r="124" spans="1:10">
      <c r="A124" s="2"/>
      <c r="D124" s="2"/>
      <c r="E124" s="2"/>
      <c r="F124" s="2"/>
      <c r="H124" s="2"/>
    </row>
    <row r="125" spans="1:10">
      <c r="A125" s="2"/>
      <c r="D125" s="2"/>
      <c r="E125" s="2"/>
      <c r="F125" s="2"/>
      <c r="G125" s="2"/>
      <c r="H125" s="4"/>
    </row>
    <row r="126" spans="1:10">
      <c r="A126" s="53"/>
      <c r="C126" s="25"/>
      <c r="D126" s="25"/>
      <c r="E126" s="3"/>
      <c r="F126" s="84"/>
      <c r="G126" s="3"/>
      <c r="H126" s="4"/>
    </row>
    <row r="127" spans="1:10">
      <c r="A127" s="2"/>
      <c r="C127" s="20"/>
      <c r="D127" s="24"/>
      <c r="E127" s="63"/>
      <c r="F127" s="63"/>
      <c r="G127" s="78"/>
      <c r="H127" s="7"/>
    </row>
    <row r="128" spans="1:10">
      <c r="A128" s="2"/>
      <c r="C128" s="21"/>
      <c r="D128" s="24"/>
      <c r="E128" s="63"/>
      <c r="F128" s="63"/>
      <c r="G128" s="78"/>
      <c r="H128" s="7"/>
    </row>
    <row r="129" spans="1:8">
      <c r="A129" s="2"/>
      <c r="C129" s="21"/>
      <c r="D129" s="24"/>
      <c r="E129" s="63"/>
      <c r="F129" s="63"/>
      <c r="G129" s="78"/>
      <c r="H129" s="7"/>
    </row>
    <row r="130" spans="1:8">
      <c r="A130" s="2"/>
      <c r="C130" s="20"/>
      <c r="D130" s="24"/>
      <c r="E130" s="63"/>
      <c r="F130" s="63"/>
      <c r="G130" s="78"/>
      <c r="H130" s="7"/>
    </row>
    <row r="131" spans="1:8">
      <c r="A131" s="2"/>
      <c r="C131" s="21"/>
      <c r="D131" s="24"/>
      <c r="E131" s="63"/>
      <c r="F131" s="63"/>
      <c r="G131" s="78"/>
      <c r="H131" s="7"/>
    </row>
    <row r="132" spans="1:8">
      <c r="A132" s="2"/>
      <c r="C132" s="21"/>
      <c r="D132" s="24"/>
      <c r="E132" s="63"/>
      <c r="F132" s="63"/>
      <c r="G132" s="78"/>
      <c r="H132" s="7"/>
    </row>
    <row r="133" spans="1:8">
      <c r="A133" s="2"/>
      <c r="C133" s="20"/>
      <c r="D133" s="24"/>
      <c r="E133" s="63"/>
      <c r="F133" s="63"/>
      <c r="G133" s="78"/>
      <c r="H133" s="7"/>
    </row>
    <row r="134" spans="1:8">
      <c r="A134" s="2"/>
      <c r="C134" s="21"/>
      <c r="D134" s="24"/>
      <c r="E134" s="63"/>
      <c r="F134" s="63"/>
      <c r="G134" s="78"/>
      <c r="H134" s="7"/>
    </row>
    <row r="135" spans="1:8">
      <c r="A135" s="2"/>
      <c r="C135" s="21"/>
      <c r="D135" s="24"/>
      <c r="E135" s="63"/>
      <c r="F135" s="63"/>
      <c r="G135" s="78"/>
      <c r="H135" s="7"/>
    </row>
    <row r="136" spans="1:8">
      <c r="A136" s="2"/>
      <c r="C136" s="20"/>
      <c r="D136" s="24"/>
      <c r="E136" s="63"/>
      <c r="F136" s="63"/>
      <c r="G136" s="78"/>
      <c r="H136" s="7"/>
    </row>
    <row r="137" spans="1:8">
      <c r="A137" s="2"/>
      <c r="C137" s="20"/>
      <c r="D137" s="24"/>
      <c r="E137" s="63"/>
      <c r="F137" s="63"/>
      <c r="G137" s="78"/>
      <c r="H137" s="7"/>
    </row>
    <row r="138" spans="1:8">
      <c r="A138" s="2"/>
      <c r="C138" s="21"/>
      <c r="D138" s="24"/>
      <c r="E138" s="63"/>
      <c r="F138" s="63"/>
      <c r="G138" s="78"/>
      <c r="H138" s="57"/>
    </row>
    <row r="139" spans="1:8">
      <c r="A139" s="2"/>
      <c r="E139" s="14"/>
      <c r="F139" s="14"/>
      <c r="G139" s="14"/>
      <c r="H139" s="7"/>
    </row>
    <row r="140" spans="1:8">
      <c r="A140" s="2"/>
      <c r="C140" s="21"/>
      <c r="D140" s="24"/>
      <c r="E140" s="14"/>
      <c r="F140" s="146"/>
      <c r="G140" s="78"/>
      <c r="H140" s="71"/>
    </row>
    <row r="141" spans="1:8">
      <c r="A141" s="2"/>
      <c r="B141" s="1"/>
      <c r="C141" s="21"/>
      <c r="D141" s="24"/>
      <c r="E141" s="14"/>
      <c r="F141" s="146"/>
      <c r="G141" s="78"/>
      <c r="H141" s="71"/>
    </row>
    <row r="142" spans="1:8">
      <c r="A142" s="53"/>
      <c r="B142" s="1"/>
      <c r="C142" s="21"/>
      <c r="D142" s="24"/>
      <c r="E142" s="14"/>
      <c r="F142" s="146"/>
      <c r="G142" s="78"/>
      <c r="H142" s="71"/>
    </row>
    <row r="143" spans="1:8">
      <c r="A143" s="2"/>
      <c r="C143" s="21"/>
      <c r="D143" s="85"/>
      <c r="E143" s="63"/>
      <c r="F143" s="147"/>
      <c r="G143" s="78"/>
      <c r="H143" s="71"/>
    </row>
    <row r="144" spans="1:8">
      <c r="A144" s="2"/>
      <c r="C144" s="21"/>
      <c r="D144" s="37"/>
      <c r="E144" s="63"/>
      <c r="F144" s="147"/>
      <c r="G144" s="78"/>
      <c r="H144" s="71"/>
    </row>
    <row r="145" spans="1:10">
      <c r="A145" s="2"/>
      <c r="C145" s="21"/>
      <c r="D145" s="37"/>
      <c r="E145" s="57"/>
      <c r="F145" s="118"/>
      <c r="G145" s="78"/>
      <c r="H145" s="71"/>
    </row>
    <row r="146" spans="1:10">
      <c r="A146" s="2"/>
      <c r="C146" s="21"/>
      <c r="D146" s="85"/>
      <c r="E146" s="7"/>
      <c r="F146" s="71"/>
      <c r="G146" s="78"/>
      <c r="H146" s="71"/>
    </row>
    <row r="147" spans="1:10">
      <c r="A147" s="2"/>
      <c r="C147" s="21"/>
      <c r="D147" s="24"/>
      <c r="F147" s="71"/>
      <c r="G147" s="78"/>
      <c r="H147" s="71"/>
    </row>
    <row r="148" spans="1:10">
      <c r="A148" s="2"/>
    </row>
    <row r="149" spans="1:10">
      <c r="A149" s="2"/>
    </row>
    <row r="150" spans="1:10">
      <c r="A150" s="2"/>
    </row>
    <row r="151" spans="1:10">
      <c r="A151" s="2"/>
      <c r="B151" s="1"/>
    </row>
    <row r="152" spans="1:10">
      <c r="A152" s="2"/>
      <c r="B152" s="12"/>
    </row>
    <row r="153" spans="1:10">
      <c r="A153" s="2"/>
      <c r="B153" s="12"/>
    </row>
    <row r="154" spans="1:10">
      <c r="A154" s="2"/>
      <c r="B154" s="12"/>
    </row>
    <row r="155" spans="1:10">
      <c r="A155" s="2"/>
    </row>
    <row r="156" spans="1:10">
      <c r="A156" s="2"/>
      <c r="B156" s="1"/>
    </row>
    <row r="157" spans="1:10">
      <c r="A157" s="2"/>
    </row>
    <row r="158" spans="1:10">
      <c r="A158" s="53"/>
      <c r="C158" s="25"/>
      <c r="D158" s="3"/>
      <c r="G158" s="14"/>
      <c r="H158" s="14"/>
      <c r="I158" s="14"/>
      <c r="J158" s="14"/>
    </row>
    <row r="159" spans="1:10">
      <c r="A159" s="2"/>
      <c r="C159" s="20"/>
      <c r="D159" s="144"/>
      <c r="F159" s="8"/>
      <c r="G159" s="14"/>
      <c r="H159" s="14"/>
      <c r="I159" s="14"/>
      <c r="J159" s="14"/>
    </row>
    <row r="160" spans="1:10">
      <c r="A160" s="2"/>
      <c r="C160" s="21"/>
      <c r="D160" s="144"/>
      <c r="F160" s="8"/>
      <c r="G160" s="14"/>
      <c r="H160" s="14"/>
      <c r="I160" s="14"/>
      <c r="J160" s="14"/>
    </row>
    <row r="161" spans="1:10">
      <c r="A161" s="2"/>
      <c r="C161" s="21"/>
      <c r="D161" s="144"/>
      <c r="F161" s="8"/>
      <c r="G161" s="14"/>
      <c r="H161" s="14"/>
      <c r="I161" s="14"/>
      <c r="J161" s="14"/>
    </row>
    <row r="162" spans="1:10">
      <c r="A162" s="2"/>
      <c r="C162" s="20"/>
      <c r="D162" s="144"/>
      <c r="F162" s="8"/>
      <c r="G162" s="14"/>
      <c r="H162" s="14"/>
      <c r="I162" s="14"/>
      <c r="J162" s="14"/>
    </row>
    <row r="163" spans="1:10">
      <c r="A163" s="2"/>
      <c r="C163" s="21"/>
      <c r="D163" s="144"/>
      <c r="F163" s="8"/>
      <c r="G163" s="14"/>
      <c r="H163" s="14"/>
      <c r="I163" s="14"/>
      <c r="J163" s="14"/>
    </row>
    <row r="164" spans="1:10">
      <c r="A164" s="2"/>
      <c r="C164" s="21"/>
      <c r="D164" s="144"/>
      <c r="F164" s="8"/>
      <c r="G164" s="14"/>
      <c r="H164" s="14"/>
      <c r="I164" s="14"/>
      <c r="J164" s="14"/>
    </row>
    <row r="165" spans="1:10">
      <c r="A165" s="2"/>
      <c r="C165" s="20"/>
      <c r="D165" s="144"/>
      <c r="F165" s="8"/>
      <c r="G165" s="14"/>
      <c r="H165" s="14"/>
      <c r="I165" s="14"/>
      <c r="J165" s="14"/>
    </row>
    <row r="166" spans="1:10">
      <c r="A166" s="2"/>
      <c r="C166" s="21"/>
      <c r="D166" s="144"/>
      <c r="F166" s="8"/>
      <c r="G166" s="14"/>
      <c r="H166" s="14"/>
      <c r="I166" s="14"/>
      <c r="J166" s="14"/>
    </row>
    <row r="167" spans="1:10">
      <c r="A167" s="2"/>
      <c r="C167" s="21"/>
      <c r="D167" s="144"/>
      <c r="F167" s="8"/>
      <c r="G167" s="14"/>
      <c r="H167" s="14"/>
      <c r="I167" s="14"/>
      <c r="J167" s="14"/>
    </row>
    <row r="168" spans="1:10">
      <c r="A168" s="2"/>
      <c r="C168" s="20"/>
      <c r="D168" s="144"/>
      <c r="F168" s="8"/>
      <c r="G168" s="14"/>
      <c r="H168" s="14"/>
      <c r="I168" s="14"/>
      <c r="J168" s="14"/>
    </row>
    <row r="169" spans="1:10">
      <c r="A169" s="2"/>
      <c r="C169" s="20"/>
      <c r="D169" s="144"/>
      <c r="F169" s="8"/>
    </row>
    <row r="170" spans="1:10">
      <c r="A170" s="2"/>
      <c r="C170" s="21"/>
      <c r="D170" s="145"/>
      <c r="F170" s="81"/>
    </row>
    <row r="171" spans="1:10">
      <c r="A171" s="2"/>
      <c r="C171" s="34"/>
      <c r="D171" s="144"/>
    </row>
  </sheetData>
  <phoneticPr fontId="23" type="noConversion"/>
  <pageMargins left="0.75" right="0.75" top="1" bottom="1" header="0.5" footer="0.5"/>
  <pageSetup scale="80" orientation="landscape" cellComments="asDisplayed" r:id="rId1"/>
  <headerFooter alignWithMargins="0">
    <oddHeader>&amp;CSchedule 4
True Up TRR
&amp;RExhibit SCE-4
TO2018 Formula Rate Spreadsheet</oddHeader>
    <oddFooter>&amp;R&amp;A</oddFooter>
  </headerFooter>
  <rowBreaks count="4" manualBreakCount="4">
    <brk id="46" max="9" man="1"/>
    <brk id="72" max="16383" man="1"/>
    <brk id="118" max="9" man="1"/>
    <brk id="1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zoomScaleNormal="100" zoomScalePageLayoutView="90" workbookViewId="0"/>
  </sheetViews>
  <sheetFormatPr defaultColWidth="8.85546875" defaultRowHeight="12.75"/>
  <cols>
    <col min="1" max="1" width="4.7109375" style="1112" customWidth="1"/>
    <col min="2" max="2" width="3.7109375" style="1112" customWidth="1"/>
    <col min="3" max="3" width="8.85546875" style="1112"/>
    <col min="4" max="4" width="13.7109375" style="1112" customWidth="1"/>
    <col min="5" max="5" width="8.85546875" style="1112"/>
    <col min="6" max="7" width="10.7109375" style="1112" customWidth="1"/>
    <col min="8" max="8" width="8.85546875" style="1112"/>
    <col min="9" max="9" width="27.7109375" style="1112" customWidth="1"/>
    <col min="10" max="10" width="30.7109375" style="1112" customWidth="1"/>
    <col min="11" max="11" width="2.7109375" style="1112" customWidth="1"/>
    <col min="12" max="12" width="16.7109375" style="1112" customWidth="1"/>
    <col min="13" max="13" width="1.7109375" style="1112" customWidth="1"/>
    <col min="14" max="14" width="4.7109375" style="14" customWidth="1"/>
    <col min="15" max="28" width="14.7109375" style="14" customWidth="1"/>
    <col min="29" max="16384" width="8.85546875" style="1112"/>
  </cols>
  <sheetData>
    <row r="1" spans="1:28">
      <c r="A1" s="1" t="s">
        <v>24</v>
      </c>
      <c r="J1" s="97" t="s">
        <v>304</v>
      </c>
      <c r="K1" s="14"/>
      <c r="L1" s="14"/>
    </row>
    <row r="2" spans="1:28">
      <c r="B2" s="1"/>
      <c r="I2" s="600"/>
      <c r="J2" s="600" t="s">
        <v>169</v>
      </c>
      <c r="L2" s="252">
        <v>2016</v>
      </c>
    </row>
    <row r="3" spans="1:28">
      <c r="I3" s="3" t="s">
        <v>168</v>
      </c>
      <c r="J3" s="3" t="s">
        <v>170</v>
      </c>
      <c r="L3" s="3" t="s">
        <v>171</v>
      </c>
    </row>
    <row r="5" spans="1:28">
      <c r="A5" s="10" t="s">
        <v>177</v>
      </c>
      <c r="B5" s="121"/>
      <c r="C5" s="11"/>
      <c r="D5" s="11"/>
      <c r="E5" s="11"/>
      <c r="F5" s="11"/>
      <c r="G5" s="11"/>
      <c r="H5" s="11"/>
      <c r="I5" s="9"/>
      <c r="J5" s="9"/>
      <c r="K5" s="9"/>
      <c r="L5" s="9"/>
      <c r="N5" s="584"/>
      <c r="O5" s="585"/>
      <c r="P5" s="585"/>
      <c r="Q5" s="585"/>
      <c r="R5" s="585"/>
      <c r="S5" s="585"/>
      <c r="T5" s="585"/>
    </row>
    <row r="6" spans="1:28">
      <c r="B6" s="44"/>
      <c r="C6" s="505"/>
      <c r="D6" s="505"/>
      <c r="E6" s="505"/>
      <c r="F6" s="505"/>
      <c r="G6" s="505"/>
      <c r="H6" s="505"/>
      <c r="I6" s="505"/>
      <c r="J6" s="505"/>
      <c r="K6" s="505"/>
      <c r="L6" s="505"/>
      <c r="O6" s="363"/>
      <c r="P6" s="363"/>
      <c r="Q6" s="363"/>
      <c r="R6" s="363"/>
      <c r="S6" s="363"/>
      <c r="T6" s="363"/>
      <c r="U6" s="363"/>
      <c r="V6" s="363"/>
      <c r="W6" s="363"/>
      <c r="X6" s="363"/>
      <c r="Y6" s="363"/>
      <c r="Z6" s="363"/>
      <c r="AA6" s="363"/>
      <c r="AB6" s="363"/>
    </row>
    <row r="7" spans="1:28">
      <c r="A7" s="53" t="s">
        <v>322</v>
      </c>
      <c r="B7" s="44"/>
      <c r="C7" s="45" t="s">
        <v>270</v>
      </c>
      <c r="D7" s="505"/>
      <c r="E7" s="505"/>
      <c r="F7" s="505"/>
      <c r="G7" s="505"/>
      <c r="H7" s="505"/>
      <c r="I7" s="505"/>
      <c r="J7" s="503"/>
      <c r="K7" s="505"/>
      <c r="L7" s="505"/>
      <c r="N7" s="586"/>
      <c r="O7" s="79"/>
      <c r="P7" s="587"/>
      <c r="Q7" s="569"/>
      <c r="R7" s="569"/>
      <c r="S7" s="569"/>
      <c r="T7" s="569"/>
      <c r="U7" s="569"/>
      <c r="V7" s="569"/>
      <c r="W7" s="569"/>
      <c r="X7" s="569"/>
      <c r="Y7" s="569"/>
      <c r="Z7" s="569"/>
      <c r="AA7" s="569"/>
      <c r="AB7" s="569"/>
    </row>
    <row r="8" spans="1:28">
      <c r="A8" s="111">
        <v>1</v>
      </c>
      <c r="B8" s="44"/>
      <c r="C8" s="505" t="s">
        <v>206</v>
      </c>
      <c r="D8" s="505"/>
      <c r="E8" s="505"/>
      <c r="F8" s="505"/>
      <c r="G8" s="505"/>
      <c r="H8" s="505"/>
      <c r="I8" s="505" t="s">
        <v>1637</v>
      </c>
      <c r="J8" s="502" t="str">
        <f>"5-ROR-2, Line "&amp;'5-ROR-2'!A8&amp;""</f>
        <v>5-ROR-2, Line 1</v>
      </c>
      <c r="K8" s="505"/>
      <c r="L8" s="517">
        <f>'5-ROR-2'!C8</f>
        <v>10326762637.375385</v>
      </c>
      <c r="N8" s="111"/>
      <c r="O8" s="517"/>
      <c r="P8" s="517"/>
      <c r="Q8" s="517"/>
      <c r="R8" s="517"/>
      <c r="S8" s="517"/>
      <c r="T8" s="517"/>
      <c r="U8" s="517"/>
      <c r="V8" s="517"/>
      <c r="W8" s="517"/>
      <c r="X8" s="517"/>
      <c r="Y8" s="517"/>
      <c r="Z8" s="517"/>
      <c r="AA8" s="517"/>
      <c r="AB8" s="517"/>
    </row>
    <row r="9" spans="1:28">
      <c r="A9" s="111">
        <f>A8+1</f>
        <v>2</v>
      </c>
      <c r="B9" s="44"/>
      <c r="C9" s="505" t="s">
        <v>207</v>
      </c>
      <c r="D9" s="505"/>
      <c r="E9" s="505"/>
      <c r="F9" s="505"/>
      <c r="G9" s="505"/>
      <c r="H9" s="505"/>
      <c r="I9" s="505" t="s">
        <v>1637</v>
      </c>
      <c r="J9" s="502" t="str">
        <f>"5-ROR-2, Line "&amp;'5-ROR-2'!A10&amp;""</f>
        <v>5-ROR-2, Line 2</v>
      </c>
      <c r="K9" s="505"/>
      <c r="L9" s="517">
        <f>'5-ROR-2'!C10</f>
        <v>-50769230.769230768</v>
      </c>
      <c r="N9" s="111"/>
      <c r="O9" s="517"/>
      <c r="P9" s="517"/>
      <c r="Q9" s="517"/>
      <c r="R9" s="517"/>
      <c r="S9" s="517"/>
      <c r="T9" s="517"/>
      <c r="U9" s="517"/>
      <c r="V9" s="517"/>
      <c r="W9" s="517"/>
      <c r="X9" s="517"/>
      <c r="Y9" s="517"/>
      <c r="Z9" s="517"/>
      <c r="AA9" s="517"/>
      <c r="AB9" s="517"/>
    </row>
    <row r="10" spans="1:28">
      <c r="A10" s="111">
        <f t="shared" ref="A10:A19" si="0">A9+1</f>
        <v>3</v>
      </c>
      <c r="B10" s="44"/>
      <c r="C10" s="505" t="s">
        <v>1851</v>
      </c>
      <c r="D10" s="984"/>
      <c r="E10" s="984"/>
      <c r="F10" s="984"/>
      <c r="G10" s="984"/>
      <c r="H10" s="984"/>
      <c r="I10" s="505" t="s">
        <v>1637</v>
      </c>
      <c r="J10" s="502" t="str">
        <f>"5-ROR-2, Line "&amp;'5-ROR-2'!A12&amp;""</f>
        <v>5-ROR-2, Line 3</v>
      </c>
      <c r="K10" s="505"/>
      <c r="L10" s="517">
        <f>'5-ROR-2'!C12</f>
        <v>0</v>
      </c>
      <c r="N10" s="111"/>
      <c r="O10" s="517"/>
      <c r="P10" s="517"/>
      <c r="Q10" s="517"/>
      <c r="R10" s="517"/>
      <c r="S10" s="517"/>
      <c r="T10" s="517"/>
      <c r="U10" s="517"/>
      <c r="V10" s="517"/>
      <c r="W10" s="517"/>
      <c r="X10" s="517"/>
      <c r="Y10" s="517"/>
      <c r="Z10" s="517"/>
      <c r="AA10" s="517"/>
      <c r="AB10" s="517"/>
    </row>
    <row r="11" spans="1:28">
      <c r="A11" s="111">
        <f t="shared" si="0"/>
        <v>4</v>
      </c>
      <c r="B11" s="44"/>
      <c r="C11" s="505" t="s">
        <v>208</v>
      </c>
      <c r="D11" s="505"/>
      <c r="E11" s="505"/>
      <c r="F11" s="505"/>
      <c r="G11" s="505"/>
      <c r="H11" s="505"/>
      <c r="I11" s="505" t="s">
        <v>1637</v>
      </c>
      <c r="J11" s="502" t="str">
        <f>"5-ROR-2, Line "&amp;'5-ROR-2'!A14&amp;""</f>
        <v>5-ROR-2, Line 4</v>
      </c>
      <c r="K11" s="505"/>
      <c r="L11" s="517">
        <f>'5-ROR-2'!C14</f>
        <v>306652104.17230773</v>
      </c>
      <c r="N11" s="111"/>
      <c r="O11" s="517"/>
      <c r="P11" s="517"/>
      <c r="Q11" s="517"/>
      <c r="R11" s="517"/>
      <c r="S11" s="517"/>
      <c r="T11" s="517"/>
      <c r="U11" s="517"/>
      <c r="V11" s="517"/>
      <c r="W11" s="517"/>
      <c r="X11" s="517"/>
      <c r="Y11" s="517"/>
      <c r="Z11" s="517"/>
      <c r="AA11" s="517"/>
      <c r="AB11" s="517"/>
    </row>
    <row r="12" spans="1:28">
      <c r="A12" s="111">
        <f t="shared" si="0"/>
        <v>5</v>
      </c>
      <c r="B12" s="44"/>
      <c r="C12" s="505" t="s">
        <v>2776</v>
      </c>
      <c r="D12" s="505"/>
      <c r="E12" s="505"/>
      <c r="F12" s="505"/>
      <c r="G12" s="505"/>
      <c r="H12" s="505"/>
      <c r="I12" s="505" t="s">
        <v>2781</v>
      </c>
      <c r="J12" s="502" t="str">
        <f>"5-ROR-2, Line "&amp;'5-ROR-2'!A18&amp;""</f>
        <v>5-ROR-2, Line 6</v>
      </c>
      <c r="K12" s="505"/>
      <c r="L12" s="517">
        <f>'5-ROR-2'!C18</f>
        <v>-35385187.713846155</v>
      </c>
      <c r="N12" s="111"/>
      <c r="O12" s="517"/>
      <c r="P12" s="517"/>
      <c r="Q12" s="517"/>
      <c r="R12" s="517"/>
      <c r="S12" s="517"/>
      <c r="T12" s="517"/>
      <c r="U12" s="517"/>
      <c r="V12" s="517"/>
      <c r="W12" s="517"/>
      <c r="X12" s="517"/>
      <c r="Y12" s="517"/>
      <c r="Z12" s="517"/>
      <c r="AA12" s="517"/>
      <c r="AB12" s="517"/>
    </row>
    <row r="13" spans="1:28">
      <c r="A13" s="111">
        <f t="shared" si="0"/>
        <v>6</v>
      </c>
      <c r="B13" s="44"/>
      <c r="C13" s="505" t="s">
        <v>2777</v>
      </c>
      <c r="D13" s="505"/>
      <c r="E13" s="505"/>
      <c r="F13" s="505"/>
      <c r="G13" s="505"/>
      <c r="H13" s="505"/>
      <c r="I13" s="505" t="s">
        <v>2781</v>
      </c>
      <c r="J13" s="502" t="str">
        <f>"5-ROR-2, Line "&amp;'5-ROR-2'!A20&amp;""</f>
        <v>5-ROR-2, Line 7</v>
      </c>
      <c r="K13" s="505"/>
      <c r="L13" s="517">
        <f>'5-ROR-2'!C20</f>
        <v>-81582698.81923078</v>
      </c>
      <c r="N13" s="111"/>
      <c r="O13" s="517"/>
      <c r="P13" s="517"/>
      <c r="Q13" s="517"/>
      <c r="R13" s="517"/>
      <c r="S13" s="517"/>
      <c r="T13" s="517"/>
      <c r="U13" s="517"/>
      <c r="V13" s="517"/>
      <c r="W13" s="517"/>
      <c r="X13" s="517"/>
      <c r="Y13" s="517"/>
      <c r="Z13" s="517"/>
      <c r="AA13" s="517"/>
      <c r="AB13" s="517"/>
    </row>
    <row r="14" spans="1:28">
      <c r="A14" s="111">
        <f t="shared" si="0"/>
        <v>7</v>
      </c>
      <c r="B14" s="44"/>
      <c r="C14" s="505" t="s">
        <v>2778</v>
      </c>
      <c r="D14" s="505"/>
      <c r="E14" s="505"/>
      <c r="F14" s="505"/>
      <c r="G14" s="505"/>
      <c r="H14" s="505"/>
      <c r="I14" s="505" t="s">
        <v>2781</v>
      </c>
      <c r="J14" s="502" t="str">
        <f>"5-ROR-2, Line "&amp;'5-ROR-2'!A22&amp;""</f>
        <v>5-ROR-2, Line 8</v>
      </c>
      <c r="K14" s="505"/>
      <c r="L14" s="517">
        <f>'5-ROR-2'!C22</f>
        <v>-192859378.54615384</v>
      </c>
      <c r="N14" s="111"/>
      <c r="O14" s="517"/>
      <c r="P14" s="517"/>
      <c r="Q14" s="517"/>
      <c r="R14" s="517"/>
      <c r="S14" s="517"/>
      <c r="T14" s="517"/>
      <c r="U14" s="517"/>
      <c r="V14" s="517"/>
      <c r="W14" s="517"/>
      <c r="X14" s="517"/>
      <c r="Y14" s="517"/>
      <c r="Z14" s="517"/>
      <c r="AA14" s="517"/>
      <c r="AB14" s="517"/>
    </row>
    <row r="15" spans="1:28">
      <c r="A15" s="111">
        <f t="shared" si="0"/>
        <v>8</v>
      </c>
      <c r="B15" s="44"/>
      <c r="C15" s="505" t="s">
        <v>259</v>
      </c>
      <c r="D15" s="505"/>
      <c r="E15" s="505"/>
      <c r="F15" s="505"/>
      <c r="G15" s="505"/>
      <c r="H15" s="505"/>
      <c r="I15" s="505"/>
      <c r="J15" s="502" t="str">
        <f>"1-BaseTRR, Line "&amp;'1-BaseTRR'!A102&amp;""</f>
        <v>1-BaseTRR, Line 59</v>
      </c>
      <c r="K15" s="505"/>
      <c r="L15" s="1356">
        <f>'1-BaseTRR'!K102</f>
        <v>0.40745999999999999</v>
      </c>
      <c r="N15" s="111"/>
      <c r="O15" s="517"/>
      <c r="P15" s="517"/>
      <c r="Q15" s="517"/>
      <c r="R15" s="517"/>
      <c r="S15" s="517"/>
      <c r="T15" s="517"/>
      <c r="U15" s="517"/>
      <c r="V15" s="517"/>
      <c r="W15" s="517"/>
      <c r="X15" s="517"/>
      <c r="Y15" s="517"/>
      <c r="Z15" s="517"/>
      <c r="AA15" s="517"/>
      <c r="AB15" s="517"/>
    </row>
    <row r="16" spans="1:28">
      <c r="A16" s="111">
        <f t="shared" si="0"/>
        <v>9</v>
      </c>
      <c r="B16" s="44"/>
      <c r="C16" s="505" t="s">
        <v>2782</v>
      </c>
      <c r="D16" s="505"/>
      <c r="E16" s="505"/>
      <c r="F16" s="505"/>
      <c r="G16" s="505"/>
      <c r="H16" s="505"/>
      <c r="I16" s="505"/>
      <c r="J16" s="502" t="str">
        <f>"Line "&amp;A14&amp;" * (1- Line "&amp;A15&amp;")"</f>
        <v>Line 7 * (1- Line 8)</v>
      </c>
      <c r="K16" s="505"/>
      <c r="L16" s="517">
        <f>+L14*(1-L15)</f>
        <v>-114276896.16373801</v>
      </c>
      <c r="N16" s="111"/>
      <c r="O16" s="517"/>
      <c r="P16" s="517"/>
      <c r="Q16" s="517"/>
      <c r="R16" s="517"/>
      <c r="S16" s="517"/>
      <c r="T16" s="517"/>
      <c r="U16" s="517"/>
      <c r="V16" s="517"/>
      <c r="W16" s="517"/>
      <c r="X16" s="517"/>
      <c r="Y16" s="517"/>
      <c r="Z16" s="517"/>
      <c r="AA16" s="517"/>
      <c r="AB16" s="517"/>
    </row>
    <row r="17" spans="1:28">
      <c r="A17" s="111">
        <f t="shared" si="0"/>
        <v>10</v>
      </c>
      <c r="B17" s="44"/>
      <c r="C17" s="505" t="s">
        <v>2779</v>
      </c>
      <c r="D17" s="505"/>
      <c r="E17" s="505"/>
      <c r="F17" s="505"/>
      <c r="G17" s="505"/>
      <c r="H17" s="505"/>
      <c r="I17" s="505" t="s">
        <v>2781</v>
      </c>
      <c r="J17" s="502" t="str">
        <f>"5-ROR-2, Line "&amp;'5-ROR-2'!A24&amp;""</f>
        <v>5-ROR-2, Line 9</v>
      </c>
      <c r="K17" s="505"/>
      <c r="L17" s="517">
        <f>'5-ROR-2'!C24</f>
        <v>-834019455.7386241</v>
      </c>
      <c r="N17" s="111"/>
      <c r="O17" s="517"/>
      <c r="P17" s="517"/>
      <c r="Q17" s="517"/>
      <c r="R17" s="517"/>
      <c r="S17" s="517"/>
      <c r="T17" s="517"/>
      <c r="U17" s="517"/>
      <c r="V17" s="517"/>
      <c r="W17" s="517"/>
      <c r="X17" s="517"/>
      <c r="Y17" s="517"/>
      <c r="Z17" s="517"/>
      <c r="AA17" s="517"/>
      <c r="AB17" s="517"/>
    </row>
    <row r="18" spans="1:28">
      <c r="A18" s="111">
        <f t="shared" si="0"/>
        <v>11</v>
      </c>
      <c r="B18" s="44"/>
      <c r="C18" s="505" t="s">
        <v>2780</v>
      </c>
      <c r="D18" s="505"/>
      <c r="E18" s="505"/>
      <c r="F18" s="505"/>
      <c r="G18" s="505"/>
      <c r="H18" s="505"/>
      <c r="I18" s="505"/>
      <c r="J18" s="502" t="str">
        <f>"5-ROR-2, Line "&amp;'5-ROR-2'!A26&amp;""</f>
        <v>5-ROR-2, Line 10</v>
      </c>
      <c r="K18" s="505"/>
      <c r="L18" s="517">
        <f>'5-ROR-2'!C26</f>
        <v>5647870.5061538471</v>
      </c>
      <c r="N18" s="111"/>
      <c r="O18" s="517"/>
      <c r="P18" s="517"/>
      <c r="Q18" s="517"/>
      <c r="R18" s="517"/>
      <c r="S18" s="517"/>
      <c r="T18" s="517"/>
      <c r="U18" s="517"/>
      <c r="V18" s="517"/>
      <c r="W18" s="517"/>
      <c r="X18" s="517"/>
      <c r="Y18" s="517"/>
      <c r="Z18" s="517"/>
      <c r="AA18" s="517"/>
      <c r="AB18" s="517"/>
    </row>
    <row r="19" spans="1:28">
      <c r="A19" s="111">
        <f t="shared" si="0"/>
        <v>12</v>
      </c>
      <c r="B19" s="44"/>
      <c r="C19" s="502" t="s">
        <v>209</v>
      </c>
      <c r="D19" s="505"/>
      <c r="E19" s="505"/>
      <c r="F19" s="505"/>
      <c r="G19" s="505"/>
      <c r="H19" s="505"/>
      <c r="I19" s="505"/>
      <c r="J19" s="502" t="str">
        <f>"Sum of Lines "&amp;A8&amp;" to "&amp;A13&amp;" and "&amp;A16&amp;" to "&amp;A18&amp;""</f>
        <v>Sum of Lines 1 to 6 and 9 to 11</v>
      </c>
      <c r="K19" s="505"/>
      <c r="L19" s="518">
        <f>+SUM(L8:L13,L16:L18)</f>
        <v>9523029142.8491764</v>
      </c>
    </row>
    <row r="20" spans="1:28">
      <c r="A20" s="14"/>
      <c r="B20" s="44"/>
      <c r="C20" s="505"/>
      <c r="D20" s="505"/>
      <c r="E20" s="505"/>
      <c r="F20" s="505"/>
      <c r="G20" s="505" t="s">
        <v>331</v>
      </c>
      <c r="H20" s="505"/>
      <c r="I20" s="505"/>
      <c r="J20" s="502"/>
      <c r="K20" s="505"/>
      <c r="L20" s="505"/>
    </row>
    <row r="21" spans="1:28">
      <c r="A21" s="14"/>
      <c r="B21" s="44"/>
      <c r="C21" s="45" t="s">
        <v>1482</v>
      </c>
      <c r="D21" s="505"/>
      <c r="E21" s="505"/>
      <c r="F21" s="505"/>
      <c r="G21" s="505"/>
      <c r="H21" s="505"/>
      <c r="I21" s="505"/>
      <c r="J21" s="502"/>
      <c r="K21" s="505"/>
      <c r="L21" s="505"/>
    </row>
    <row r="22" spans="1:28">
      <c r="A22" s="111">
        <f>+A19+1</f>
        <v>13</v>
      </c>
      <c r="B22" s="44"/>
      <c r="C22" s="505" t="s">
        <v>42</v>
      </c>
      <c r="D22" s="505"/>
      <c r="E22" s="505"/>
      <c r="F22" s="505"/>
      <c r="G22" s="505"/>
      <c r="H22" s="505"/>
      <c r="I22" s="505" t="s">
        <v>1637</v>
      </c>
      <c r="J22" s="502" t="str">
        <f>"5-ROR-2, Line "&amp;'5-ROR-2'!A28&amp;""</f>
        <v>5-ROR-2, Line 11</v>
      </c>
      <c r="K22" s="505"/>
      <c r="L22" s="517">
        <f>'5-ROR-2'!C28</f>
        <v>2204668026.9230771</v>
      </c>
      <c r="N22" s="111"/>
      <c r="O22" s="517"/>
      <c r="Q22" s="517"/>
      <c r="R22" s="517"/>
      <c r="S22" s="517"/>
      <c r="T22" s="517"/>
      <c r="U22" s="517"/>
      <c r="V22" s="517"/>
      <c r="W22" s="517"/>
      <c r="X22" s="517"/>
      <c r="Y22" s="517"/>
      <c r="Z22" s="517"/>
      <c r="AA22" s="517"/>
      <c r="AB22" s="517"/>
    </row>
    <row r="23" spans="1:28">
      <c r="A23" s="111">
        <f t="shared" ref="A23:A24" si="1">A22+1</f>
        <v>14</v>
      </c>
      <c r="B23" s="44"/>
      <c r="C23" s="505" t="s">
        <v>1478</v>
      </c>
      <c r="D23" s="505"/>
      <c r="E23" s="505"/>
      <c r="F23" s="505"/>
      <c r="G23" s="505"/>
      <c r="H23" s="505"/>
      <c r="I23" s="505" t="s">
        <v>1637</v>
      </c>
      <c r="J23" s="502" t="str">
        <f>"5-ROR-2, Line "&amp;'5-ROR-2'!A30&amp;""</f>
        <v>5-ROR-2, Line 12</v>
      </c>
      <c r="K23" s="505"/>
      <c r="L23" s="517">
        <f>'5-ROR-2'!C30</f>
        <v>-44689189.930341892</v>
      </c>
      <c r="N23" s="111"/>
      <c r="O23" s="517"/>
      <c r="Q23" s="517"/>
      <c r="R23" s="517"/>
      <c r="S23" s="517"/>
      <c r="T23" s="517"/>
      <c r="U23" s="517"/>
      <c r="V23" s="517"/>
      <c r="W23" s="517"/>
      <c r="X23" s="517"/>
      <c r="Y23" s="517"/>
      <c r="Z23" s="517"/>
      <c r="AA23" s="517"/>
      <c r="AB23" s="517"/>
    </row>
    <row r="24" spans="1:28">
      <c r="A24" s="111">
        <f t="shared" si="1"/>
        <v>15</v>
      </c>
      <c r="B24" s="44"/>
      <c r="C24" s="505" t="s">
        <v>1171</v>
      </c>
      <c r="D24" s="505"/>
      <c r="E24" s="505"/>
      <c r="F24" s="505"/>
      <c r="G24" s="505"/>
      <c r="H24" s="505"/>
      <c r="I24" s="505" t="s">
        <v>1637</v>
      </c>
      <c r="J24" s="502" t="str">
        <f>"5-ROR-2, Line "&amp;'5-ROR-2'!A32&amp;""</f>
        <v>5-ROR-2, Line 13</v>
      </c>
      <c r="K24" s="505"/>
      <c r="L24" s="519">
        <f>'5-ROR-2'!C32</f>
        <v>-7193648.0852557328</v>
      </c>
      <c r="N24" s="111"/>
      <c r="O24" s="517"/>
      <c r="Q24" s="517"/>
      <c r="R24" s="517"/>
      <c r="S24" s="517"/>
      <c r="T24" s="517"/>
      <c r="U24" s="517"/>
      <c r="V24" s="517"/>
      <c r="W24" s="517"/>
      <c r="X24" s="517"/>
      <c r="Y24" s="517"/>
      <c r="Z24" s="517"/>
      <c r="AA24" s="517"/>
      <c r="AB24" s="517"/>
    </row>
    <row r="25" spans="1:28">
      <c r="A25" s="111">
        <f>A24+1</f>
        <v>16</v>
      </c>
      <c r="B25" s="44"/>
      <c r="C25" s="502" t="s">
        <v>47</v>
      </c>
      <c r="D25" s="505"/>
      <c r="E25" s="505"/>
      <c r="F25" s="505"/>
      <c r="G25" s="505"/>
      <c r="H25" s="505"/>
      <c r="I25" s="505"/>
      <c r="J25" s="502" t="str">
        <f>"Sum of Lines "&amp;A22&amp;" to "&amp;A24&amp;""</f>
        <v>Sum of Lines 13 to 15</v>
      </c>
      <c r="K25" s="505"/>
      <c r="L25" s="517">
        <f>SUM(L22:L24)</f>
        <v>2152785188.9074798</v>
      </c>
    </row>
    <row r="26" spans="1:28">
      <c r="A26" s="111"/>
      <c r="B26" s="44"/>
      <c r="C26" s="505"/>
      <c r="D26" s="505"/>
      <c r="E26" s="505"/>
      <c r="F26" s="505"/>
      <c r="G26" s="505"/>
      <c r="H26" s="505"/>
      <c r="I26" s="505"/>
      <c r="J26" s="502"/>
      <c r="K26" s="505"/>
      <c r="L26" s="517"/>
    </row>
    <row r="27" spans="1:28">
      <c r="A27" s="14"/>
      <c r="B27" s="44"/>
      <c r="C27" s="45" t="s">
        <v>271</v>
      </c>
      <c r="D27" s="505"/>
      <c r="E27" s="505"/>
      <c r="F27" s="505"/>
      <c r="G27" s="505"/>
      <c r="H27" s="505"/>
      <c r="I27" s="520"/>
      <c r="J27" s="502"/>
      <c r="K27" s="505"/>
      <c r="L27" s="505"/>
    </row>
    <row r="28" spans="1:28">
      <c r="A28" s="111">
        <f>+A25+1</f>
        <v>17</v>
      </c>
      <c r="B28" s="44"/>
      <c r="C28" s="505" t="s">
        <v>210</v>
      </c>
      <c r="D28" s="505"/>
      <c r="E28" s="505"/>
      <c r="F28" s="505"/>
      <c r="G28" s="505"/>
      <c r="H28" s="505"/>
      <c r="I28" s="505" t="s">
        <v>1637</v>
      </c>
      <c r="J28" s="502" t="str">
        <f>"5-ROR-2, Line "&amp;'5-ROR-2'!A34&amp;""</f>
        <v>5-ROR-2, Line 14</v>
      </c>
      <c r="K28" s="505"/>
      <c r="L28" s="517">
        <f>'5-ROR-2'!C34</f>
        <v>14131533164.054655</v>
      </c>
      <c r="N28" s="111"/>
      <c r="O28" s="517"/>
      <c r="P28" s="517"/>
      <c r="Q28" s="517"/>
      <c r="R28" s="517"/>
      <c r="S28" s="517"/>
      <c r="T28" s="517"/>
      <c r="U28" s="517"/>
      <c r="V28" s="517"/>
      <c r="W28" s="517"/>
      <c r="X28" s="517"/>
      <c r="Y28" s="517"/>
      <c r="Z28" s="517"/>
      <c r="AA28" s="517"/>
      <c r="AB28" s="517"/>
    </row>
    <row r="29" spans="1:28">
      <c r="A29" s="111">
        <f>A28+1</f>
        <v>18</v>
      </c>
      <c r="B29" s="44"/>
      <c r="C29" s="505" t="s">
        <v>45</v>
      </c>
      <c r="D29" s="505"/>
      <c r="E29" s="505"/>
      <c r="F29" s="505"/>
      <c r="G29" s="505"/>
      <c r="H29" s="505"/>
      <c r="I29" s="505" t="str">
        <f>"Same as L "&amp;A22&amp;", but negative"</f>
        <v>Same as L 13, but negative</v>
      </c>
      <c r="J29" s="502" t="str">
        <f>"5-ROR-2, Line "&amp;'5-ROR-2'!A28&amp;""</f>
        <v>5-ROR-2, Line 11</v>
      </c>
      <c r="K29" s="505"/>
      <c r="L29" s="517">
        <f>-'5-ROR-2'!C28</f>
        <v>-2204668026.9230771</v>
      </c>
      <c r="N29" s="111"/>
      <c r="O29" s="517"/>
      <c r="P29" s="517"/>
      <c r="Q29" s="517"/>
      <c r="R29" s="517"/>
      <c r="S29" s="517"/>
      <c r="T29" s="517"/>
      <c r="U29" s="517"/>
      <c r="V29" s="517"/>
      <c r="W29" s="517"/>
      <c r="X29" s="517"/>
      <c r="Y29" s="517"/>
      <c r="Z29" s="517"/>
      <c r="AA29" s="517"/>
      <c r="AB29" s="517"/>
    </row>
    <row r="30" spans="1:28">
      <c r="A30" s="111">
        <f t="shared" ref="A30:A32" si="2">A29+1</f>
        <v>19</v>
      </c>
      <c r="B30" s="44"/>
      <c r="C30" s="505" t="s">
        <v>1479</v>
      </c>
      <c r="D30" s="505"/>
      <c r="E30" s="505"/>
      <c r="F30" s="505"/>
      <c r="G30" s="505"/>
      <c r="H30" s="505"/>
      <c r="I30" s="505" t="str">
        <f>"Same as L "&amp;A24&amp;", but reverse sign"</f>
        <v>Same as L 15, but reverse sign</v>
      </c>
      <c r="J30" s="502" t="str">
        <f>"5-ROR-2, Line "&amp;'5-ROR-2'!A32&amp;""</f>
        <v>5-ROR-2, Line 13</v>
      </c>
      <c r="K30" s="505"/>
      <c r="L30" s="517">
        <f>-L24</f>
        <v>7193648.0852557328</v>
      </c>
      <c r="N30" s="111"/>
      <c r="O30" s="517"/>
      <c r="P30" s="517"/>
      <c r="Q30" s="517"/>
      <c r="R30" s="517"/>
      <c r="S30" s="517"/>
      <c r="T30" s="517"/>
      <c r="U30" s="517"/>
      <c r="V30" s="517"/>
      <c r="W30" s="517"/>
      <c r="X30" s="517"/>
      <c r="Y30" s="517"/>
      <c r="Z30" s="517"/>
      <c r="AA30" s="517"/>
      <c r="AB30" s="517"/>
    </row>
    <row r="31" spans="1:28">
      <c r="A31" s="111">
        <f t="shared" si="2"/>
        <v>20</v>
      </c>
      <c r="B31" s="44"/>
      <c r="C31" s="505" t="s">
        <v>1480</v>
      </c>
      <c r="D31" s="505"/>
      <c r="E31" s="505"/>
      <c r="F31" s="505"/>
      <c r="G31" s="505"/>
      <c r="H31" s="505"/>
      <c r="I31" s="505" t="s">
        <v>1637</v>
      </c>
      <c r="J31" s="502" t="str">
        <f>"5-ROR-2, Line "&amp;'5-ROR-2'!A36&amp;""</f>
        <v>5-ROR-2, Line 15</v>
      </c>
      <c r="K31" s="505"/>
      <c r="L31" s="517">
        <f>'5-ROR-2'!C36</f>
        <v>2199880.6307692309</v>
      </c>
      <c r="N31" s="111"/>
      <c r="O31" s="517"/>
      <c r="P31" s="517"/>
      <c r="Q31" s="517"/>
      <c r="R31" s="517"/>
      <c r="S31" s="517"/>
      <c r="T31" s="517"/>
      <c r="U31" s="517"/>
      <c r="V31" s="517"/>
      <c r="W31" s="517"/>
      <c r="X31" s="517"/>
      <c r="Y31" s="517"/>
      <c r="Z31" s="517"/>
      <c r="AA31" s="517"/>
      <c r="AB31" s="517"/>
    </row>
    <row r="32" spans="1:28">
      <c r="A32" s="111">
        <f t="shared" si="2"/>
        <v>21</v>
      </c>
      <c r="B32" s="44"/>
      <c r="C32" s="505" t="s">
        <v>1481</v>
      </c>
      <c r="D32" s="505"/>
      <c r="E32" s="505"/>
      <c r="F32" s="505"/>
      <c r="G32" s="505"/>
      <c r="H32" s="505"/>
      <c r="I32" s="505" t="s">
        <v>1637</v>
      </c>
      <c r="J32" s="502" t="str">
        <f>"5-ROR-2, Line "&amp;'5-ROR-2'!A38&amp;""</f>
        <v>5-ROR-2, Line 16</v>
      </c>
      <c r="K32" s="505"/>
      <c r="L32" s="517">
        <f>'5-ROR-2'!C38</f>
        <v>19883915.318461537</v>
      </c>
      <c r="N32" s="111"/>
      <c r="O32" s="517"/>
      <c r="P32" s="517"/>
      <c r="Q32" s="517"/>
      <c r="R32" s="517"/>
      <c r="S32" s="517"/>
      <c r="T32" s="517"/>
      <c r="U32" s="517"/>
      <c r="V32" s="517"/>
      <c r="W32" s="517"/>
      <c r="X32" s="517"/>
      <c r="Y32" s="517"/>
      <c r="Z32" s="517"/>
      <c r="AA32" s="517"/>
      <c r="AB32" s="517"/>
    </row>
    <row r="33" spans="1:12">
      <c r="A33" s="111">
        <f>A32+1</f>
        <v>22</v>
      </c>
      <c r="B33" s="44"/>
      <c r="C33" s="505" t="s">
        <v>44</v>
      </c>
      <c r="D33" s="505"/>
      <c r="E33" s="505"/>
      <c r="F33" s="505"/>
      <c r="G33" s="505"/>
      <c r="H33" s="505"/>
      <c r="I33" s="505"/>
      <c r="J33" s="502" t="str">
        <f>"Sum of Lines "&amp;A28&amp;" to "&amp;A32&amp;""</f>
        <v>Sum of Lines 17 to 21</v>
      </c>
      <c r="K33" s="505"/>
      <c r="L33" s="518">
        <f>SUM(L28:L32)</f>
        <v>11956142581.166067</v>
      </c>
    </row>
    <row r="34" spans="1:12">
      <c r="B34" s="51"/>
      <c r="C34" s="505"/>
      <c r="D34" s="505"/>
      <c r="E34" s="505"/>
      <c r="F34" s="505"/>
      <c r="G34" s="505"/>
      <c r="H34" s="505"/>
      <c r="I34" s="505"/>
      <c r="J34" s="505"/>
      <c r="K34" s="503"/>
      <c r="L34" s="503"/>
    </row>
    <row r="35" spans="1:12">
      <c r="B35" s="505"/>
      <c r="C35" s="14"/>
      <c r="D35" s="14"/>
      <c r="E35" s="14"/>
      <c r="F35" s="14"/>
      <c r="G35" s="14"/>
      <c r="H35" s="14"/>
      <c r="I35" s="14"/>
      <c r="J35" s="505"/>
    </row>
    <row r="36" spans="1:12">
      <c r="B36" s="505"/>
      <c r="C36" s="14"/>
      <c r="D36" s="14"/>
      <c r="E36" s="14"/>
      <c r="F36" s="14"/>
      <c r="G36" s="14"/>
      <c r="H36" s="14"/>
      <c r="I36" s="14"/>
      <c r="J36" s="505"/>
    </row>
    <row r="37" spans="1:12">
      <c r="B37" s="505"/>
      <c r="C37" s="14"/>
      <c r="D37" s="14"/>
      <c r="E37" s="14"/>
      <c r="F37" s="14"/>
      <c r="G37" s="14"/>
      <c r="H37" s="14"/>
      <c r="I37" s="14"/>
      <c r="J37" s="505"/>
    </row>
    <row r="38" spans="1:12">
      <c r="B38" s="505"/>
      <c r="C38" s="14"/>
      <c r="D38" s="14"/>
      <c r="E38" s="14"/>
      <c r="F38" s="14"/>
      <c r="G38" s="14"/>
      <c r="H38" s="14"/>
      <c r="I38" s="14"/>
      <c r="J38" s="14"/>
    </row>
    <row r="39" spans="1:12">
      <c r="B39" s="521"/>
      <c r="C39" s="14"/>
      <c r="D39" s="14"/>
      <c r="E39" s="14"/>
      <c r="F39" s="14"/>
      <c r="G39" s="14"/>
      <c r="H39" s="14"/>
      <c r="I39" s="14"/>
      <c r="J39" s="14"/>
    </row>
    <row r="40" spans="1:12">
      <c r="B40" s="503"/>
    </row>
    <row r="41" spans="1:12">
      <c r="B41" s="507"/>
    </row>
    <row r="42" spans="1:12">
      <c r="B42" s="503"/>
    </row>
    <row r="43" spans="1:12">
      <c r="B43" s="507"/>
    </row>
  </sheetData>
  <phoneticPr fontId="23" type="noConversion"/>
  <pageMargins left="0.75" right="0.75" top="1" bottom="1" header="0.5" footer="0.5"/>
  <pageSetup scale="55" orientation="landscape" cellComments="asDisplayed" r:id="rId1"/>
  <headerFooter alignWithMargins="0">
    <oddHeader>&amp;CSchedule 5 ROR-1
Return and Capitalization
&amp;RExhibit SCE-4
TO2018 Formula Rate Spreadsheet</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Normal="100" workbookViewId="0"/>
  </sheetViews>
  <sheetFormatPr defaultColWidth="8.85546875" defaultRowHeight="12.75"/>
  <cols>
    <col min="1" max="1" width="4.7109375" style="1112" customWidth="1"/>
    <col min="2" max="2" width="6.42578125" style="1112" customWidth="1"/>
    <col min="3" max="3" width="17.42578125" style="1112" customWidth="1"/>
    <col min="4" max="4" width="15.42578125" style="1112" bestFit="1" customWidth="1"/>
    <col min="5" max="5" width="16.140625" style="1112" customWidth="1"/>
    <col min="6" max="15" width="15.5703125" style="1112" customWidth="1"/>
    <col min="16" max="16" width="15.42578125" style="1112" bestFit="1" customWidth="1"/>
    <col min="17" max="17" width="14" style="1112" customWidth="1"/>
    <col min="18" max="16384" width="8.85546875" style="1112"/>
  </cols>
  <sheetData>
    <row r="1" spans="1:19">
      <c r="A1" s="1" t="s">
        <v>1657</v>
      </c>
      <c r="B1" s="1"/>
    </row>
    <row r="2" spans="1:19">
      <c r="A2" s="111" t="s">
        <v>2224</v>
      </c>
      <c r="B2" s="1152">
        <v>2016</v>
      </c>
    </row>
    <row r="3" spans="1:19">
      <c r="C3" s="84" t="s">
        <v>363</v>
      </c>
      <c r="D3" s="84" t="s">
        <v>347</v>
      </c>
      <c r="E3" s="84" t="s">
        <v>348</v>
      </c>
      <c r="F3" s="84" t="s">
        <v>349</v>
      </c>
      <c r="G3" s="84" t="s">
        <v>350</v>
      </c>
      <c r="H3" s="84" t="s">
        <v>351</v>
      </c>
      <c r="I3" s="84" t="s">
        <v>352</v>
      </c>
      <c r="J3" s="84" t="s">
        <v>544</v>
      </c>
      <c r="K3" s="84" t="s">
        <v>961</v>
      </c>
      <c r="L3" s="84" t="s">
        <v>974</v>
      </c>
      <c r="M3" s="84" t="s">
        <v>977</v>
      </c>
      <c r="N3" s="84" t="s">
        <v>995</v>
      </c>
      <c r="O3" s="84" t="s">
        <v>1484</v>
      </c>
      <c r="P3" s="84" t="s">
        <v>1485</v>
      </c>
    </row>
    <row r="4" spans="1:19">
      <c r="A4" s="3" t="s">
        <v>322</v>
      </c>
      <c r="B4" s="3" t="s">
        <v>1658</v>
      </c>
      <c r="C4" s="37" t="s">
        <v>10</v>
      </c>
      <c r="D4" s="522" t="s">
        <v>180</v>
      </c>
      <c r="E4" s="512" t="s">
        <v>181</v>
      </c>
      <c r="F4" s="512" t="s">
        <v>182</v>
      </c>
      <c r="G4" s="512" t="s">
        <v>195</v>
      </c>
      <c r="H4" s="512" t="s">
        <v>183</v>
      </c>
      <c r="I4" s="512" t="s">
        <v>184</v>
      </c>
      <c r="J4" s="512" t="s">
        <v>1483</v>
      </c>
      <c r="K4" s="512" t="s">
        <v>186</v>
      </c>
      <c r="L4" s="512" t="s">
        <v>187</v>
      </c>
      <c r="M4" s="512" t="s">
        <v>188</v>
      </c>
      <c r="N4" s="512" t="s">
        <v>191</v>
      </c>
      <c r="O4" s="512" t="s">
        <v>190</v>
      </c>
      <c r="P4" s="512" t="s">
        <v>180</v>
      </c>
      <c r="Q4" s="600"/>
    </row>
    <row r="5" spans="1:19">
      <c r="A5" s="3"/>
      <c r="B5" s="125"/>
      <c r="C5" s="569" t="s">
        <v>2225</v>
      </c>
      <c r="D5" s="587"/>
      <c r="E5" s="512"/>
      <c r="F5" s="512"/>
      <c r="G5" s="512"/>
      <c r="H5" s="512"/>
      <c r="I5" s="512"/>
      <c r="J5" s="512"/>
      <c r="K5" s="512"/>
      <c r="L5" s="512"/>
      <c r="M5" s="512"/>
      <c r="N5" s="512"/>
      <c r="O5" s="512"/>
      <c r="P5" s="512"/>
    </row>
    <row r="6" spans="1:19">
      <c r="A6" s="53"/>
      <c r="B6" s="53"/>
      <c r="C6" s="37"/>
      <c r="D6" s="522"/>
      <c r="E6" s="512"/>
      <c r="F6" s="512"/>
      <c r="G6" s="512"/>
      <c r="H6" s="512"/>
      <c r="I6" s="512"/>
      <c r="J6" s="512"/>
      <c r="K6" s="512"/>
      <c r="L6" s="512"/>
      <c r="M6" s="512"/>
      <c r="N6" s="512"/>
      <c r="O6" s="512"/>
      <c r="P6" s="512"/>
    </row>
    <row r="7" spans="1:19">
      <c r="B7" s="44" t="s">
        <v>1659</v>
      </c>
      <c r="D7" s="522"/>
      <c r="E7" s="1215"/>
      <c r="F7" s="1215"/>
      <c r="G7" s="1215"/>
      <c r="H7" s="1215"/>
      <c r="I7" s="1215"/>
      <c r="J7" s="1215"/>
      <c r="K7" s="1215"/>
      <c r="L7" s="1215"/>
      <c r="M7" s="1215"/>
      <c r="N7" s="1215"/>
      <c r="O7" s="1215"/>
      <c r="P7" s="1215"/>
    </row>
    <row r="8" spans="1:19">
      <c r="A8" s="111">
        <v>1</v>
      </c>
      <c r="B8" s="111"/>
      <c r="C8" s="517">
        <f>SUM(D8:P8)/13</f>
        <v>10326762637.375385</v>
      </c>
      <c r="D8" s="1137">
        <v>10375114286</v>
      </c>
      <c r="E8" s="1137">
        <v>10375114285.709999</v>
      </c>
      <c r="F8" s="1137">
        <v>10335828571.42</v>
      </c>
      <c r="G8" s="1137">
        <v>10335828571.42</v>
      </c>
      <c r="H8" s="1137">
        <v>10335828571.42</v>
      </c>
      <c r="I8" s="1137">
        <v>10335828571.42</v>
      </c>
      <c r="J8" s="1137">
        <v>10335828571.42</v>
      </c>
      <c r="K8" s="1137">
        <v>10335828571.42</v>
      </c>
      <c r="L8" s="1137">
        <v>10296542857.129999</v>
      </c>
      <c r="M8" s="1137">
        <v>10296542857.129999</v>
      </c>
      <c r="N8" s="1137">
        <v>10296542857.129999</v>
      </c>
      <c r="O8" s="1137">
        <v>10296542857.129999</v>
      </c>
      <c r="P8" s="1137">
        <v>10296542857.129999</v>
      </c>
      <c r="Q8" s="503"/>
      <c r="S8" s="521"/>
    </row>
    <row r="9" spans="1:19">
      <c r="A9" s="111"/>
      <c r="B9" s="44" t="s">
        <v>2226</v>
      </c>
      <c r="C9" s="7"/>
      <c r="D9" s="517"/>
      <c r="E9" s="517"/>
      <c r="F9" s="517"/>
      <c r="G9" s="517"/>
      <c r="H9" s="517"/>
      <c r="I9" s="517"/>
      <c r="J9" s="517"/>
      <c r="K9" s="517"/>
      <c r="L9" s="517"/>
      <c r="M9" s="517"/>
      <c r="N9" s="517"/>
      <c r="O9" s="517"/>
      <c r="P9" s="517"/>
    </row>
    <row r="10" spans="1:19">
      <c r="A10" s="111">
        <f>A8+1</f>
        <v>2</v>
      </c>
      <c r="B10" s="111"/>
      <c r="C10" s="517">
        <f t="shared" ref="C10:C14" si="0">SUM(D10:P10)/13</f>
        <v>-50769230.769230768</v>
      </c>
      <c r="D10" s="1137">
        <v>-30000000</v>
      </c>
      <c r="E10" s="1137">
        <v>-30000000</v>
      </c>
      <c r="F10" s="1137">
        <v>-30000000</v>
      </c>
      <c r="G10" s="1137">
        <v>-30000000</v>
      </c>
      <c r="H10" s="1137">
        <v>-30000000</v>
      </c>
      <c r="I10" s="1137">
        <v>-30000000</v>
      </c>
      <c r="J10" s="1137">
        <v>-30000000</v>
      </c>
      <c r="K10" s="1137">
        <v>-30000000</v>
      </c>
      <c r="L10" s="1137">
        <v>-30000000</v>
      </c>
      <c r="M10" s="1137">
        <v>-30000000</v>
      </c>
      <c r="N10" s="1137">
        <v>-30000000</v>
      </c>
      <c r="O10" s="1137">
        <v>-165000000</v>
      </c>
      <c r="P10" s="1137">
        <v>-165000000</v>
      </c>
      <c r="Q10" s="503"/>
    </row>
    <row r="11" spans="1:19">
      <c r="A11" s="111"/>
      <c r="B11" s="44" t="s">
        <v>2784</v>
      </c>
      <c r="C11" s="14"/>
      <c r="D11" s="517"/>
      <c r="E11" s="517"/>
      <c r="F11" s="517"/>
      <c r="G11" s="517"/>
      <c r="H11" s="517"/>
      <c r="I11" s="517"/>
      <c r="J11" s="517"/>
      <c r="K11" s="517"/>
      <c r="L11" s="517"/>
      <c r="M11" s="517"/>
      <c r="N11" s="517"/>
      <c r="O11" s="517"/>
      <c r="P11" s="517"/>
    </row>
    <row r="12" spans="1:19">
      <c r="A12" s="111">
        <f>A10+1</f>
        <v>3</v>
      </c>
      <c r="B12" s="44"/>
      <c r="C12" s="517">
        <f>SUM(D12:P12)/13</f>
        <v>0</v>
      </c>
      <c r="D12" s="537">
        <v>0</v>
      </c>
      <c r="E12" s="537">
        <v>0</v>
      </c>
      <c r="F12" s="537">
        <v>0</v>
      </c>
      <c r="G12" s="537">
        <v>0</v>
      </c>
      <c r="H12" s="537">
        <v>0</v>
      </c>
      <c r="I12" s="537">
        <v>0</v>
      </c>
      <c r="J12" s="537">
        <v>0</v>
      </c>
      <c r="K12" s="537">
        <v>0</v>
      </c>
      <c r="L12" s="537">
        <v>0</v>
      </c>
      <c r="M12" s="537">
        <v>0</v>
      </c>
      <c r="N12" s="537">
        <v>0</v>
      </c>
      <c r="O12" s="537">
        <v>0</v>
      </c>
      <c r="P12" s="537">
        <v>0</v>
      </c>
      <c r="Q12" s="503"/>
    </row>
    <row r="13" spans="1:19">
      <c r="A13" s="111"/>
      <c r="B13" s="44" t="s">
        <v>2785</v>
      </c>
      <c r="D13" s="517"/>
      <c r="E13" s="517"/>
      <c r="F13" s="517"/>
      <c r="G13" s="517"/>
      <c r="H13" s="517"/>
      <c r="I13" s="517"/>
      <c r="J13" s="517"/>
      <c r="K13" s="517"/>
      <c r="L13" s="517"/>
      <c r="M13" s="517"/>
      <c r="N13" s="517"/>
      <c r="O13" s="517"/>
      <c r="P13" s="517"/>
    </row>
    <row r="14" spans="1:19">
      <c r="A14" s="111">
        <f>A12+1</f>
        <v>4</v>
      </c>
      <c r="B14" s="111"/>
      <c r="C14" s="517">
        <f t="shared" si="0"/>
        <v>306652104.17230773</v>
      </c>
      <c r="D14" s="1137">
        <v>306682234</v>
      </c>
      <c r="E14" s="1137">
        <v>306677289.44</v>
      </c>
      <c r="F14" s="1137">
        <v>306672324.24000001</v>
      </c>
      <c r="G14" s="1137">
        <v>306667338.11000001</v>
      </c>
      <c r="H14" s="1137">
        <v>306662330.94999999</v>
      </c>
      <c r="I14" s="1137">
        <v>306657302.68000001</v>
      </c>
      <c r="J14" s="1137">
        <v>306652253.20999998</v>
      </c>
      <c r="K14" s="1137">
        <v>306647182.44</v>
      </c>
      <c r="L14" s="1137">
        <v>306642090.29000002</v>
      </c>
      <c r="M14" s="1137">
        <v>306636976.67000002</v>
      </c>
      <c r="N14" s="1137">
        <v>306631841.49000001</v>
      </c>
      <c r="O14" s="1137">
        <v>306626684.64999998</v>
      </c>
      <c r="P14" s="1137">
        <v>306621506.06999999</v>
      </c>
      <c r="Q14" s="503"/>
    </row>
    <row r="15" spans="1:19">
      <c r="A15" s="111"/>
      <c r="B15" s="44" t="s">
        <v>2786</v>
      </c>
      <c r="C15" s="14"/>
      <c r="D15" s="517"/>
      <c r="E15" s="517"/>
      <c r="F15" s="517"/>
      <c r="G15" s="517"/>
      <c r="H15" s="517"/>
      <c r="I15" s="517"/>
      <c r="J15" s="517"/>
      <c r="K15" s="517"/>
      <c r="L15" s="517"/>
      <c r="M15" s="517"/>
      <c r="N15" s="517"/>
      <c r="O15" s="517"/>
      <c r="P15" s="517"/>
      <c r="S15" s="503"/>
    </row>
    <row r="16" spans="1:19">
      <c r="A16" s="111">
        <f>A14+1</f>
        <v>5</v>
      </c>
      <c r="C16" s="517">
        <f t="shared" ref="C16" si="1">SUM(D16:P16)/13</f>
        <v>0</v>
      </c>
      <c r="D16" s="537">
        <v>0</v>
      </c>
      <c r="E16" s="537">
        <v>0</v>
      </c>
      <c r="F16" s="537">
        <v>0</v>
      </c>
      <c r="G16" s="537">
        <v>0</v>
      </c>
      <c r="H16" s="537">
        <v>0</v>
      </c>
      <c r="I16" s="537">
        <v>0</v>
      </c>
      <c r="J16" s="537">
        <v>0</v>
      </c>
      <c r="K16" s="537">
        <v>0</v>
      </c>
      <c r="L16" s="537">
        <v>0</v>
      </c>
      <c r="M16" s="537">
        <v>0</v>
      </c>
      <c r="N16" s="537">
        <v>0</v>
      </c>
      <c r="O16" s="537">
        <v>0</v>
      </c>
      <c r="P16" s="537">
        <v>0</v>
      </c>
      <c r="S16" s="503"/>
    </row>
    <row r="17" spans="1:19">
      <c r="A17" s="111"/>
      <c r="B17" s="44" t="s">
        <v>2856</v>
      </c>
      <c r="C17" s="14"/>
      <c r="D17" s="517"/>
      <c r="E17" s="517"/>
      <c r="F17" s="517"/>
      <c r="G17" s="517"/>
      <c r="H17" s="517"/>
      <c r="I17" s="517"/>
      <c r="J17" s="517"/>
      <c r="K17" s="517"/>
      <c r="L17" s="517"/>
      <c r="M17" s="517"/>
      <c r="N17" s="517"/>
      <c r="O17" s="517"/>
      <c r="P17" s="517"/>
      <c r="S17" s="503"/>
    </row>
    <row r="18" spans="1:19">
      <c r="A18" s="111">
        <f>A16+1</f>
        <v>6</v>
      </c>
      <c r="B18" s="408"/>
      <c r="C18" s="517">
        <f t="shared" ref="C18" si="2">SUM(D18:P18)/13</f>
        <v>-35385187.713846155</v>
      </c>
      <c r="D18" s="537">
        <v>-36460490.539999999</v>
      </c>
      <c r="E18" s="537">
        <v>-36280812.710000001</v>
      </c>
      <c r="F18" s="537">
        <v>-36113113.390000001</v>
      </c>
      <c r="G18" s="537">
        <v>-35921457.009999998</v>
      </c>
      <c r="H18" s="537">
        <v>-35747768.420000002</v>
      </c>
      <c r="I18" s="537">
        <v>-35562101.299999997</v>
      </c>
      <c r="J18" s="537">
        <v>-35388412.700000003</v>
      </c>
      <c r="K18" s="537">
        <v>-35202745.579999998</v>
      </c>
      <c r="L18" s="537">
        <v>-35023067.740000002</v>
      </c>
      <c r="M18" s="537">
        <v>-34849379.140000001</v>
      </c>
      <c r="N18" s="537">
        <v>-34663712.030000001</v>
      </c>
      <c r="O18" s="537">
        <v>-34490023.420000002</v>
      </c>
      <c r="P18" s="537">
        <v>-34304356.299999997</v>
      </c>
      <c r="Q18" s="503"/>
      <c r="S18" s="521"/>
    </row>
    <row r="19" spans="1:19">
      <c r="A19" s="14"/>
      <c r="B19" s="408" t="s">
        <v>2857</v>
      </c>
      <c r="C19" s="14"/>
      <c r="D19" s="517"/>
      <c r="E19" s="517"/>
      <c r="F19" s="517"/>
      <c r="G19" s="517"/>
      <c r="H19" s="517"/>
      <c r="I19" s="517"/>
      <c r="J19" s="517"/>
      <c r="K19" s="517"/>
      <c r="L19" s="517"/>
      <c r="M19" s="517"/>
      <c r="N19" s="517"/>
      <c r="O19" s="517"/>
      <c r="P19" s="517"/>
      <c r="S19" s="503"/>
    </row>
    <row r="20" spans="1:19">
      <c r="A20" s="111">
        <f>A18+1</f>
        <v>7</v>
      </c>
      <c r="B20" s="44"/>
      <c r="C20" s="517">
        <f t="shared" ref="C20" si="3">SUM(D20:P20)/13</f>
        <v>-81582698.81923078</v>
      </c>
      <c r="D20" s="537">
        <v>-84227978.340000004</v>
      </c>
      <c r="E20" s="537">
        <v>-83822444.400000006</v>
      </c>
      <c r="F20" s="537">
        <v>-83597715.060000002</v>
      </c>
      <c r="G20" s="537">
        <v>-82930240.739999995</v>
      </c>
      <c r="H20" s="537">
        <v>-82262766.420000002</v>
      </c>
      <c r="I20" s="537">
        <v>-81595292.099999994</v>
      </c>
      <c r="J20" s="537">
        <v>-80927817.780000001</v>
      </c>
      <c r="K20" s="537">
        <v>-81979093.459999993</v>
      </c>
      <c r="L20" s="537">
        <v>-81235047.739999995</v>
      </c>
      <c r="M20" s="537">
        <v>-80531958.700000003</v>
      </c>
      <c r="N20" s="537">
        <v>-79843434.340000004</v>
      </c>
      <c r="O20" s="537">
        <v>-79154909.969999999</v>
      </c>
      <c r="P20" s="537">
        <v>-78466385.599999994</v>
      </c>
      <c r="Q20" s="503"/>
    </row>
    <row r="21" spans="1:19">
      <c r="A21" s="111"/>
      <c r="B21" s="408" t="s">
        <v>2858</v>
      </c>
      <c r="C21" s="14"/>
      <c r="D21" s="517"/>
      <c r="E21" s="517"/>
      <c r="F21" s="517"/>
      <c r="G21" s="517"/>
      <c r="H21" s="517"/>
      <c r="I21" s="517"/>
      <c r="J21" s="517"/>
      <c r="K21" s="517"/>
      <c r="L21" s="517"/>
      <c r="M21" s="517"/>
      <c r="N21" s="517"/>
      <c r="O21" s="517"/>
      <c r="P21" s="517"/>
    </row>
    <row r="22" spans="1:19">
      <c r="A22" s="111">
        <f>A20+1</f>
        <v>8</v>
      </c>
      <c r="B22" s="408"/>
      <c r="C22" s="517">
        <f t="shared" ref="C22" si="4">SUM(D22:P22)/13</f>
        <v>-192859378.54615384</v>
      </c>
      <c r="D22" s="537">
        <v>-201260974.31999999</v>
      </c>
      <c r="E22" s="537">
        <v>-199860695.97</v>
      </c>
      <c r="F22" s="537">
        <v>-198460432.25999999</v>
      </c>
      <c r="G22" s="537">
        <v>-197060168.55000001</v>
      </c>
      <c r="H22" s="537">
        <v>-195659904.84</v>
      </c>
      <c r="I22" s="537">
        <v>-194259641.13</v>
      </c>
      <c r="J22" s="537">
        <v>-192859377.41999999</v>
      </c>
      <c r="K22" s="537">
        <v>-191459113.71000001</v>
      </c>
      <c r="L22" s="537">
        <v>-190058850</v>
      </c>
      <c r="M22" s="537">
        <v>-188658586.28999999</v>
      </c>
      <c r="N22" s="537">
        <v>-187258322.58000001</v>
      </c>
      <c r="O22" s="537">
        <v>-185858058.87</v>
      </c>
      <c r="P22" s="537">
        <v>-184457795.16</v>
      </c>
      <c r="Q22" s="503"/>
    </row>
    <row r="23" spans="1:19">
      <c r="A23" s="111"/>
      <c r="B23" s="408" t="s">
        <v>2787</v>
      </c>
      <c r="C23" s="517"/>
      <c r="D23" s="517"/>
      <c r="E23" s="517"/>
      <c r="F23" s="517"/>
      <c r="G23" s="517"/>
      <c r="H23" s="517"/>
      <c r="I23" s="517"/>
      <c r="J23" s="517"/>
      <c r="K23" s="517"/>
      <c r="L23" s="517"/>
      <c r="M23" s="517"/>
      <c r="N23" s="517"/>
      <c r="O23" s="517"/>
      <c r="P23" s="517"/>
    </row>
    <row r="24" spans="1:19">
      <c r="A24" s="111">
        <f>+A22+1</f>
        <v>9</v>
      </c>
      <c r="B24" s="408"/>
      <c r="C24" s="517">
        <f t="shared" ref="C24" si="5">SUM(D24:P24)/13</f>
        <v>-834019455.7386241</v>
      </c>
      <c r="D24" s="537">
        <v>-889696723.441324</v>
      </c>
      <c r="E24" s="537">
        <v>-885308256.75717998</v>
      </c>
      <c r="F24" s="537">
        <v>-876159152.25783896</v>
      </c>
      <c r="G24" s="537">
        <v>-848953188.93302608</v>
      </c>
      <c r="H24" s="537">
        <v>-842321120.106704</v>
      </c>
      <c r="I24" s="537">
        <v>-835689051.28038192</v>
      </c>
      <c r="J24" s="537">
        <v>-829056982.45405996</v>
      </c>
      <c r="K24" s="537">
        <v>-822424913.627738</v>
      </c>
      <c r="L24" s="537">
        <v>-815792844.80141604</v>
      </c>
      <c r="M24" s="537">
        <v>-809160775.9750942</v>
      </c>
      <c r="N24" s="537">
        <v>-802528707.14877188</v>
      </c>
      <c r="O24" s="537">
        <v>-795896638.32245004</v>
      </c>
      <c r="P24" s="537">
        <v>-789264569.49612796</v>
      </c>
    </row>
    <row r="25" spans="1:19">
      <c r="A25" s="111"/>
      <c r="B25" s="408" t="s">
        <v>2788</v>
      </c>
      <c r="C25" s="517"/>
      <c r="D25" s="517"/>
      <c r="E25" s="517"/>
      <c r="F25" s="517"/>
      <c r="G25" s="517"/>
      <c r="H25" s="517"/>
      <c r="I25" s="517"/>
      <c r="J25" s="517"/>
      <c r="K25" s="517"/>
      <c r="L25" s="517"/>
      <c r="M25" s="517"/>
      <c r="N25" s="517"/>
      <c r="O25" s="517"/>
      <c r="P25" s="517"/>
    </row>
    <row r="26" spans="1:19">
      <c r="A26" s="111">
        <f>+A24+1</f>
        <v>10</v>
      </c>
      <c r="B26" s="408"/>
      <c r="C26" s="517">
        <f t="shared" ref="C26" si="6">SUM(D26:P26)/13</f>
        <v>5647870.5061538471</v>
      </c>
      <c r="D26" s="537">
        <v>5953291.2199999997</v>
      </c>
      <c r="E26" s="537">
        <v>5871739.2799999993</v>
      </c>
      <c r="F26" s="537">
        <v>6023976.9800000014</v>
      </c>
      <c r="G26" s="537">
        <v>5939132.2400000012</v>
      </c>
      <c r="H26" s="537">
        <v>5854287.5</v>
      </c>
      <c r="I26" s="537">
        <v>5769442.7600000007</v>
      </c>
      <c r="J26" s="537">
        <v>5684598.0200000014</v>
      </c>
      <c r="K26" s="537">
        <v>5599753.2800000021</v>
      </c>
      <c r="L26" s="537">
        <v>5514908.540000001</v>
      </c>
      <c r="M26" s="537">
        <v>5430063.8000000017</v>
      </c>
      <c r="N26" s="537">
        <v>5345219.0600000015</v>
      </c>
      <c r="O26" s="537">
        <v>5260374.3200000012</v>
      </c>
      <c r="P26" s="537">
        <v>5175529.580000001</v>
      </c>
    </row>
    <row r="27" spans="1:19">
      <c r="A27" s="14"/>
      <c r="B27" s="44" t="s">
        <v>2789</v>
      </c>
    </row>
    <row r="28" spans="1:19">
      <c r="A28" s="111">
        <f>+A26+1</f>
        <v>11</v>
      </c>
      <c r="B28" s="111"/>
      <c r="C28" s="517">
        <f t="shared" ref="C28:C32" si="7">SUM(D28:P28)/13</f>
        <v>2204668026.9230771</v>
      </c>
      <c r="D28" s="1137">
        <v>2070044950</v>
      </c>
      <c r="E28" s="1137">
        <v>2070044950</v>
      </c>
      <c r="F28" s="1137">
        <v>2070044950</v>
      </c>
      <c r="G28" s="1137">
        <v>2245054950</v>
      </c>
      <c r="H28" s="1137">
        <v>2245054950</v>
      </c>
      <c r="I28" s="1137">
        <v>2245054950</v>
      </c>
      <c r="J28" s="1137">
        <v>2245054950</v>
      </c>
      <c r="K28" s="1137">
        <v>2245054950</v>
      </c>
      <c r="L28" s="1137">
        <v>2245054950</v>
      </c>
      <c r="M28" s="1137">
        <v>2245054950</v>
      </c>
      <c r="N28" s="1137">
        <v>2245054950</v>
      </c>
      <c r="O28" s="1137">
        <v>2245054950</v>
      </c>
      <c r="P28" s="1137">
        <v>2245054950</v>
      </c>
      <c r="Q28" s="503"/>
    </row>
    <row r="29" spans="1:19">
      <c r="A29" s="111"/>
      <c r="B29" s="44" t="s">
        <v>2859</v>
      </c>
      <c r="D29" s="517"/>
      <c r="E29" s="517"/>
      <c r="F29" s="517"/>
      <c r="G29" s="517"/>
      <c r="H29" s="517"/>
      <c r="I29" s="517"/>
      <c r="J29" s="517"/>
      <c r="K29" s="517"/>
      <c r="L29" s="517"/>
      <c r="M29" s="517"/>
      <c r="N29" s="517"/>
      <c r="O29" s="517"/>
      <c r="P29" s="517"/>
    </row>
    <row r="30" spans="1:19">
      <c r="A30" s="111">
        <f>A28+1</f>
        <v>12</v>
      </c>
      <c r="B30" s="111"/>
      <c r="C30" s="517">
        <f t="shared" si="7"/>
        <v>-44689189.930341892</v>
      </c>
      <c r="D30" s="1140">
        <v>-42446728.586111128</v>
      </c>
      <c r="E30" s="1140">
        <v>-42205342.411111139</v>
      </c>
      <c r="F30" s="1140">
        <v>-41963956.236111134</v>
      </c>
      <c r="G30" s="1140">
        <v>-48682380.061111137</v>
      </c>
      <c r="H30" s="1140">
        <v>-46242352.31111113</v>
      </c>
      <c r="I30" s="1140">
        <v>-45950127.061111122</v>
      </c>
      <c r="J30" s="1140">
        <v>-45657901.811111137</v>
      </c>
      <c r="K30" s="1140">
        <v>-45365676.561111122</v>
      </c>
      <c r="L30" s="1140">
        <v>-45073451.311111122</v>
      </c>
      <c r="M30" s="1140">
        <v>-44781226.061111137</v>
      </c>
      <c r="N30" s="1140">
        <v>-44489000.81111113</v>
      </c>
      <c r="O30" s="1140">
        <v>-44196775.56111113</v>
      </c>
      <c r="P30" s="1140">
        <v>-43904550.31111113</v>
      </c>
    </row>
    <row r="31" spans="1:19">
      <c r="A31" s="111"/>
      <c r="B31" s="44" t="s">
        <v>2790</v>
      </c>
      <c r="D31" s="517"/>
      <c r="E31" s="517"/>
      <c r="F31" s="517"/>
      <c r="G31" s="517"/>
      <c r="H31" s="517"/>
      <c r="I31" s="517"/>
      <c r="J31" s="517"/>
      <c r="K31" s="517"/>
      <c r="L31" s="517"/>
      <c r="M31" s="517"/>
      <c r="N31" s="517"/>
      <c r="O31" s="517"/>
      <c r="P31" s="517"/>
    </row>
    <row r="32" spans="1:19">
      <c r="A32" s="111">
        <f>A30+1</f>
        <v>13</v>
      </c>
      <c r="B32" s="111"/>
      <c r="C32" s="517">
        <f t="shared" si="7"/>
        <v>-7193648.0852557328</v>
      </c>
      <c r="D32" s="1137">
        <v>-5797402.2634468153</v>
      </c>
      <c r="E32" s="537">
        <v>-5765076.579100864</v>
      </c>
      <c r="F32" s="537">
        <v>-5732750.8947549127</v>
      </c>
      <c r="G32" s="537">
        <v>-7848227.7104089735</v>
      </c>
      <c r="H32" s="537">
        <v>-7798003.6718963543</v>
      </c>
      <c r="I32" s="537">
        <v>-7747779.633383736</v>
      </c>
      <c r="J32" s="537">
        <v>-7697555.5948711177</v>
      </c>
      <c r="K32" s="537">
        <v>-7647331.5563585004</v>
      </c>
      <c r="L32" s="537">
        <v>-7597107.5178458821</v>
      </c>
      <c r="M32" s="537">
        <v>-7546883.4793332648</v>
      </c>
      <c r="N32" s="537">
        <v>-7496659.4408206465</v>
      </c>
      <c r="O32" s="537">
        <v>-7446435.4023080282</v>
      </c>
      <c r="P32" s="537">
        <v>-7396211.3637954099</v>
      </c>
    </row>
    <row r="33" spans="1:17">
      <c r="A33" s="14"/>
      <c r="B33" s="44" t="s">
        <v>2791</v>
      </c>
    </row>
    <row r="34" spans="1:17">
      <c r="A34" s="111">
        <f>+A32+1</f>
        <v>14</v>
      </c>
      <c r="B34" s="111"/>
      <c r="C34" s="517">
        <f>SUM(D34:P34)/13</f>
        <v>14131533164.054655</v>
      </c>
      <c r="D34" s="1137">
        <v>13671999240</v>
      </c>
      <c r="E34" s="537">
        <v>13803506472.690001</v>
      </c>
      <c r="F34" s="537">
        <v>13703225028.139999</v>
      </c>
      <c r="G34" s="537">
        <v>13943224208.65234</v>
      </c>
      <c r="H34" s="537">
        <v>14023105762.84234</v>
      </c>
      <c r="I34" s="537">
        <v>14129499735.212339</v>
      </c>
      <c r="J34" s="537">
        <v>14089329644.918701</v>
      </c>
      <c r="K34" s="537">
        <v>14216652406.3687</v>
      </c>
      <c r="L34" s="537">
        <v>14207336559.848701</v>
      </c>
      <c r="M34" s="537">
        <v>14349798497.2187</v>
      </c>
      <c r="N34" s="537">
        <v>14490573408.738701</v>
      </c>
      <c r="O34" s="537">
        <v>14598893351.08</v>
      </c>
      <c r="P34" s="537">
        <v>14482786817</v>
      </c>
      <c r="Q34" s="503"/>
    </row>
    <row r="35" spans="1:17">
      <c r="A35" s="111"/>
      <c r="B35" s="44" t="s">
        <v>2792</v>
      </c>
      <c r="D35" s="517"/>
      <c r="E35" s="517"/>
      <c r="F35" s="517"/>
      <c r="G35" s="517"/>
      <c r="H35" s="517"/>
      <c r="I35" s="517"/>
      <c r="J35" s="517"/>
      <c r="K35" s="517"/>
      <c r="L35" s="517"/>
      <c r="M35" s="517"/>
      <c r="N35" s="517"/>
      <c r="O35" s="517"/>
      <c r="P35" s="517"/>
    </row>
    <row r="36" spans="1:17">
      <c r="A36" s="111">
        <f>+A34+1</f>
        <v>15</v>
      </c>
      <c r="B36" s="111"/>
      <c r="C36" s="517">
        <f t="shared" ref="C36:C38" si="8">SUM(D36:P36)/13</f>
        <v>2199880.6307692309</v>
      </c>
      <c r="D36" s="1137">
        <v>2026801</v>
      </c>
      <c r="E36" s="1137">
        <v>2026801.53</v>
      </c>
      <c r="F36" s="1137">
        <v>2027196.14</v>
      </c>
      <c r="G36" s="1137">
        <v>2027196.14</v>
      </c>
      <c r="H36" s="1137">
        <v>2027698.64</v>
      </c>
      <c r="I36" s="1137">
        <v>2027698.64</v>
      </c>
      <c r="J36" s="1137">
        <v>2013498.89</v>
      </c>
      <c r="K36" s="1137">
        <v>2003497.48</v>
      </c>
      <c r="L36" s="1137">
        <v>2003497.48</v>
      </c>
      <c r="M36" s="1137">
        <v>2603707.48</v>
      </c>
      <c r="N36" s="1137">
        <v>2603709.39</v>
      </c>
      <c r="O36" s="1137">
        <v>2603709.39</v>
      </c>
      <c r="P36" s="1137">
        <v>2603436</v>
      </c>
      <c r="Q36" s="503"/>
    </row>
    <row r="37" spans="1:17">
      <c r="A37" s="111"/>
      <c r="B37" s="44" t="s">
        <v>2793</v>
      </c>
      <c r="D37" s="517"/>
      <c r="E37" s="517"/>
      <c r="F37" s="517"/>
      <c r="G37" s="517"/>
      <c r="H37" s="517"/>
      <c r="I37" s="517"/>
      <c r="J37" s="517"/>
      <c r="K37" s="517"/>
      <c r="L37" s="517"/>
      <c r="M37" s="517"/>
      <c r="N37" s="517"/>
      <c r="O37" s="517"/>
      <c r="P37" s="517"/>
    </row>
    <row r="38" spans="1:17">
      <c r="A38" s="111">
        <f>A36+1</f>
        <v>16</v>
      </c>
      <c r="B38" s="111"/>
      <c r="C38" s="517">
        <f t="shared" si="8"/>
        <v>19883915.318461537</v>
      </c>
      <c r="D38" s="1137">
        <v>22132856</v>
      </c>
      <c r="E38" s="1137">
        <v>22060493.649999999</v>
      </c>
      <c r="F38" s="1137">
        <v>21481768.280000001</v>
      </c>
      <c r="G38" s="1137">
        <v>20949399.199999999</v>
      </c>
      <c r="H38" s="1137">
        <v>20511348.489999998</v>
      </c>
      <c r="I38" s="1137">
        <v>20201806.18</v>
      </c>
      <c r="J38" s="1137">
        <v>19892263.879999999</v>
      </c>
      <c r="K38" s="1137">
        <v>18664080.719999999</v>
      </c>
      <c r="L38" s="1137">
        <v>18126963.149999999</v>
      </c>
      <c r="M38" s="1137">
        <v>18530069.84</v>
      </c>
      <c r="N38" s="1137">
        <v>18007670.84</v>
      </c>
      <c r="O38" s="1137">
        <v>17485271.84</v>
      </c>
      <c r="P38" s="1137">
        <v>20446907.07</v>
      </c>
      <c r="Q38" s="503"/>
    </row>
    <row r="39" spans="1:17">
      <c r="A39" s="111"/>
      <c r="B39" s="111"/>
      <c r="C39" s="517"/>
      <c r="D39" s="517"/>
      <c r="E39" s="517"/>
      <c r="F39" s="517"/>
      <c r="G39" s="517"/>
      <c r="H39" s="517"/>
      <c r="I39" s="517"/>
      <c r="J39" s="517"/>
      <c r="K39" s="517"/>
      <c r="L39" s="517"/>
      <c r="M39" s="517"/>
      <c r="N39" s="517"/>
      <c r="O39" s="517"/>
      <c r="P39" s="517"/>
    </row>
    <row r="40" spans="1:17">
      <c r="A40" s="111"/>
      <c r="B40" s="51" t="s">
        <v>382</v>
      </c>
      <c r="C40" s="517"/>
      <c r="D40" s="517"/>
      <c r="E40" s="517"/>
      <c r="F40" s="517"/>
      <c r="G40" s="517"/>
      <c r="H40" s="517"/>
      <c r="I40" s="517"/>
      <c r="J40" s="517"/>
      <c r="K40" s="517"/>
      <c r="L40" s="517"/>
      <c r="M40" s="517"/>
      <c r="N40" s="517"/>
      <c r="O40" s="517"/>
      <c r="P40" s="517"/>
    </row>
    <row r="41" spans="1:17">
      <c r="A41" s="111"/>
      <c r="B41" s="503" t="s">
        <v>1660</v>
      </c>
      <c r="C41" s="517"/>
      <c r="D41" s="517"/>
      <c r="E41" s="517"/>
      <c r="F41" s="517"/>
      <c r="G41" s="517"/>
      <c r="H41" s="517"/>
      <c r="I41" s="517"/>
      <c r="J41" s="517"/>
      <c r="K41" s="517"/>
      <c r="L41" s="517"/>
      <c r="M41" s="517"/>
      <c r="N41" s="517"/>
      <c r="O41" s="517"/>
      <c r="P41" s="517"/>
    </row>
    <row r="42" spans="1:17">
      <c r="A42" s="111"/>
      <c r="B42" s="507" t="s">
        <v>1671</v>
      </c>
      <c r="C42" s="517"/>
      <c r="D42" s="517"/>
      <c r="E42" s="517"/>
      <c r="F42" s="517"/>
      <c r="G42" s="517"/>
      <c r="H42" s="517"/>
      <c r="I42" s="517"/>
      <c r="J42" s="517"/>
      <c r="K42" s="517"/>
      <c r="L42" s="517"/>
      <c r="M42" s="517"/>
      <c r="N42" s="517"/>
      <c r="O42" s="517"/>
      <c r="P42" s="517"/>
    </row>
    <row r="43" spans="1:17">
      <c r="A43" s="14"/>
      <c r="B43" s="502"/>
      <c r="C43" s="14"/>
      <c r="D43" s="14"/>
      <c r="E43" s="14"/>
      <c r="F43" s="14"/>
      <c r="G43" s="14"/>
      <c r="H43" s="14"/>
      <c r="I43" s="14"/>
      <c r="J43" s="14"/>
      <c r="K43" s="14"/>
      <c r="L43" s="14"/>
    </row>
    <row r="44" spans="1:17">
      <c r="A44" s="14"/>
      <c r="B44" s="44" t="s">
        <v>232</v>
      </c>
      <c r="C44" s="14"/>
      <c r="D44" s="14"/>
      <c r="E44" s="14"/>
      <c r="F44" s="14"/>
      <c r="G44" s="14"/>
      <c r="H44" s="14"/>
      <c r="I44" s="14"/>
      <c r="J44" s="14"/>
      <c r="K44" s="14"/>
      <c r="L44" s="14"/>
    </row>
    <row r="45" spans="1:17">
      <c r="A45" s="14"/>
      <c r="B45" s="505" t="s">
        <v>1779</v>
      </c>
      <c r="C45" s="14"/>
      <c r="D45" s="14"/>
      <c r="E45" s="14"/>
      <c r="F45" s="14"/>
      <c r="G45" s="14"/>
      <c r="H45" s="14"/>
      <c r="I45" s="14"/>
      <c r="J45" s="14"/>
      <c r="K45" s="14"/>
      <c r="L45" s="14"/>
    </row>
    <row r="46" spans="1:17">
      <c r="A46" s="14"/>
      <c r="B46" s="505" t="s">
        <v>1780</v>
      </c>
      <c r="C46" s="14"/>
      <c r="D46" s="14"/>
      <c r="E46" s="14"/>
      <c r="F46" s="14"/>
      <c r="G46" s="14"/>
      <c r="H46" s="14"/>
      <c r="I46" s="14"/>
      <c r="J46" s="14"/>
      <c r="K46" s="14"/>
      <c r="L46" s="14"/>
    </row>
    <row r="47" spans="1:17">
      <c r="A47" s="14"/>
      <c r="B47" s="505" t="s">
        <v>2794</v>
      </c>
      <c r="C47" s="14"/>
      <c r="D47" s="14"/>
      <c r="E47" s="14"/>
      <c r="F47" s="14"/>
      <c r="G47" s="14"/>
      <c r="H47" s="14"/>
      <c r="I47" s="14"/>
      <c r="J47" s="14"/>
      <c r="K47" s="14"/>
      <c r="L47" s="14"/>
    </row>
    <row r="48" spans="1:17">
      <c r="A48" s="14"/>
      <c r="B48" s="505" t="s">
        <v>2795</v>
      </c>
      <c r="C48" s="14"/>
      <c r="D48" s="14"/>
      <c r="E48" s="14"/>
      <c r="F48" s="14"/>
      <c r="G48" s="14"/>
      <c r="H48" s="14"/>
      <c r="I48" s="14"/>
      <c r="J48" s="14"/>
      <c r="K48" s="14"/>
      <c r="L48" s="14"/>
    </row>
    <row r="49" spans="1:12">
      <c r="A49" s="14"/>
      <c r="B49" s="505" t="s">
        <v>2796</v>
      </c>
      <c r="C49" s="408"/>
      <c r="D49" s="14"/>
      <c r="E49" s="14"/>
      <c r="F49" s="14"/>
      <c r="G49" s="14"/>
      <c r="H49" s="14"/>
      <c r="I49" s="14"/>
      <c r="J49" s="14"/>
      <c r="K49" s="14"/>
      <c r="L49" s="14"/>
    </row>
    <row r="50" spans="1:12">
      <c r="A50" s="14"/>
      <c r="B50" s="505" t="s">
        <v>2797</v>
      </c>
      <c r="C50" s="408"/>
      <c r="D50" s="14"/>
      <c r="E50" s="14"/>
      <c r="F50" s="14"/>
      <c r="G50" s="14"/>
      <c r="H50" s="14"/>
      <c r="I50" s="14"/>
      <c r="J50" s="14"/>
      <c r="K50" s="14"/>
      <c r="L50" s="14"/>
    </row>
    <row r="51" spans="1:12">
      <c r="A51" s="14"/>
      <c r="B51" s="505" t="s">
        <v>2798</v>
      </c>
      <c r="C51" s="408"/>
      <c r="D51" s="14"/>
      <c r="E51" s="14"/>
      <c r="F51" s="14"/>
      <c r="G51" s="14"/>
      <c r="H51" s="14"/>
      <c r="I51" s="14"/>
      <c r="J51" s="14"/>
      <c r="K51" s="14"/>
      <c r="L51" s="14"/>
    </row>
    <row r="52" spans="1:12">
      <c r="A52" s="14"/>
      <c r="B52" s="505" t="s">
        <v>2799</v>
      </c>
      <c r="C52" s="408"/>
      <c r="D52" s="14"/>
      <c r="E52" s="14"/>
      <c r="F52" s="14"/>
      <c r="G52" s="14"/>
      <c r="H52" s="14"/>
      <c r="I52" s="14"/>
      <c r="J52" s="14"/>
      <c r="K52" s="14"/>
      <c r="L52" s="14"/>
    </row>
    <row r="53" spans="1:12">
      <c r="A53" s="14"/>
      <c r="B53" s="505" t="s">
        <v>2815</v>
      </c>
      <c r="C53" s="408"/>
      <c r="D53" s="14"/>
      <c r="E53" s="14"/>
      <c r="F53" s="14"/>
      <c r="G53" s="14"/>
      <c r="H53" s="14"/>
      <c r="I53" s="14"/>
      <c r="J53" s="14"/>
      <c r="K53" s="14"/>
      <c r="L53" s="14"/>
    </row>
    <row r="54" spans="1:12">
      <c r="A54" s="14"/>
      <c r="B54" s="505" t="s">
        <v>2812</v>
      </c>
      <c r="C54" s="408"/>
      <c r="D54" s="14"/>
      <c r="E54" s="14"/>
      <c r="F54" s="14"/>
      <c r="G54" s="14"/>
      <c r="H54" s="14"/>
      <c r="I54" s="14"/>
      <c r="J54" s="14"/>
      <c r="K54" s="14"/>
      <c r="L54" s="14"/>
    </row>
    <row r="55" spans="1:12">
      <c r="A55" s="14"/>
      <c r="B55" s="505" t="s">
        <v>2800</v>
      </c>
      <c r="C55" s="14"/>
      <c r="D55" s="14"/>
      <c r="E55" s="14"/>
      <c r="F55" s="14"/>
      <c r="G55" s="14"/>
      <c r="H55" s="14"/>
      <c r="I55" s="14"/>
      <c r="J55" s="14"/>
      <c r="K55" s="14"/>
      <c r="L55" s="14"/>
    </row>
    <row r="56" spans="1:12">
      <c r="A56" s="14"/>
      <c r="B56" s="505" t="s">
        <v>2813</v>
      </c>
      <c r="C56" s="14"/>
      <c r="D56" s="14"/>
      <c r="E56" s="14"/>
      <c r="F56" s="14"/>
      <c r="G56" s="14"/>
      <c r="H56" s="14"/>
      <c r="I56" s="14"/>
      <c r="J56" s="14"/>
      <c r="K56" s="14"/>
      <c r="L56" s="14"/>
    </row>
    <row r="57" spans="1:12">
      <c r="A57" s="14"/>
      <c r="B57" s="505" t="s">
        <v>2814</v>
      </c>
      <c r="D57" s="14"/>
      <c r="E57" s="14"/>
      <c r="F57" s="14"/>
      <c r="G57" s="14"/>
      <c r="H57" s="111"/>
      <c r="I57" s="14"/>
      <c r="J57" s="14"/>
      <c r="K57" s="14"/>
      <c r="L57" s="14"/>
    </row>
    <row r="58" spans="1:12">
      <c r="A58" s="14"/>
      <c r="B58" s="1357" t="s">
        <v>2801</v>
      </c>
      <c r="C58" s="14"/>
    </row>
    <row r="59" spans="1:12">
      <c r="A59" s="14"/>
      <c r="B59" s="1357" t="s">
        <v>2802</v>
      </c>
      <c r="C59" s="14"/>
    </row>
    <row r="60" spans="1:12">
      <c r="A60" s="14"/>
      <c r="B60" s="1357" t="s">
        <v>2803</v>
      </c>
      <c r="C60" s="14"/>
    </row>
  </sheetData>
  <pageMargins left="0.7" right="0.7" top="0.75" bottom="0.75" header="0.3" footer="0.3"/>
  <pageSetup scale="54" fitToHeight="0" orientation="landscape" cellComments="asDisplayed" r:id="rId1"/>
  <headerFooter>
    <oddHeader>&amp;CSchedule 5 ROR-2
Return and Capitalization
&amp;RExhibit SCE-4
TO2018 Formula Rate Spreadsheet</oddHeader>
    <oddFooter>&amp;R5-ROR-2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2017-10-26T19:38:11Z</cp:lastPrinted>
  <dcterms:created xsi:type="dcterms:W3CDTF">2009-02-27T16:01:11Z</dcterms:created>
  <dcterms:modified xsi:type="dcterms:W3CDTF">2017-10-26T20:31:03Z</dcterms:modified>
</cp:coreProperties>
</file>